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ilities-NewQOrder" sheetId="1" r:id="rId4"/>
    <sheet state="visible" name="Helper-Abilities" sheetId="2" r:id="rId5"/>
    <sheet state="visible" name="JobBank" sheetId="3" r:id="rId6"/>
    <sheet state="hidden" name="Temp" sheetId="4" r:id="rId7"/>
    <sheet state="visible" name="Masters" sheetId="5" r:id="rId8"/>
    <sheet state="visible" name="Sheet6" sheetId="6" r:id="rId9"/>
    <sheet state="visible" name="How to" sheetId="7" r:id="rId10"/>
    <sheet state="visible" name="4JSON" sheetId="8" r:id="rId11"/>
    <sheet state="visible" name="NOC Complete" sheetId="9" r:id="rId12"/>
    <sheet state="visible" name="NOC-List" sheetId="10" r:id="rId13"/>
  </sheets>
  <definedNames>
    <definedName hidden="1" localSheetId="0" name="Z_EE28A9A6_3FCC_4F92_B15D_25E7D4BCAC16_.wvu.FilterData">'Abilities-NewQOrder'!$C$5:$M$49</definedName>
    <definedName hidden="1" localSheetId="4" name="Z_EE28A9A6_3FCC_4F92_B15D_25E7D4BCAC16_.wvu.FilterData">Masters!$A$5:$AA$928</definedName>
    <definedName hidden="1" localSheetId="0" name="Z_63FADEEB_D5CC_47FB_A66E_C2622E149796_.wvu.FilterData">'Abilities-NewQOrder'!$A$1:$AG$1000</definedName>
  </definedNames>
  <calcPr/>
  <customWorkbookViews>
    <customWorkbookView activeSheetId="0" maximized="1" windowHeight="0" windowWidth="0" guid="{EE28A9A6-3FCC-4F92-B15D-25E7D4BCAC16}" name="Filter 1"/>
    <customWorkbookView activeSheetId="0" maximized="1" windowHeight="0" windowWidth="0" guid="{63FADEEB-D5CC-47FB-A66E-C2622E149796}" name="GLA"/>
  </customWorkbookViews>
</workbook>
</file>

<file path=xl/sharedStrings.xml><?xml version="1.0" encoding="utf-8"?>
<sst xmlns="http://schemas.openxmlformats.org/spreadsheetml/2006/main" count="6576" uniqueCount="3195">
  <si>
    <t xml:space="preserve"> </t>
  </si>
  <si>
    <t>Q #</t>
  </si>
  <si>
    <t>Sub Cat Given</t>
  </si>
  <si>
    <t>Question Content (New)</t>
  </si>
  <si>
    <t>very easy</t>
  </si>
  <si>
    <t>easy</t>
  </si>
  <si>
    <t>about average</t>
  </si>
  <si>
    <t>difficult</t>
  </si>
  <si>
    <t>very difficult</t>
  </si>
  <si>
    <t>Sum</t>
  </si>
  <si>
    <t>Score</t>
  </si>
  <si>
    <t>Sub Category</t>
  </si>
  <si>
    <t>Total</t>
  </si>
  <si>
    <t>Q Count</t>
  </si>
  <si>
    <t>Avg</t>
  </si>
  <si>
    <t>%</t>
  </si>
  <si>
    <t>Normalized</t>
  </si>
  <si>
    <t>Round?</t>
  </si>
  <si>
    <t>General learning ability</t>
  </si>
  <si>
    <t>I learn and understand things quickly.</t>
  </si>
  <si>
    <t>G</t>
  </si>
  <si>
    <t>Form perception</t>
  </si>
  <si>
    <t>I see fine details in objects.</t>
  </si>
  <si>
    <t>V</t>
  </si>
  <si>
    <t>Spatial perception</t>
  </si>
  <si>
    <t>I draw things accurately.</t>
  </si>
  <si>
    <t>N</t>
  </si>
  <si>
    <t>Finger dexterity</t>
  </si>
  <si>
    <t>I use equipment such as a computer keyboard or a cash register.</t>
  </si>
  <si>
    <t>S</t>
  </si>
  <si>
    <t>Verbal ability</t>
  </si>
  <si>
    <t>I read and understand written material.</t>
  </si>
  <si>
    <t>P</t>
  </si>
  <si>
    <t>Motor co-ordination</t>
  </si>
  <si>
    <t>I can hit a moving object, such as a baseball with a bat.</t>
  </si>
  <si>
    <t>Q</t>
  </si>
  <si>
    <t>Manual dexterity</t>
  </si>
  <si>
    <t>I sort things quickly.</t>
  </si>
  <si>
    <t>K</t>
  </si>
  <si>
    <t>Clerical perception</t>
  </si>
  <si>
    <t>I can check for mistakes in adding or subtracting.</t>
  </si>
  <si>
    <t>F</t>
  </si>
  <si>
    <t>Numerical ability</t>
  </si>
  <si>
    <t>I can make change when working with money.</t>
  </si>
  <si>
    <t>M</t>
  </si>
  <si>
    <t>I can write and correct text.</t>
  </si>
  <si>
    <t>I can move my hands to manipulate things.</t>
  </si>
  <si>
    <t>I can imagine what a box would look like if unfolded.</t>
  </si>
  <si>
    <t>I can thread a needle.</t>
  </si>
  <si>
    <t>NOC</t>
  </si>
  <si>
    <t>Occupation</t>
  </si>
  <si>
    <t>Career % Match</t>
  </si>
  <si>
    <t>I can catch on quickly and reasoning things out.</t>
  </si>
  <si>
    <t>I can solve math problems.</t>
  </si>
  <si>
    <t>I can proofread printed pages.</t>
  </si>
  <si>
    <t>I am good at inspecting things for details such as colour, scratches, dust, and flaws.</t>
  </si>
  <si>
    <t>I can sort small objects into trays.</t>
  </si>
  <si>
    <t>I can pick up tiny objects.</t>
  </si>
  <si>
    <t>I make accurate measurements.</t>
  </si>
  <si>
    <t>I am good at picking out differences in two similar pictures.</t>
  </si>
  <si>
    <t>I can figure out and solving problems.</t>
  </si>
  <si>
    <t>Using a coding system to classify or find information.</t>
  </si>
  <si>
    <t>Moving and turning objects.</t>
  </si>
  <si>
    <t>Understanding and using new words easily.</t>
  </si>
  <si>
    <t>Repairing small objects using my fingers.</t>
  </si>
  <si>
    <t>Doing well at school.</t>
  </si>
  <si>
    <t>Imagining what something would look like from seeing a diagram of it.</t>
  </si>
  <si>
    <t>Understanding abstract mathematical concepts.</t>
  </si>
  <si>
    <t>Taking things apart and putting them back together properly.</t>
  </si>
  <si>
    <t>Making small finger movements like playing a violin.</t>
  </si>
  <si>
    <t>Collecting data and analyzing statistics.</t>
  </si>
  <si>
    <t>Using hand tools to adjust machines and repair things.</t>
  </si>
  <si>
    <t>Understanding and applying principles of geometry.</t>
  </si>
  <si>
    <t>Understanding instructions or ideas that are explained to me.</t>
  </si>
  <si>
    <t>Transferring numbers or other information from one place to another without errors.</t>
  </si>
  <si>
    <t>Using hand tools.</t>
  </si>
  <si>
    <t>Expressing information and ideas easily and clearly.</t>
  </si>
  <si>
    <t>Recognizing small parts of machinery, equipment, or products.</t>
  </si>
  <si>
    <t>Career</t>
  </si>
  <si>
    <t>gla</t>
  </si>
  <si>
    <t>va</t>
  </si>
  <si>
    <t>na</t>
  </si>
  <si>
    <t>sp</t>
  </si>
  <si>
    <t>fp</t>
  </si>
  <si>
    <t>cp</t>
  </si>
  <si>
    <t>mc</t>
  </si>
  <si>
    <t>fd</t>
  </si>
  <si>
    <t>md</t>
  </si>
  <si>
    <t>Hairstylist</t>
  </si>
  <si>
    <t>J</t>
  </si>
  <si>
    <t>I</t>
  </si>
  <si>
    <t>H</t>
  </si>
  <si>
    <t>DO  NOT  EDIT  ANY  CELL  IN  THIS  SHEET (Auto Populated Data)</t>
  </si>
  <si>
    <t>CC #</t>
  </si>
  <si>
    <t>JobBank #</t>
  </si>
  <si>
    <t>Sub Cat From Job Bank</t>
  </si>
  <si>
    <t>Question</t>
  </si>
  <si>
    <t>Seeing fine details in objects.</t>
  </si>
  <si>
    <t>Making a three-dimensional (3D) pencil or digital drawing of an object.</t>
  </si>
  <si>
    <t>Checking for mistakes in adding or subtracting.</t>
  </si>
  <si>
    <t>Giving the exact change when working with money.</t>
  </si>
  <si>
    <t>Threading a needle.</t>
  </si>
  <si>
    <t>Catching on quickly and reasoning things out.</t>
  </si>
  <si>
    <t>Solving math problems.</t>
  </si>
  <si>
    <t>Identifying mistakes in printed or digital documents.</t>
  </si>
  <si>
    <t>Inspecting things for details such as colouring, scratches, dust, and flaws.</t>
  </si>
  <si>
    <t>Learning and understanding things quickly.</t>
  </si>
  <si>
    <t>Using a keyboard from a computer, a tablet or a cell phone.</t>
  </si>
  <si>
    <t>Reading and understanding written material.</t>
  </si>
  <si>
    <t>Hitting a moving object, such as a baseball with a bat.</t>
  </si>
  <si>
    <t>Current CC (Zig-Zag Result)</t>
  </si>
  <si>
    <t>Sorting things quickly.</t>
  </si>
  <si>
    <t>Elementary and secondary school teacher assistants</t>
  </si>
  <si>
    <t>Writing and correcting text.</t>
  </si>
  <si>
    <t>Drafting technologists and technicians</t>
  </si>
  <si>
    <t>Moving your hands to manipulate things.</t>
  </si>
  <si>
    <t>Cardiology technologists and electrophysiological diagnostic technologists, n.e.c.</t>
  </si>
  <si>
    <t>Choosing the best box in which to put an object.</t>
  </si>
  <si>
    <t>Aircraft mechanics and aircraft inspectors</t>
  </si>
  <si>
    <t>Understanding signs at the bus terminal, in the subway, at the train station or at the airport.</t>
  </si>
  <si>
    <t>Other technical and co-ordinating occupations in motion pictures, broadcasting and the performing arts</t>
  </si>
  <si>
    <t>Aircraft instrument, electrical and avionics mechanics, technicians and inspectors</t>
  </si>
  <si>
    <t>Biological technologists and technicians</t>
  </si>
  <si>
    <t>Dental technologists, technicians and laboratory assistants</t>
  </si>
  <si>
    <t>Electrical and electronics engineering technologists and technicians</t>
  </si>
  <si>
    <t>Denturists</t>
  </si>
  <si>
    <t>Sorting small objects into trays.</t>
  </si>
  <si>
    <t>Picking up tiny objects.</t>
  </si>
  <si>
    <t>Making accurate measurements.</t>
  </si>
  <si>
    <t>Identifying differences between two similar images.</t>
  </si>
  <si>
    <t>Figuring out and solving problems.</t>
  </si>
  <si>
    <t>Repairing small objects using your fingers.</t>
  </si>
  <si>
    <t>Finding the information I need.</t>
  </si>
  <si>
    <t>Understanding mathematical concepts.</t>
  </si>
  <si>
    <t>Quickly and precisely writing a text message.</t>
  </si>
  <si>
    <t>Understanding instructions or ideas that are explained to you.</t>
  </si>
  <si>
    <t>Number of Qs</t>
  </si>
  <si>
    <t>Total for all Qs(5-1 method)</t>
  </si>
  <si>
    <t>Total for all Qs (0-4)</t>
  </si>
  <si>
    <t>Abilities By Given Formula</t>
  </si>
  <si>
    <t>Average</t>
  </si>
  <si>
    <t>Variable Percentage</t>
  </si>
  <si>
    <t>Normalize</t>
  </si>
  <si>
    <t>Abilities by Custom Formula</t>
  </si>
  <si>
    <t>% Rounded in Jobbank</t>
  </si>
  <si>
    <t>Normalized Value</t>
  </si>
  <si>
    <t xml:space="preserve">To add &gt; </t>
  </si>
  <si>
    <t xml:space="preserve">Unique Done &gt; </t>
  </si>
  <si>
    <t>Abilities Careers</t>
  </si>
  <si>
    <t>You</t>
  </si>
  <si>
    <t>Abilities</t>
  </si>
  <si>
    <t>NOCCodes</t>
  </si>
  <si>
    <t>Count in Table</t>
  </si>
  <si>
    <t>Count %</t>
  </si>
  <si>
    <t>Welders</t>
  </si>
  <si>
    <t>0% - 24%</t>
  </si>
  <si>
    <t>Audio and Video Recording Technicians</t>
  </si>
  <si>
    <t>25% - 49%</t>
  </si>
  <si>
    <t>Avionics Inspectors</t>
  </si>
  <si>
    <t>50% - 74%</t>
  </si>
  <si>
    <t>Bakers</t>
  </si>
  <si>
    <t>75% - 99%</t>
  </si>
  <si>
    <t>Barbers</t>
  </si>
  <si>
    <t>Binding and Finishing Machine Operators</t>
  </si>
  <si>
    <t>Biological Technicians</t>
  </si>
  <si>
    <t>Agricultural and Related Service Contractors and Managers</t>
  </si>
  <si>
    <t>Assemblers, Electrical Appliance, Apparatus and Equipment Manufacturing</t>
  </si>
  <si>
    <t>Boat Assemblers</t>
  </si>
  <si>
    <t>Buskers</t>
  </si>
  <si>
    <t>Cable Television Maintenance Technicians</t>
  </si>
  <si>
    <t>Cable Television Service Technicians</t>
  </si>
  <si>
    <t>Boat Inspectors</t>
  </si>
  <si>
    <t>Cardiopulmonary Technologists</t>
  </si>
  <si>
    <t>Carpenters</t>
  </si>
  <si>
    <t>Chiropodists and Podiatrists</t>
  </si>
  <si>
    <t>Circus Performers</t>
  </si>
  <si>
    <t>Clinical Perfusionists</t>
  </si>
  <si>
    <t>Commercial Divers</t>
  </si>
  <si>
    <t>Conductors</t>
  </si>
  <si>
    <t>Conservation and Restoration Technicians</t>
  </si>
  <si>
    <t>Conservators</t>
  </si>
  <si>
    <t>Contractors and Supervisors, Carpentry Trades</t>
  </si>
  <si>
    <t>Contractors and Supervisors, Electrical Trades and Telecommunications Occupations</t>
  </si>
  <si>
    <t>Contractors and Supervisors, Heavy Construction Equipment Crews</t>
  </si>
  <si>
    <t>Contractors and Supervisors, Mechanic Trades</t>
  </si>
  <si>
    <t>Contractors and Supervisors, Metal Forming, Shaping and Erecting Trades</t>
  </si>
  <si>
    <t>Contractors and Supervisors, Other Construction Trades, Installers, Repairers and Servicers</t>
  </si>
  <si>
    <t>Contractors and Supervisors, Pipefitting Trades</t>
  </si>
  <si>
    <t>Data Entry Clerks</t>
  </si>
  <si>
    <t>Dental Hygienists</t>
  </si>
  <si>
    <t>Dental Therapists</t>
  </si>
  <si>
    <t>Doctors of Podiatric Medicine</t>
  </si>
  <si>
    <t>Drafting Technologists</t>
  </si>
  <si>
    <t>Bus and Streetcar Drivers</t>
  </si>
  <si>
    <t>Dressmakers</t>
  </si>
  <si>
    <t>Calendering Process Operators - Plastics Processing</t>
  </si>
  <si>
    <t>Electrical and Electronics Engineering Technologists</t>
  </si>
  <si>
    <t>Electricians (Except Industrial and Power System)</t>
  </si>
  <si>
    <t>Elementary and Secondary School Teacher Assistants</t>
  </si>
  <si>
    <t>Estheticians</t>
  </si>
  <si>
    <t>Dressers</t>
  </si>
  <si>
    <t>Fishing Masters and Officers</t>
  </si>
  <si>
    <t>Drillers - Surface Mining, Quarrying and Construction</t>
  </si>
  <si>
    <t>Floor Managers</t>
  </si>
  <si>
    <t>Extruding Process Operators - Plastics Processing</t>
  </si>
  <si>
    <t>Furriers</t>
  </si>
  <si>
    <t>Gaffers and Lighting Technicians</t>
  </si>
  <si>
    <t>Floor Covering Installers</t>
  </si>
  <si>
    <t>Geological and Mineral Technologists</t>
  </si>
  <si>
    <t>Furniture and Fixture Assemblers</t>
  </si>
  <si>
    <t>Gas Maintenance Workers</t>
  </si>
  <si>
    <t>Golf Course Superintendents</t>
  </si>
  <si>
    <t>Glass Finishing Machine Operators</t>
  </si>
  <si>
    <t>Horticulturists</t>
  </si>
  <si>
    <t>Industrial Designers</t>
  </si>
  <si>
    <t>Industrial Electricians</t>
  </si>
  <si>
    <t>Inspectors and Testers, Electrical Appliance, Apparatus and Equipment Manufacturing</t>
  </si>
  <si>
    <t>Glaziers</t>
  </si>
  <si>
    <t>Land Surveyors</t>
  </si>
  <si>
    <t>Landscape Architects</t>
  </si>
  <si>
    <t>Landscapers</t>
  </si>
  <si>
    <t>Inspectors and Testers, Fabric, Fur and Leather Products Manufacturing</t>
  </si>
  <si>
    <t>Licensed Practical Nurses</t>
  </si>
  <si>
    <t>Lathers</t>
  </si>
  <si>
    <t>Line-Haul and Local Truck Drivers</t>
  </si>
  <si>
    <t>Long-Haul Truck Drivers</t>
  </si>
  <si>
    <t>Machine Fitters</t>
  </si>
  <si>
    <t>Longshore Workers</t>
  </si>
  <si>
    <t>Machining and Tooling Inspectors</t>
  </si>
  <si>
    <t>Machining Tool Operators</t>
  </si>
  <si>
    <t>Machinists</t>
  </si>
  <si>
    <t>Major Appliance Repairers/Technicians</t>
  </si>
  <si>
    <t>Make-Up Artists</t>
  </si>
  <si>
    <t>Mechanical Engineering Technologists</t>
  </si>
  <si>
    <t>Machine Operators, Food and Beverage Processing</t>
  </si>
  <si>
    <t>Medical Laboratory Technicians</t>
  </si>
  <si>
    <t>Medical Sonographers</t>
  </si>
  <si>
    <t>Metal Mould Makers</t>
  </si>
  <si>
    <t>Metal Patternmakers</t>
  </si>
  <si>
    <t>Meteorological Technicians</t>
  </si>
  <si>
    <t>Milliners</t>
  </si>
  <si>
    <t>Mechanical Inspectors</t>
  </si>
  <si>
    <t>Motorcycle and Other Related Mechanics</t>
  </si>
  <si>
    <t>Mixing Machine Operators - Plastics Processing</t>
  </si>
  <si>
    <t>Musicians</t>
  </si>
  <si>
    <t>Naturopaths</t>
  </si>
  <si>
    <t>Occupational Health Nurses</t>
  </si>
  <si>
    <t>Occupational Therapists</t>
  </si>
  <si>
    <t>Ocularists</t>
  </si>
  <si>
    <t>Ophthalmic Medical Assistants</t>
  </si>
  <si>
    <t>Optometrists</t>
  </si>
  <si>
    <t>Outdoor Sport and Recreational Guides</t>
  </si>
  <si>
    <t>Moulding Process Operators - Plastics Processing</t>
  </si>
  <si>
    <t>Painters and Coaters - Industrial</t>
  </si>
  <si>
    <t>Papermaking and Finishing Machine Operators</t>
  </si>
  <si>
    <t>Photographers</t>
  </si>
  <si>
    <t>Physiotherapists</t>
  </si>
  <si>
    <t>Pharmacy Assistants</t>
  </si>
  <si>
    <t>Power System Electricians</t>
  </si>
  <si>
    <t>Plating, Metal Spraying and Related Operators</t>
  </si>
  <si>
    <t>Proofmakers</t>
  </si>
  <si>
    <t>Psychiatric Nurses</t>
  </si>
  <si>
    <t>Radiation Therapists</t>
  </si>
  <si>
    <t>Radiological Technologists</t>
  </si>
  <si>
    <t>Refrigeration and Air Conditioning Mechanics</t>
  </si>
  <si>
    <t>Respiratory Therapists</t>
  </si>
  <si>
    <t>Pre-Press Technicians</t>
  </si>
  <si>
    <t>Scalp Treatment Specialists</t>
  </si>
  <si>
    <t>Process Control Operators, Food and Beverage Processing</t>
  </si>
  <si>
    <t>Sawmill Machine Operators</t>
  </si>
  <si>
    <t>Scanner Operators</t>
  </si>
  <si>
    <t>Shoe Repairers</t>
  </si>
  <si>
    <t>Shoemakers</t>
  </si>
  <si>
    <t>Small Appliance Servicers and Repairers</t>
  </si>
  <si>
    <t>Specialty Finishing Equipment Operators</t>
  </si>
  <si>
    <t>Sprinkler System Installers</t>
  </si>
  <si>
    <t>Steamfitters and Pipefitters</t>
  </si>
  <si>
    <t>Stunt Co-ordinators and Special Effects Technicians</t>
  </si>
  <si>
    <t>Supervisors, Railway Transport Operations</t>
  </si>
  <si>
    <t>Tailors</t>
  </si>
  <si>
    <t>School Bus Drivers</t>
  </si>
  <si>
    <t>Taxidermists</t>
  </si>
  <si>
    <t>Telecommunications Line and Cable Workers</t>
  </si>
  <si>
    <t>Sewing Machine Operators</t>
  </si>
  <si>
    <t>Tool and Die Makers</t>
  </si>
  <si>
    <t>Veterinarians</t>
  </si>
  <si>
    <t>Watch Repairers</t>
  </si>
  <si>
    <t>Acupuncturists</t>
  </si>
  <si>
    <t>Air Traffic Controllers</t>
  </si>
  <si>
    <t>Aircraft Electrical Mechanics and Technicians</t>
  </si>
  <si>
    <t>Aircraft Instrument Mechanics and Technicians</t>
  </si>
  <si>
    <t>Airworthiness Inspectors</t>
  </si>
  <si>
    <t>Ambulance Attendants and Other Paramedical Occupations</t>
  </si>
  <si>
    <t>Shinglers</t>
  </si>
  <si>
    <t>Answering Service Operators</t>
  </si>
  <si>
    <t>Architects</t>
  </si>
  <si>
    <t>Harvesting Labourers</t>
  </si>
  <si>
    <t>Head Nurses and Supervisors</t>
  </si>
  <si>
    <t>Home Economists</t>
  </si>
  <si>
    <t>Image Consultants</t>
  </si>
  <si>
    <t>Industrial Butchers</t>
  </si>
  <si>
    <t>Industrial Meat Cutters</t>
  </si>
  <si>
    <t>Information Systems Quality Assurance Analysts</t>
  </si>
  <si>
    <t>Inspectors, Industrial Electrical Motors and Transformers</t>
  </si>
  <si>
    <t>Janitors, Caretakers and Building Superintendents</t>
  </si>
  <si>
    <t>Labourers in Chemical Products Processing and Utilities</t>
  </si>
  <si>
    <t>Machine Operators, Electrical Apparatus Manufacturing</t>
  </si>
  <si>
    <t>Maintenance Managers</t>
  </si>
  <si>
    <t>Manufacturing Managers</t>
  </si>
  <si>
    <t>Marina Service Station Attendants</t>
  </si>
  <si>
    <t>Marine Plant Gatherers</t>
  </si>
  <si>
    <t>Meat Inspectors</t>
  </si>
  <si>
    <t>Museum and Other Related Interpreters</t>
  </si>
  <si>
    <t>Museum Extension Officers</t>
  </si>
  <si>
    <t>Natural Gas Supply Managers</t>
  </si>
  <si>
    <t>Nursery and Greenhouse Operators and Managers</t>
  </si>
  <si>
    <t>Nursery and Greenhouse Workers</t>
  </si>
  <si>
    <t>Occupational/Industrial Hygienists</t>
  </si>
  <si>
    <t>Oil and Gas Drilling, Servicing and Related Labourers</t>
  </si>
  <si>
    <t>Orthopedic Technologists</t>
  </si>
  <si>
    <t>Osteopaths</t>
  </si>
  <si>
    <t>Other Metal Products Machine Operators</t>
  </si>
  <si>
    <t>Other Service Supervisors</t>
  </si>
  <si>
    <t>Other Wood Products Assemblers</t>
  </si>
  <si>
    <t>Other Wood Products Inspectors</t>
  </si>
  <si>
    <t>Petroleum Product Distribution Managers</t>
  </si>
  <si>
    <t>Physicists</t>
  </si>
  <si>
    <t>Plant Protection Inspectors</t>
  </si>
  <si>
    <t>Platemakers</t>
  </si>
  <si>
    <t>Postal Clerks</t>
  </si>
  <si>
    <t>Poultry Preparers</t>
  </si>
  <si>
    <t>Power Station Operators</t>
  </si>
  <si>
    <t>Power Systems Operators</t>
  </si>
  <si>
    <t>Primary Production Managers (Except Agriculture)</t>
  </si>
  <si>
    <t>Private Investigators</t>
  </si>
  <si>
    <t>Psychic Consultants</t>
  </si>
  <si>
    <t>Railway Conductors</t>
  </si>
  <si>
    <t>Recreation Consultants</t>
  </si>
  <si>
    <t>Science Policy and Program Officers</t>
  </si>
  <si>
    <t>Script Assistants</t>
  </si>
  <si>
    <t>Shellfish Harvesters</t>
  </si>
  <si>
    <t>Sheriffs and Bailiffs</t>
  </si>
  <si>
    <t>Ship Pursers</t>
  </si>
  <si>
    <t>Singers</t>
  </si>
  <si>
    <t>Sports Consultants</t>
  </si>
  <si>
    <t>Supervisors, Fabric, Fur and Leather Products Manufacturing</t>
  </si>
  <si>
    <t>Supervisors, Furniture and Fixtures Manufacturing</t>
  </si>
  <si>
    <t>Supervisors, Logging and Forestry</t>
  </si>
  <si>
    <t>Supervisors, Motor Vehicle Assembling</t>
  </si>
  <si>
    <t>Systems Auditors</t>
  </si>
  <si>
    <t>Systems Testing Technicians</t>
  </si>
  <si>
    <t>Textile Dyeing and Finishing Machine Operators</t>
  </si>
  <si>
    <t>Transportation Managers, Freight Traffic</t>
  </si>
  <si>
    <t>Transportation Managers, Operations</t>
  </si>
  <si>
    <t>Travel Counsellors</t>
  </si>
  <si>
    <t>Trimmers</t>
  </si>
  <si>
    <t>Urban and Land Use Planners</t>
  </si>
  <si>
    <t>Waste Systems Managers</t>
  </si>
  <si>
    <t>Water Pollution Control Managers</t>
  </si>
  <si>
    <t>Water Supply Managers</t>
  </si>
  <si>
    <t>Wedding Consultants</t>
  </si>
  <si>
    <t>Accommodation Service Managers</t>
  </si>
  <si>
    <t>Accounting and Related Clerks</t>
  </si>
  <si>
    <t>Architecture and Science Managers</t>
  </si>
  <si>
    <t>Archive Technicians and Assistants</t>
  </si>
  <si>
    <t>Archivists</t>
  </si>
  <si>
    <t>Automotive Mechanical Installers and Servicers</t>
  </si>
  <si>
    <t>Babysitters</t>
  </si>
  <si>
    <t>Biologists</t>
  </si>
  <si>
    <t>Boat Operators</t>
  </si>
  <si>
    <t>Bookkeepers</t>
  </si>
  <si>
    <t>By-law Enforcement Officers</t>
  </si>
  <si>
    <t>Call Centre Agents</t>
  </si>
  <si>
    <t>Cargo Service Representatives (Except Airline)</t>
  </si>
  <si>
    <t>Central Supply Aides</t>
  </si>
  <si>
    <t>Chimney Cleaners</t>
  </si>
  <si>
    <t>Classification Officers, Correctional Institutions</t>
  </si>
  <si>
    <t>Cleaning Supervisors</t>
  </si>
  <si>
    <t>Collectors</t>
  </si>
  <si>
    <t>Commercial Transport Inspectors</t>
  </si>
  <si>
    <t>Community and Social Service Workers</t>
  </si>
  <si>
    <t>Companions</t>
  </si>
  <si>
    <t>Computer and Information Systems Managers</t>
  </si>
  <si>
    <t>Corporate Security Officers</t>
  </si>
  <si>
    <t>Court Clerks</t>
  </si>
  <si>
    <t>Court Officers</t>
  </si>
  <si>
    <t>Creative Writers</t>
  </si>
  <si>
    <t>Customer Service Clerks in Insurance, Telephone, Utility and Similar Companies</t>
  </si>
  <si>
    <t>Customer Service Clerks in Retail Establishments</t>
  </si>
  <si>
    <t>Customer Service Representatives - Financial Services</t>
  </si>
  <si>
    <t>Customs Brokers</t>
  </si>
  <si>
    <t>Dietary Technicians</t>
  </si>
  <si>
    <t>Dietitians and Nutritionists</t>
  </si>
  <si>
    <t>Dispatchers</t>
  </si>
  <si>
    <t>Early Childhood Educator Assistants</t>
  </si>
  <si>
    <t>Early Childhood Educators</t>
  </si>
  <si>
    <t>Editors</t>
  </si>
  <si>
    <t>Education Policy Researchers, Consultants and Program Officers</t>
  </si>
  <si>
    <t>Elementary School and Kindergarten Teachers</t>
  </si>
  <si>
    <t>Engineering Managers</t>
  </si>
  <si>
    <t>Excise Tax Revenue Officers</t>
  </si>
  <si>
    <t>Executive Assistants</t>
  </si>
  <si>
    <t>Executive Chefs</t>
  </si>
  <si>
    <t>Executive Housekeepers</t>
  </si>
  <si>
    <t>Facility Operation Managers</t>
  </si>
  <si>
    <t>Ferry Terminal Workers</t>
  </si>
  <si>
    <t>File Clerks</t>
  </si>
  <si>
    <t>Fish Plant Machine Operators</t>
  </si>
  <si>
    <t>Food and Beverage Servers</t>
  </si>
  <si>
    <t>Food Service Counter Attendants and Food Preparers</t>
  </si>
  <si>
    <t>Food Service Supervisors</t>
  </si>
  <si>
    <t>Furnace and Ventilation System Cleaners</t>
  </si>
  <si>
    <t>Gambling Casino Workers</t>
  </si>
  <si>
    <t>Garbage Collection Inspectors</t>
  </si>
  <si>
    <t>Geological Engineers</t>
  </si>
  <si>
    <t>Geologists, Geochemists and Geophysicists</t>
  </si>
  <si>
    <t>Grain Elevator Operators</t>
  </si>
  <si>
    <t>Health Policy Researchers, Consultants and Program Officers</t>
  </si>
  <si>
    <t>Hotel Front Desk Clerks</t>
  </si>
  <si>
    <t>Housing Policy Analysts</t>
  </si>
  <si>
    <t>Hunters</t>
  </si>
  <si>
    <t>Information Clerks</t>
  </si>
  <si>
    <t>Information Systems Business Analysts and Consultants</t>
  </si>
  <si>
    <t>Insurance Adjusters</t>
  </si>
  <si>
    <t>Insurance Agents and Brokers</t>
  </si>
  <si>
    <t>Insurance Claims Examiners</t>
  </si>
  <si>
    <t>International Aid and Development Project Officers</t>
  </si>
  <si>
    <t>Interpreters</t>
  </si>
  <si>
    <t>Inventory Clerks</t>
  </si>
  <si>
    <t>Ironing, Pressing and Finishing Occupations</t>
  </si>
  <si>
    <t>Justices of the Peace</t>
  </si>
  <si>
    <t>Labourers in Fish Processing</t>
  </si>
  <si>
    <t>Labourers in Food, Beverage and Tobacco Processing</t>
  </si>
  <si>
    <t>Labourers in Metal Fabrication</t>
  </si>
  <si>
    <t>Labourers in Mineral and Metal Processing</t>
  </si>
  <si>
    <t>Labourers in Textile Processing</t>
  </si>
  <si>
    <t>Artistic Floral Arrangers</t>
  </si>
  <si>
    <t>Dance Teachers</t>
  </si>
  <si>
    <t>Dancers</t>
  </si>
  <si>
    <t>Metal Arts Workers</t>
  </si>
  <si>
    <t>Athletes</t>
  </si>
  <si>
    <t>Potters</t>
  </si>
  <si>
    <t>Civil Engineering Technicians</t>
  </si>
  <si>
    <t>Stained Glass Artists</t>
  </si>
  <si>
    <t>Industrial Engineering and Manufacturing Technicians</t>
  </si>
  <si>
    <t>Mechanical Engineering Technicians</t>
  </si>
  <si>
    <t>Weavers</t>
  </si>
  <si>
    <t>Aircraft Mechanics</t>
  </si>
  <si>
    <t>Carvers</t>
  </si>
  <si>
    <t>Stringed Instrument Makers</t>
  </si>
  <si>
    <t>Aerial Survey Technologists and Technicians</t>
  </si>
  <si>
    <t>Blacksmiths</t>
  </si>
  <si>
    <t>Die Setters</t>
  </si>
  <si>
    <t>Boilermakers</t>
  </si>
  <si>
    <t>Sheet Metal Workers</t>
  </si>
  <si>
    <t>Blasters - Surface Mining, Quarrying and Construction</t>
  </si>
  <si>
    <t>Cabinetmakers</t>
  </si>
  <si>
    <t>Craft Instructors</t>
  </si>
  <si>
    <t>Construction Millwrights and Industrial Mechanics (Except Textile)</t>
  </si>
  <si>
    <t>Desktop Publishing Operators</t>
  </si>
  <si>
    <t>Electrical and Electronics Engineering Technicians</t>
  </si>
  <si>
    <t>Dental Laboratory Bench Workers</t>
  </si>
  <si>
    <t>Electrical Power Line and Cable Workers</t>
  </si>
  <si>
    <t>Electronic Service Technicians (Household and Business Equipment)</t>
  </si>
  <si>
    <t>Electronics Assemblers</t>
  </si>
  <si>
    <t>Electrical Mechanics</t>
  </si>
  <si>
    <t>Electronics Fabricators</t>
  </si>
  <si>
    <t>Exhibit Designers</t>
  </si>
  <si>
    <t>File Preparation Operators</t>
  </si>
  <si>
    <t>Flight Engineers (Second Officers)</t>
  </si>
  <si>
    <t>Flying Instructors</t>
  </si>
  <si>
    <t>Forestry Technologists and Technicians</t>
  </si>
  <si>
    <t>Graphic Designers</t>
  </si>
  <si>
    <t>Embalmers</t>
  </si>
  <si>
    <t>Illustrators</t>
  </si>
  <si>
    <t>Landscape Designers and Landscape Architectural Technicians and Technologists</t>
  </si>
  <si>
    <t>Gunsmiths</t>
  </si>
  <si>
    <t>Markup Persons</t>
  </si>
  <si>
    <t>Heavy-Duty Equipment Mechanics</t>
  </si>
  <si>
    <t>Manual Mouldmakers</t>
  </si>
  <si>
    <t>Motor Vehicle Body Repairers</t>
  </si>
  <si>
    <t>Oil and Solid Fuel Heating Mechanics</t>
  </si>
  <si>
    <t>Pilots</t>
  </si>
  <si>
    <t>Pre-flight Operators</t>
  </si>
  <si>
    <t>Printing Press Operators</t>
  </si>
  <si>
    <t>Prosthetists and Orthotists</t>
  </si>
  <si>
    <t>Puppeteers</t>
  </si>
  <si>
    <t>Other Repairers and Servicers</t>
  </si>
  <si>
    <t>Sewing Instructors</t>
  </si>
  <si>
    <t>Photographic and Film Processors</t>
  </si>
  <si>
    <t>Supervisors, Printing and Related Occupations</t>
  </si>
  <si>
    <t>Theatre Designers</t>
  </si>
  <si>
    <t>Typesetting Input Operators</t>
  </si>
  <si>
    <t>Typesetting Output Operators</t>
  </si>
  <si>
    <t>Railway Carmen/women</t>
  </si>
  <si>
    <t>Aircraft Assembly Inspectors</t>
  </si>
  <si>
    <t>Art Instructors and Teachers</t>
  </si>
  <si>
    <t>Textile Machinery Mechanics and Repairers</t>
  </si>
  <si>
    <t>Automotive Service Technicians</t>
  </si>
  <si>
    <t>Broadcast Technicians</t>
  </si>
  <si>
    <t>Underground Production and Development Miners</t>
  </si>
  <si>
    <t>Camera Crane Operators</t>
  </si>
  <si>
    <t>Cartographic Technologists and Technicians</t>
  </si>
  <si>
    <t>Chemical Technicians</t>
  </si>
  <si>
    <t>Chiropractors</t>
  </si>
  <si>
    <t>Civil Engineering Technologists</t>
  </si>
  <si>
    <t>Assemblers, Industrial Electrical Motors and Transformers</t>
  </si>
  <si>
    <t>Coaches</t>
  </si>
  <si>
    <t>Community Health Nurses</t>
  </si>
  <si>
    <t>Computer and Network Operators</t>
  </si>
  <si>
    <t>Butchers and Meat Cutters - Retail and Wholesale</t>
  </si>
  <si>
    <t>Clay Products Forming and Finishing Machine Operators</t>
  </si>
  <si>
    <t>Dental Technologists and Technicians</t>
  </si>
  <si>
    <t>Drafting Technicians</t>
  </si>
  <si>
    <t>Concrete Products Forming and Finishing Workers</t>
  </si>
  <si>
    <t>Concrete Products Machine Operators</t>
  </si>
  <si>
    <t>Engineer Officers, Water Transport</t>
  </si>
  <si>
    <t>Electrical Fitters and Wirers, Industrial Electrical Motors and Transformers</t>
  </si>
  <si>
    <t>Fashion Designers</t>
  </si>
  <si>
    <t>Film and Video Camera Operators</t>
  </si>
  <si>
    <t>Gas Fitters</t>
  </si>
  <si>
    <t>General Duty Registered Nurses</t>
  </si>
  <si>
    <t>Geographic Information Systems (GIS) Technologists and Technicians</t>
  </si>
  <si>
    <t>Geological and Mineral Technicians</t>
  </si>
  <si>
    <t>Graphic Arts Technicians</t>
  </si>
  <si>
    <t>Industrial Instrument Technicians and Mechanics</t>
  </si>
  <si>
    <t>Interior Designers</t>
  </si>
  <si>
    <t>Elevator Constructors and Mechanics</t>
  </si>
  <si>
    <t>Jewellers and Related Workers</t>
  </si>
  <si>
    <t>Land Survey Technicians</t>
  </si>
  <si>
    <t>Land Survey Technologists</t>
  </si>
  <si>
    <t>Locksmiths</t>
  </si>
  <si>
    <t>Magicians and Illusionists</t>
  </si>
  <si>
    <t>Mechanical Repairers, Motor Vehicle Manufacturing</t>
  </si>
  <si>
    <t>Medical Transcriptionists</t>
  </si>
  <si>
    <t>Farm Supervisors</t>
  </si>
  <si>
    <t>Midwives</t>
  </si>
  <si>
    <t>Occupations Unique to the Armed Forces</t>
  </si>
  <si>
    <t>Painters</t>
  </si>
  <si>
    <t>Patternmakers _x0013_ Textile, Leather and Fur Products</t>
  </si>
  <si>
    <t>Ironworkers</t>
  </si>
  <si>
    <t>Preparators and Museology Technicians</t>
  </si>
  <si>
    <t>Program Leaders and Instructors in Recreation and Sport</t>
  </si>
  <si>
    <t>Projectionists</t>
  </si>
  <si>
    <t>Props Persons and Set Builders</t>
  </si>
  <si>
    <t>Prosthetic and Orthotic Technicians</t>
  </si>
  <si>
    <t>Recreation Vehicle Technicians</t>
  </si>
  <si>
    <t>Remote Sensing Technologists and Technicians</t>
  </si>
  <si>
    <t>Metalworking Machine Operators</t>
  </si>
  <si>
    <t>Plumbers</t>
  </si>
  <si>
    <t>Residential and Commercial Installers and Servicers</t>
  </si>
  <si>
    <t>Roofers</t>
  </si>
  <si>
    <t>Sculptors</t>
  </si>
  <si>
    <t>Safe and Vault Servicers</t>
  </si>
  <si>
    <t>Sports Scouts</t>
  </si>
  <si>
    <t>Saw Fitters</t>
  </si>
  <si>
    <t>Specialized Livestock Workers</t>
  </si>
  <si>
    <t>Supervisors, Machinists and Related Occupations</t>
  </si>
  <si>
    <t>Switch Network Installers and Repairers</t>
  </si>
  <si>
    <t>Teachers of Music or Voice</t>
  </si>
  <si>
    <t>Telecommunications Equipment Technicians</t>
  </si>
  <si>
    <t>Telecommunications Service Testers</t>
  </si>
  <si>
    <t>Telephone Installers and Repairers</t>
  </si>
  <si>
    <t>Transport Truck and Trailer Mechanics</t>
  </si>
  <si>
    <t>Upholsterers</t>
  </si>
  <si>
    <t>Veterinary and Animal Health Technologists and Technicians</t>
  </si>
  <si>
    <t>Stone Forming and Finishing Workers</t>
  </si>
  <si>
    <t>Web Technicians</t>
  </si>
  <si>
    <t>Structural Metal and Platework Fabricators and Fitters</t>
  </si>
  <si>
    <t>Weavers, Knitters and Other Fabric-Making Occupations</t>
  </si>
  <si>
    <t>Aircraft Assemblers</t>
  </si>
  <si>
    <t>Aircraft Inspectors</t>
  </si>
  <si>
    <t>Alterationists</t>
  </si>
  <si>
    <t>Arborists and Tree Service Technicians</t>
  </si>
  <si>
    <t>Architectural Technologists and Technicians</t>
  </si>
  <si>
    <t>Arrangers</t>
  </si>
  <si>
    <t>Art Directors</t>
  </si>
  <si>
    <t>Tattoo Artists</t>
  </si>
  <si>
    <t>Audio Prosthetists</t>
  </si>
  <si>
    <t>Audiometric Assistants</t>
  </si>
  <si>
    <t>Avionics Mechanics and Technicians</t>
  </si>
  <si>
    <t>Amusement Attraction Operators</t>
  </si>
  <si>
    <t>Attendants in Amusement, Recreation and Sport</t>
  </si>
  <si>
    <t>Bricklayers</t>
  </si>
  <si>
    <t>Chefs and Specialist Chefs</t>
  </si>
  <si>
    <t>Cable Ferry Operators</t>
  </si>
  <si>
    <t>Chemical Technologists</t>
  </si>
  <si>
    <t>Chinese Medical Practitioners</t>
  </si>
  <si>
    <t>Choreographers</t>
  </si>
  <si>
    <t>Classified Advertising Clerks</t>
  </si>
  <si>
    <t>Community Pharmacists and Hospital Pharmacists</t>
  </si>
  <si>
    <t>Composers</t>
  </si>
  <si>
    <t>Conservation and Fishery Officers</t>
  </si>
  <si>
    <t>Correspondence Clerks</t>
  </si>
  <si>
    <t>Cosmeticians</t>
  </si>
  <si>
    <t>Court Recorders</t>
  </si>
  <si>
    <t>Chauffeurs</t>
  </si>
  <si>
    <t>Curatorial Assistants</t>
  </si>
  <si>
    <t>Curators</t>
  </si>
  <si>
    <t>Cylinder Preparers</t>
  </si>
  <si>
    <t>Deck Officers, Water Transport</t>
  </si>
  <si>
    <t>Chemical Plant Machine Operators</t>
  </si>
  <si>
    <t>Dental Assistants</t>
  </si>
  <si>
    <t>Dentists</t>
  </si>
  <si>
    <t>Directors</t>
  </si>
  <si>
    <t>Directors of Photography</t>
  </si>
  <si>
    <t>Driving Instructors</t>
  </si>
  <si>
    <t>Crane Operators</t>
  </si>
  <si>
    <t>Electronics Inspectors</t>
  </si>
  <si>
    <t>Delivery and Courier Service Drivers</t>
  </si>
  <si>
    <t>Film Editors</t>
  </si>
  <si>
    <t>Film, Radio and Television Producers</t>
  </si>
  <si>
    <t>Firefighters</t>
  </si>
  <si>
    <t>Front Desk Clerks (Except Hotel)</t>
  </si>
  <si>
    <t>Drywall Installers and Finishers</t>
  </si>
  <si>
    <t>Fabric Cutters</t>
  </si>
  <si>
    <t>General Office Clerks</t>
  </si>
  <si>
    <t>Fur Cutters</t>
  </si>
  <si>
    <t>Furniture and Fixture Inspectors</t>
  </si>
  <si>
    <t>Glass Cutters</t>
  </si>
  <si>
    <t>Hair Replacement Technicians (Non-Medical)</t>
  </si>
  <si>
    <t>Hairstylists</t>
  </si>
  <si>
    <t>Glass Forming Machine Operators</t>
  </si>
  <si>
    <t>Glass Process Control Operators</t>
  </si>
  <si>
    <t>Hospital Admitting Clerks</t>
  </si>
  <si>
    <t>Heavy Equipment Operators (Except Crane)</t>
  </si>
  <si>
    <t>Industrial Engineering and Manufacturing Technologists</t>
  </si>
  <si>
    <t>Industrial Pharmacists</t>
  </si>
  <si>
    <t>Hide and Pelt Processing Workers</t>
  </si>
  <si>
    <t>Inspectors, Weights and Measures</t>
  </si>
  <si>
    <t>Instructors and Teachers of Persons with Disabilities</t>
  </si>
  <si>
    <t>Landscape Gardeners</t>
  </si>
  <si>
    <t>Landscaping and Grounds Maintenance Contractors and Managers</t>
  </si>
  <si>
    <t>Housekeepers</t>
  </si>
  <si>
    <t>Legal Secretaries</t>
  </si>
  <si>
    <t>Inspectors and Testers, Mineral and Metal Processing</t>
  </si>
  <si>
    <t>Library Clerks</t>
  </si>
  <si>
    <t>Lock Equipment Operators</t>
  </si>
  <si>
    <t>Leather Cutters</t>
  </si>
  <si>
    <t>Letter Carriers</t>
  </si>
  <si>
    <t>Machine Operators, Mineral and Metal Processing</t>
  </si>
  <si>
    <t>Make-Up Consultants</t>
  </si>
  <si>
    <t>Mail Room Clerks</t>
  </si>
  <si>
    <t>Massage Therapists</t>
  </si>
  <si>
    <t>Mail Sorters</t>
  </si>
  <si>
    <t>Medical and Dental Receptionists</t>
  </si>
  <si>
    <t>Medical Laboratory Technologists</t>
  </si>
  <si>
    <t>Medical Secretaries</t>
  </si>
  <si>
    <t>Manual Coremakers</t>
  </si>
  <si>
    <t>Motor Vehicle Defects Investigators</t>
  </si>
  <si>
    <t>Nondestructive Testers and Inspectors</t>
  </si>
  <si>
    <t>Nuclear Medicine Technologists</t>
  </si>
  <si>
    <t>Mechanical Assemblers</t>
  </si>
  <si>
    <t>Oil and Gas Well Loggers, Testers and Related Workers</t>
  </si>
  <si>
    <t>Morgue Attendants</t>
  </si>
  <si>
    <t>Operating Room Technicians</t>
  </si>
  <si>
    <t>Opticians</t>
  </si>
  <si>
    <t>Oil and Gas Well Drilling Workers</t>
  </si>
  <si>
    <t>Oil and Gas Well Services Operators</t>
  </si>
  <si>
    <t>Other Small Engine and Equipment Mechanics</t>
  </si>
  <si>
    <t>Other Assemblers</t>
  </si>
  <si>
    <t>Painters and Decorators</t>
  </si>
  <si>
    <t>Other Inspectors</t>
  </si>
  <si>
    <t>Pathologists' Assistants</t>
  </si>
  <si>
    <t>Payroll Clerks</t>
  </si>
  <si>
    <t>Other Wood Processing Machine Operators</t>
  </si>
  <si>
    <t>Petroleum, Gas and Chemical Process Operators</t>
  </si>
  <si>
    <t>Picture Framers</t>
  </si>
  <si>
    <t>Paper Converting Machine Operators</t>
  </si>
  <si>
    <t>Police Officers (Except Commissioned)</t>
  </si>
  <si>
    <t>Pet Groomers and Animal Care Workers</t>
  </si>
  <si>
    <t>Plasterers</t>
  </si>
  <si>
    <t>Railway Accident Investigation Officers</t>
  </si>
  <si>
    <t>Readers and Press Clippers</t>
  </si>
  <si>
    <t>Receptionists</t>
  </si>
  <si>
    <t>Reflexologists</t>
  </si>
  <si>
    <t>Rolfers</t>
  </si>
  <si>
    <t>Secretaries (Except Legal and Medical)</t>
  </si>
  <si>
    <t>Settings Shop Foremen/women</t>
  </si>
  <si>
    <t>Sign Language Interpreters</t>
  </si>
  <si>
    <t>Printing Machine Operators</t>
  </si>
  <si>
    <t>Sports Officials and Referees</t>
  </si>
  <si>
    <t>Public Works Maintenance Equipment Operators</t>
  </si>
  <si>
    <t>Silviculture and Forestry Workers</t>
  </si>
  <si>
    <t>Supervisors, Electrical Products Manufacturing</t>
  </si>
  <si>
    <t>Supervisors, Electronics Manufacturing</t>
  </si>
  <si>
    <t>Supervisors, Forest Products Processing</t>
  </si>
  <si>
    <t>Supervisors, Mineral and Metal Processing</t>
  </si>
  <si>
    <t>Supervisors, Motor Transport and Other Ground Transit Operators</t>
  </si>
  <si>
    <t>Supervisors, Other Products Manufacturing and Assembly</t>
  </si>
  <si>
    <t>Supervisors, Petroleum, Gas and Chemical Processing and Utilities</t>
  </si>
  <si>
    <t>Switchboard Operators</t>
  </si>
  <si>
    <t>Storekeepers and Parts Clerks</t>
  </si>
  <si>
    <t>Telephone Operators</t>
  </si>
  <si>
    <t>Subway Train and Light Rail Transit Operators</t>
  </si>
  <si>
    <t>Taxi and Limousine Drivers</t>
  </si>
  <si>
    <t>Textile Inspectors, Graders and Samplers</t>
  </si>
  <si>
    <t>Waste Plant Operators</t>
  </si>
  <si>
    <t>Water Plant Operators</t>
  </si>
  <si>
    <t>Water Well Drillers</t>
  </si>
  <si>
    <t>Tilesetters</t>
  </si>
  <si>
    <t>Underground Mine Service and Support Workers</t>
  </si>
  <si>
    <t>Waterworks Maintenance Workers</t>
  </si>
  <si>
    <t>Welding, Brazing and Soldering Machine Operators</t>
  </si>
  <si>
    <t>Acting Teachers</t>
  </si>
  <si>
    <t>Actors and Comedians</t>
  </si>
  <si>
    <t>Woodworking Machine Operators</t>
  </si>
  <si>
    <t>Appraisers</t>
  </si>
  <si>
    <t>Aquaculture Operators and Managers</t>
  </si>
  <si>
    <t>Yard Locomotive Engineers</t>
  </si>
  <si>
    <t>Assessors</t>
  </si>
  <si>
    <t>Audiologists</t>
  </si>
  <si>
    <t>Bank Clerks</t>
  </si>
  <si>
    <t>Biological Technologists</t>
  </si>
  <si>
    <t>Air Transport Ramp Attendants</t>
  </si>
  <si>
    <t>Assemblers, Rubber Products</t>
  </si>
  <si>
    <t>Blood Donor Clinic Assistants</t>
  </si>
  <si>
    <t>Cardiology Technologists</t>
  </si>
  <si>
    <t>Brakemen/women</t>
  </si>
  <si>
    <t>Central Control and Process Operators, Mineral and Metal Processing</t>
  </si>
  <si>
    <t>College and Other Vocational Instructors</t>
  </si>
  <si>
    <t>Commissioned Officers, Armed Forces</t>
  </si>
  <si>
    <t>Communication Assistants</t>
  </si>
  <si>
    <t>Cable Yarding System Operators</t>
  </si>
  <si>
    <t>Construction Inspectors</t>
  </si>
  <si>
    <t>Cooks</t>
  </si>
  <si>
    <t>Copywriters</t>
  </si>
  <si>
    <t>Cashiers</t>
  </si>
  <si>
    <t>Customs Officers and Inspectors</t>
  </si>
  <si>
    <t>Concrete Finishers</t>
  </si>
  <si>
    <t>Driver's Licence Examiners</t>
  </si>
  <si>
    <t>Electroencephalographic (EEG) Technologists</t>
  </si>
  <si>
    <t>Electrologists</t>
  </si>
  <si>
    <t>Electromyography (EMG) Technologists</t>
  </si>
  <si>
    <t>Electronics Testers</t>
  </si>
  <si>
    <t>Farmers and Farm Managers</t>
  </si>
  <si>
    <t>Correctional Service Officers</t>
  </si>
  <si>
    <t>Deck Crew, Water Transport</t>
  </si>
  <si>
    <t>Flight Dispatchers</t>
  </si>
  <si>
    <t>Forestry Professionals</t>
  </si>
  <si>
    <t>Fishing Vessel Deckhands</t>
  </si>
  <si>
    <t>Foster Parents</t>
  </si>
  <si>
    <t>Fishing Vessel Skippers and Fishermen/women</t>
  </si>
  <si>
    <t>Forging Machine Operators</t>
  </si>
  <si>
    <t>Foundry Furnace Operators</t>
  </si>
  <si>
    <t>Furniture Finishers</t>
  </si>
  <si>
    <t>Furniture Refinishers</t>
  </si>
  <si>
    <t>Health Records Technicians</t>
  </si>
  <si>
    <t>Herbalists</t>
  </si>
  <si>
    <t>Homeopaths</t>
  </si>
  <si>
    <t>General Farm Workers</t>
  </si>
  <si>
    <t>Inspectors in Public and Environmental Health and Occupational Health and Safety</t>
  </si>
  <si>
    <t>Insulators</t>
  </si>
  <si>
    <t>Insurance Clerks</t>
  </si>
  <si>
    <t>Key Grips</t>
  </si>
  <si>
    <t>Kinesiologists</t>
  </si>
  <si>
    <t>Lawn Care Specialists</t>
  </si>
  <si>
    <t>Grocery Clerks and Store Shelf Stockers</t>
  </si>
  <si>
    <t>Inspectors and Testers, Electrical Apparatus Manufacturing</t>
  </si>
  <si>
    <t>Lumber Graders</t>
  </si>
  <si>
    <t>Marine Traffic Regulators</t>
  </si>
  <si>
    <t>Machine Mouldmakers and Coremakers</t>
  </si>
  <si>
    <t>Manicurists and Pedicurists</t>
  </si>
  <si>
    <t>Material Handlers (Equipment Operators)</t>
  </si>
  <si>
    <t>Material Handlers (Manual)</t>
  </si>
  <si>
    <t>Mechanical Harvester and Forwarder Operators</t>
  </si>
  <si>
    <t>Modelling and Finishing School Instructors</t>
  </si>
  <si>
    <t>Motor Vehicle Inspectors and Testers</t>
  </si>
  <si>
    <t>Mechanical Tree Processor and Loader Operators</t>
  </si>
  <si>
    <t>Oil and Gas Well Drillers and Well Servicers</t>
  </si>
  <si>
    <t>Metal Casters</t>
  </si>
  <si>
    <t>Orthoptists</t>
  </si>
  <si>
    <t>Other Financial Clerks</t>
  </si>
  <si>
    <t>Nurse Aides, Orderlies and Patient Service Associates</t>
  </si>
  <si>
    <t>Optical/Ophthalmic Laboratory Technicians and Assistants</t>
  </si>
  <si>
    <t>Papermaking and Coating Control Operators</t>
  </si>
  <si>
    <t>Other Trades Helpers and Labourers</t>
  </si>
  <si>
    <t>Patent Agents</t>
  </si>
  <si>
    <t>Other Wood Processing Inspectors and Graders</t>
  </si>
  <si>
    <t>Photogrammetric Technologists and Technicians</t>
  </si>
  <si>
    <t>Physical Rehabilitation Technicians</t>
  </si>
  <si>
    <t>Parking Control Officers</t>
  </si>
  <si>
    <t>Pest Controllers and Fumigators</t>
  </si>
  <si>
    <t>Post-Secondary Research Assistants</t>
  </si>
  <si>
    <t>Post-Secondary Teaching Assistants</t>
  </si>
  <si>
    <t>Plastic Products Assemblers and Finishers</t>
  </si>
  <si>
    <t>Proofreaders</t>
  </si>
  <si>
    <t>Property Masters</t>
  </si>
  <si>
    <t>Plastics Products Inspectors</t>
  </si>
  <si>
    <t>Pulping Control Operators</t>
  </si>
  <si>
    <t>Purchasing Agents and Officers</t>
  </si>
  <si>
    <t>Railway Locomotive Engineers</t>
  </si>
  <si>
    <t>Pulp Mill Machine Operators</t>
  </si>
  <si>
    <t>Railway Traffic Controllers</t>
  </si>
  <si>
    <t>Record Producers</t>
  </si>
  <si>
    <t>Records Management Clerks</t>
  </si>
  <si>
    <t>Recreation and Sports Program Supervisors</t>
  </si>
  <si>
    <t>Retail and Wholesale Buyers</t>
  </si>
  <si>
    <t>Railway Track Maintenance Workers</t>
  </si>
  <si>
    <t>Rubber Processing Machine Operators</t>
  </si>
  <si>
    <t>Rubber Products Inspectors</t>
  </si>
  <si>
    <t>Shippers and Receivers</t>
  </si>
  <si>
    <t>Sous-Chefs</t>
  </si>
  <si>
    <t>Specialists in Clinical Medicine</t>
  </si>
  <si>
    <t>Specialists in Surgery</t>
  </si>
  <si>
    <t>Speech-Language Pathologists</t>
  </si>
  <si>
    <t>Stationary Engineers and Auxiliary Equipment Operators</t>
  </si>
  <si>
    <t>Statistical Clerks</t>
  </si>
  <si>
    <t>Supervisors, Mining and Quarrying</t>
  </si>
  <si>
    <t>Supervisors, Oil and Gas Drilling and Service</t>
  </si>
  <si>
    <t>Supervisors, Other Mechanical and Metal Products Manufacturing</t>
  </si>
  <si>
    <t>Supervisors, Plastic and Rubber Products Manufacturing</t>
  </si>
  <si>
    <t>Supervisors, Textile Processing</t>
  </si>
  <si>
    <t>Survey Interviewers</t>
  </si>
  <si>
    <t>Technical Sales Specialists - Wholesale Trade</t>
  </si>
  <si>
    <t>Technical Writers</t>
  </si>
  <si>
    <t>Testers and Graders, Food and Beverage Processing</t>
  </si>
  <si>
    <t>Therapy Assistants</t>
  </si>
  <si>
    <t>User Support Technicians</t>
  </si>
  <si>
    <t>Valuators</t>
  </si>
  <si>
    <t>Administrative Clerks</t>
  </si>
  <si>
    <t>Advertising and Promotion Consultants</t>
  </si>
  <si>
    <t>Agricultural Representatives, Consultants and Specialists</t>
  </si>
  <si>
    <t>Animal Control Officers</t>
  </si>
  <si>
    <t>Aquaculture Support Workers</t>
  </si>
  <si>
    <t>Astrologers</t>
  </si>
  <si>
    <t>Astronomers</t>
  </si>
  <si>
    <t>Automotive Service Station Attendants</t>
  </si>
  <si>
    <t>Bartenders</t>
  </si>
  <si>
    <t>Carpet and Upholstery Cleaners</t>
  </si>
  <si>
    <t>Chainsaw and Skidder Operators</t>
  </si>
  <si>
    <t>Conference and Event Planners</t>
  </si>
  <si>
    <t>Construction Estimators</t>
  </si>
  <si>
    <t>Construction Managers</t>
  </si>
  <si>
    <t>Costumiers</t>
  </si>
  <si>
    <t>Couriers, Messengers and Door-to-Door Distributors</t>
  </si>
  <si>
    <t>Data Administrators</t>
  </si>
  <si>
    <t>Dry Cleaning and Laundry Supervisors</t>
  </si>
  <si>
    <t>Electrical Power Distribution Managers</t>
  </si>
  <si>
    <t>Engine Room Crew, Water Transport</t>
  </si>
  <si>
    <t>Ergonomists</t>
  </si>
  <si>
    <t>Exercise Therapists</t>
  </si>
  <si>
    <t>Film Strippers/Assemblers</t>
  </si>
  <si>
    <t>Fire Chiefs and Senior Firefighting Officers</t>
  </si>
  <si>
    <t>Fish and Fish Products Inspectors</t>
  </si>
  <si>
    <t>Fitness Appraisers</t>
  </si>
  <si>
    <t>Fitness Consultants</t>
  </si>
  <si>
    <t>Flight Attendants</t>
  </si>
  <si>
    <t>Flight Pursers, Customer Service Directors and Passenger Service Directors</t>
  </si>
  <si>
    <t>Fruit and Vegetables Inspectors</t>
  </si>
  <si>
    <t>General Practitioners and Family Physicians</t>
  </si>
  <si>
    <t>Grain Inspectors</t>
  </si>
  <si>
    <t>Graphic Arts Camera Operators</t>
  </si>
  <si>
    <t>Grips and Riggers</t>
  </si>
  <si>
    <t>Glass Blowers</t>
  </si>
  <si>
    <t>Landscaping and Grounds Maintenance Labourers</t>
  </si>
  <si>
    <t>Laundromat Attendants</t>
  </si>
  <si>
    <t>Legal Assistants and Paralegals</t>
  </si>
  <si>
    <t>Legislators</t>
  </si>
  <si>
    <t>Librarians</t>
  </si>
  <si>
    <t>Library Technicians and Assistants</t>
  </si>
  <si>
    <t>Liquor Licence Inspectors</t>
  </si>
  <si>
    <t>Maîtres d'hôtel and Hosts/Hostesses</t>
  </si>
  <si>
    <t>Materials Scientists</t>
  </si>
  <si>
    <t>Metallurgical and Materials Engineers</t>
  </si>
  <si>
    <t>Metallurgists</t>
  </si>
  <si>
    <t>Meteorologists</t>
  </si>
  <si>
    <t>Microbiologists and Cell and Molecular Biologists</t>
  </si>
  <si>
    <t>Mining Engineers</t>
  </si>
  <si>
    <t>Museum Registrars and Cataloguers</t>
  </si>
  <si>
    <t>Network System and Data Communication Engineers</t>
  </si>
  <si>
    <t>Other Labourers in Processing, Manufacturing and Utilities</t>
  </si>
  <si>
    <t>Other Products Machine Operators</t>
  </si>
  <si>
    <t>Other Service Providers</t>
  </si>
  <si>
    <t>Other Services Managers</t>
  </si>
  <si>
    <t>Parents' Helpers</t>
  </si>
  <si>
    <t>Parking Lot Attendants and Car Jockeys</t>
  </si>
  <si>
    <t>Personnel and Recruitment Officers</t>
  </si>
  <si>
    <t>Personnel Clerks</t>
  </si>
  <si>
    <t>Petroleum Engineers</t>
  </si>
  <si>
    <t>Postal and Courier Services Managers</t>
  </si>
  <si>
    <t>Probation and Parole Officers</t>
  </si>
  <si>
    <t>Production Clerks</t>
  </si>
  <si>
    <t>Program Officers Unique to Government</t>
  </si>
  <si>
    <t>Property Administrators</t>
  </si>
  <si>
    <t>Purchasing Clerks</t>
  </si>
  <si>
    <t>Radio Operators</t>
  </si>
  <si>
    <t>Railway Yard Workers</t>
  </si>
  <si>
    <t>Real Estate Agents and Salespersons</t>
  </si>
  <si>
    <t>Recreation and Sports Program and Service Directors</t>
  </si>
  <si>
    <t>Recreation, Sports and Fitness Policy Analysts</t>
  </si>
  <si>
    <t>Residential Home Builders and Renovators</t>
  </si>
  <si>
    <t>Restaurant and Food Service Managers</t>
  </si>
  <si>
    <t>Retail Loss Prevention Officers</t>
  </si>
  <si>
    <t>Retail Salespersons and Sales Clerks</t>
  </si>
  <si>
    <t>Retail Trade Managers</t>
  </si>
  <si>
    <t>Retail Trade Supervisors</t>
  </si>
  <si>
    <t>Sales Representatives - Wholesale Trade (Non-Technical)</t>
  </si>
  <si>
    <t>Secondary School Teachers</t>
  </si>
  <si>
    <t>Ship Attendants</t>
  </si>
  <si>
    <t>Ship Brokers</t>
  </si>
  <si>
    <t>Social Policy Researchers</t>
  </si>
  <si>
    <t>Social Services Planners</t>
  </si>
  <si>
    <t>Social Workers</t>
  </si>
  <si>
    <t>Software Engineers</t>
  </si>
  <si>
    <t>Soil Scientists</t>
  </si>
  <si>
    <t>Specialists in Human Resources</t>
  </si>
  <si>
    <t>Specialists in Laboratory Medicine</t>
  </si>
  <si>
    <t>Street Vendors</t>
  </si>
  <si>
    <t>Supervisors, Food, Beverage and Tobacco Processing</t>
  </si>
  <si>
    <t>Supervisors, General Office and Administrative Support Clerks</t>
  </si>
  <si>
    <t>Supervisors, Landscape and Horticulture</t>
  </si>
  <si>
    <t>Supervisors, Recording, Distributing and Scheduling Occupations</t>
  </si>
  <si>
    <t>Systems Security Analysts</t>
  </si>
  <si>
    <t>Taxi Inspectors</t>
  </si>
  <si>
    <t>Telecommunication Carriers Managers</t>
  </si>
  <si>
    <t>Terminologists</t>
  </si>
  <si>
    <t>Textile Engineers</t>
  </si>
  <si>
    <t>Textile Fibre and Yarn Preparation Machine Operators</t>
  </si>
  <si>
    <t>Ticket Agents and Related Clerks (Except Airline)</t>
  </si>
  <si>
    <t>Tobacco Processing Machine Operators</t>
  </si>
  <si>
    <t>Tour Guides</t>
  </si>
  <si>
    <t>Trademark Agents</t>
  </si>
  <si>
    <t>Transportation Route and Crew Schedulers</t>
  </si>
  <si>
    <t>Trappers</t>
  </si>
  <si>
    <t>Travel Guides</t>
  </si>
  <si>
    <t>Visiting Homemakers</t>
  </si>
  <si>
    <t>Weight Loss Consultants</t>
  </si>
  <si>
    <t>Window Cleaners</t>
  </si>
  <si>
    <t>Zoning Inspectors</t>
  </si>
  <si>
    <t>Administrative Officers</t>
  </si>
  <si>
    <t>Advertising Managers</t>
  </si>
  <si>
    <t>Airline Baggage Agents</t>
  </si>
  <si>
    <t>Airline Cargo Agents</t>
  </si>
  <si>
    <t>Airline Load Planners</t>
  </si>
  <si>
    <t>Airline Passenger and Ticket Agents</t>
  </si>
  <si>
    <t>Airline Reservation Agents</t>
  </si>
  <si>
    <t>Airline Station Agents</t>
  </si>
  <si>
    <t>Announcers and Other Broadcasters</t>
  </si>
  <si>
    <t>Biomedical Engineers</t>
  </si>
  <si>
    <t>Brokers</t>
  </si>
  <si>
    <t>Business Development Officers and Marketing Researchers and Consultants</t>
  </si>
  <si>
    <t>Chemical Engineers</t>
  </si>
  <si>
    <t>Chemists</t>
  </si>
  <si>
    <t>Clinical Nurses</t>
  </si>
  <si>
    <t>Colour Consultants</t>
  </si>
  <si>
    <t>Commissioned Police Officers</t>
  </si>
  <si>
    <t>Computer and Telecommunications Hardware Engineers</t>
  </si>
  <si>
    <t>Construction Trades Helpers and Labourers</t>
  </si>
  <si>
    <t>Database Analysts</t>
  </si>
  <si>
    <t>Demonstrators</t>
  </si>
  <si>
    <t>Direct Distributors</t>
  </si>
  <si>
    <t>Dishwashers</t>
  </si>
  <si>
    <t>Door-to-Door Salespersons</t>
  </si>
  <si>
    <t>Dry Cleaning and Laundry Inspectors and Assemblers</t>
  </si>
  <si>
    <t>Dry Cleaning and Laundry Machine Operators</t>
  </si>
  <si>
    <t>E-commerce Managers</t>
  </si>
  <si>
    <t>Educational Counsellors</t>
  </si>
  <si>
    <t>Employment Counsellors</t>
  </si>
  <si>
    <t>Employment Insurance Officers</t>
  </si>
  <si>
    <t>Engineering Physicists and Engineering Scientists</t>
  </si>
  <si>
    <t>Family, Marriage and Other Related Counsellors</t>
  </si>
  <si>
    <t>Financial Planners</t>
  </si>
  <si>
    <t>Fish Plant Cutters and Cleaners</t>
  </si>
  <si>
    <t>Flight Service Specialists</t>
  </si>
  <si>
    <t>Funeral Directors</t>
  </si>
  <si>
    <t>Funeral Home Attendants</t>
  </si>
  <si>
    <t>Gambling Casino Supervisors</t>
  </si>
  <si>
    <t>Immigration Officers</t>
  </si>
  <si>
    <t>Independent Paralegals</t>
  </si>
  <si>
    <t>Insurance Managers</t>
  </si>
  <si>
    <t>Insurance Underwriters</t>
  </si>
  <si>
    <t>Journalists</t>
  </si>
  <si>
    <t>Kitchen Helpers</t>
  </si>
  <si>
    <t>Labourers in Rubber and Plastic Products Manufacturing</t>
  </si>
  <si>
    <t>Labourers in Wood, Pulp and Paper Processing</t>
  </si>
  <si>
    <t>Light Duty Cleaners</t>
  </si>
  <si>
    <t>Loan Officers</t>
  </si>
  <si>
    <t>Logging and Forestry Labourers</t>
  </si>
  <si>
    <t>Management Consultants</t>
  </si>
  <si>
    <t>Managers _x0013_ Publishing, Motion Pictures, Broadcasting and Performing Arts</t>
  </si>
  <si>
    <t>Marine and Naval Engineers</t>
  </si>
  <si>
    <t>Marketing Managers</t>
  </si>
  <si>
    <t>Mechanical Engineers</t>
  </si>
  <si>
    <t>Mine Labourers</t>
  </si>
  <si>
    <t>Ministers of Religion</t>
  </si>
  <si>
    <t>Mortgage Broker Managers</t>
  </si>
  <si>
    <t>Mortgage Brokers</t>
  </si>
  <si>
    <t>Motor Vehicle Assemblers</t>
  </si>
  <si>
    <t>Nannies and Live-in Caregivers</t>
  </si>
  <si>
    <t>Notaries Public</t>
  </si>
  <si>
    <t>Nursing Consultants</t>
  </si>
  <si>
    <t>Nursing Researchers</t>
  </si>
  <si>
    <t>Other Administrative Services Managers</t>
  </si>
  <si>
    <t>Other Business Services Managers</t>
  </si>
  <si>
    <t>Other Managers in Public Administration</t>
  </si>
  <si>
    <t>Other Professional Occupations in Therapy and Assessment</t>
  </si>
  <si>
    <t>Other Religious Occupations</t>
  </si>
  <si>
    <t>Professional Occupations in Public Relations and Communications</t>
  </si>
  <si>
    <t>Public Relations Managers</t>
  </si>
  <si>
    <t>Purchasing Managers</t>
  </si>
  <si>
    <t>Real Estate Service Managers</t>
  </si>
  <si>
    <t>Sales Managers</t>
  </si>
  <si>
    <t>Sandblasters</t>
  </si>
  <si>
    <t>Securities Agents and Investment Dealers</t>
  </si>
  <si>
    <t>Securities Managers</t>
  </si>
  <si>
    <t>Security Guards and Related Occupations</t>
  </si>
  <si>
    <t>Social Survey Researchers</t>
  </si>
  <si>
    <t>Supervisors, Library, Correspondence and Related Information Clerks</t>
  </si>
  <si>
    <t>Supervisors, Mail and Message Distribution Occupations</t>
  </si>
  <si>
    <t>Ticket Takers and Ushers</t>
  </si>
  <si>
    <t>Train Service Attendants</t>
  </si>
  <si>
    <t>Translators</t>
  </si>
  <si>
    <t>Trust Officers</t>
  </si>
  <si>
    <t>Underwriters</t>
  </si>
  <si>
    <t>University Professors</t>
  </si>
  <si>
    <t>Vehicle Cleaners</t>
  </si>
  <si>
    <t>Web Designers and Developers</t>
  </si>
  <si>
    <t>Actuaries</t>
  </si>
  <si>
    <t>Administrators of Elementary and Secondary Education</t>
  </si>
  <si>
    <t>Administrators of Vocational Training Schools</t>
  </si>
  <si>
    <t>Agricultural and Bio-resource Engineers</t>
  </si>
  <si>
    <t>Anthropologists</t>
  </si>
  <si>
    <t>Archaeologists</t>
  </si>
  <si>
    <t>Baggage Porters</t>
  </si>
  <si>
    <t>Beauty Salon Attendants</t>
  </si>
  <si>
    <t>Civil Engineers</t>
  </si>
  <si>
    <t>Computer Programmers</t>
  </si>
  <si>
    <t>Door Attendants</t>
  </si>
  <si>
    <t>Electrical and Electronics Engineers</t>
  </si>
  <si>
    <t>Fashion Models</t>
  </si>
  <si>
    <t>Financial Examiners and Inspectors</t>
  </si>
  <si>
    <t>Financial Investigators</t>
  </si>
  <si>
    <t>Food Service Helpers</t>
  </si>
  <si>
    <t>Government Managers - Economic Analysis, Policy Development and Program Administration</t>
  </si>
  <si>
    <t>Government Managers - Education Policy Development and Program Administration</t>
  </si>
  <si>
    <t>Government Managers - Health and Social Policy Development and Program Administration</t>
  </si>
  <si>
    <t>Guest Service Attendants</t>
  </si>
  <si>
    <t>Historians</t>
  </si>
  <si>
    <t>Industrial and Manufacturing Engineers</t>
  </si>
  <si>
    <t>Interactive Media Developers</t>
  </si>
  <si>
    <t>Lawyers and Quebec Notaries</t>
  </si>
  <si>
    <t>Library, Archive, Museum and Art Gallery Managers</t>
  </si>
  <si>
    <t>Managers in Social, Community and Correctional Services</t>
  </si>
  <si>
    <t>Mathematicians</t>
  </si>
  <si>
    <t>Motor Transport Labourers</t>
  </si>
  <si>
    <t>Other Elemental Service Workers</t>
  </si>
  <si>
    <t>Other Social Science Professionals</t>
  </si>
  <si>
    <t>Psychologists</t>
  </si>
  <si>
    <t>Psychometricians and Psychometrists</t>
  </si>
  <si>
    <t>Public Works and Maintenance Labourers</t>
  </si>
  <si>
    <t>Railway Labourers</t>
  </si>
  <si>
    <t>Registrars</t>
  </si>
  <si>
    <t>School Principals</t>
  </si>
  <si>
    <t>Senior Managers - Goods Production, Utilities,Transportation and Construction</t>
  </si>
  <si>
    <t>Senior Managers - Trade, Broadcasting and Other Services, n.e.c.</t>
  </si>
  <si>
    <t>Statisticians</t>
  </si>
  <si>
    <t>Supervisors, Finance and Insurance Clerks</t>
  </si>
  <si>
    <t>Telephone Solicitors and Telemarketers</t>
  </si>
  <si>
    <t>Accountants</t>
  </si>
  <si>
    <t>Aerospace Engineers</t>
  </si>
  <si>
    <t>Banking and Other Investment Managers</t>
  </si>
  <si>
    <t>Credit Managers</t>
  </si>
  <si>
    <t>Economists and Economic Policy Researchers and Analysts</t>
  </si>
  <si>
    <t>Faculty Administrators</t>
  </si>
  <si>
    <t>Financial Analysts</t>
  </si>
  <si>
    <t>Financial Managers</t>
  </si>
  <si>
    <t>Geographers</t>
  </si>
  <si>
    <t>Human Resources Managers</t>
  </si>
  <si>
    <t>Investment Analysts</t>
  </si>
  <si>
    <t>Judges</t>
  </si>
  <si>
    <t>Linguists</t>
  </si>
  <si>
    <t>Managers in Health Care</t>
  </si>
  <si>
    <t>Political Scientists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</si>
  <si>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</si>
  <si>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</si>
  <si>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</si>
  <si>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>Sociologists</t>
  </si>
  <si>
    <t>Financial Auditors</t>
  </si>
  <si>
    <t>Welders and related machine operators</t>
  </si>
  <si>
    <t>Audio and video recording technicians</t>
  </si>
  <si>
    <t>Hairstylists and barbers</t>
  </si>
  <si>
    <t>Binding and finishing machine operators</t>
  </si>
  <si>
    <t>Agricultural and fish products inspectors</t>
  </si>
  <si>
    <t>Assemblers and inspectors, electrical appliance, apparatus and equipment manufacturing</t>
  </si>
  <si>
    <t>Boat assemblers and inspectors</t>
  </si>
  <si>
    <t>Other performers, n.e.c.</t>
  </si>
  <si>
    <t>Cable television service and maintenance technicians</t>
  </si>
  <si>
    <t>Respiratory therapists, clinical perfusionists and cardiopulmonary technologists</t>
  </si>
  <si>
    <t>Other trades and related occupations, n.e.c.</t>
  </si>
  <si>
    <t>Conductors, composers and arrangers</t>
  </si>
  <si>
    <t>Technical occupations related to museums and art galleries</t>
  </si>
  <si>
    <t>Conservators and curators</t>
  </si>
  <si>
    <t>Contractors and supervisors, carpentry trades</t>
  </si>
  <si>
    <t>Contractors and supervisors, electrical trades and telecommunications occupations</t>
  </si>
  <si>
    <t>Contractors and supervisors, heavy equipment operator crews</t>
  </si>
  <si>
    <t>Contractors and supervisors, mechanic trades</t>
  </si>
  <si>
    <t>Contractors and supervisors, machining, metal forming, shaping and erecting trades and related occupations</t>
  </si>
  <si>
    <t>Contractors and supervisors, other construction trades, installers, repairers and servicers</t>
  </si>
  <si>
    <t>Contractors and supervisors, pipefitting trades</t>
  </si>
  <si>
    <t>Data entry clerks</t>
  </si>
  <si>
    <t>Dental hygienists and dental therapists</t>
  </si>
  <si>
    <t>Other professional occupations in health diagnosing and treating</t>
  </si>
  <si>
    <t>Bus drivers, subway operators and other transit operators</t>
  </si>
  <si>
    <t>Tailors, dressmakers, furriers and milliners</t>
  </si>
  <si>
    <t>Plastics processing machine operators</t>
  </si>
  <si>
    <t>Electricians (except industrial and power system)</t>
  </si>
  <si>
    <t>Estheticians, electrologists and related occupations</t>
  </si>
  <si>
    <t>Support occupations in motion pictures, broadcasting, photography and the performing arts</t>
  </si>
  <si>
    <t>Fishing masters and officers</t>
  </si>
  <si>
    <t>Drillers and blasters - surface mining, quarrying and construction</t>
  </si>
  <si>
    <t>Retail and wholesale trade managers</t>
  </si>
  <si>
    <t>Floor covering installers</t>
  </si>
  <si>
    <t>Geological and mineral technologists and technicians</t>
  </si>
  <si>
    <t>Furniture and fixture assemblers and inspectors</t>
  </si>
  <si>
    <t>Waterworks and gas maintenance workers</t>
  </si>
  <si>
    <t>Landscape and horticulture technicians and specialists</t>
  </si>
  <si>
    <t>Glass forming and finishing machine operators and glass cutters</t>
  </si>
  <si>
    <t>Managers in horticulture</t>
  </si>
  <si>
    <t>Industrial designers</t>
  </si>
  <si>
    <t>Industrial electricians</t>
  </si>
  <si>
    <t>Land surveyors</t>
  </si>
  <si>
    <t>Landscape architects</t>
  </si>
  <si>
    <t>Landscaping and grounds maintenance labourers</t>
  </si>
  <si>
    <t>Inspectors and graders, textile, fabric, fur and leather products manufacturing</t>
  </si>
  <si>
    <t>Licensed practical nurses</t>
  </si>
  <si>
    <t>Plasterers, drywall installers and finishers and lathers</t>
  </si>
  <si>
    <t>Transport truck drivers</t>
  </si>
  <si>
    <t>Machine fitters</t>
  </si>
  <si>
    <t>Longshore workers</t>
  </si>
  <si>
    <t>Machinists and machining and tooling inspectors</t>
  </si>
  <si>
    <t>Machining tool operators</t>
  </si>
  <si>
    <t>Appliance servicers and repairers</t>
  </si>
  <si>
    <t>Mechanical engineering technologists and technicians</t>
  </si>
  <si>
    <t>Process control and machine operators, food, beverage and associated products processing</t>
  </si>
  <si>
    <t>Medical laboratory technicians and pathologists' assistants</t>
  </si>
  <si>
    <t>Medical sonographers</t>
  </si>
  <si>
    <t>Foundry workers</t>
  </si>
  <si>
    <t>Tool and die makers</t>
  </si>
  <si>
    <t>Technical occupations in geomatics and meteorology</t>
  </si>
  <si>
    <t>Mechanical assemblers and inspectors</t>
  </si>
  <si>
    <t>Motorcycle, all-terrain vehicle and other related mechanics</t>
  </si>
  <si>
    <t>Musicians and singers</t>
  </si>
  <si>
    <t>Registered nurses and registered psychiatric nurses</t>
  </si>
  <si>
    <t>Occupational therapists</t>
  </si>
  <si>
    <t>Other medical technologists and technicians (except dental health)</t>
  </si>
  <si>
    <t>Other technical occupations in therapy and assessment</t>
  </si>
  <si>
    <t>Outdoor sport and recreational guides</t>
  </si>
  <si>
    <t>Industrial painters, coaters and metal finishing process operators</t>
  </si>
  <si>
    <t>Papermaking and finishing machine operators</t>
  </si>
  <si>
    <t>Other assisting occupations in support of health services</t>
  </si>
  <si>
    <t>Power system electricians</t>
  </si>
  <si>
    <t>Camera, platemaking and other prepress occupations</t>
  </si>
  <si>
    <t>Medical radiation technologists</t>
  </si>
  <si>
    <t>Refrigeration and air conditioning mechanics</t>
  </si>
  <si>
    <t>Sawmill machine operators</t>
  </si>
  <si>
    <t>Desktop publishing operators and related occupations</t>
  </si>
  <si>
    <t>Shoe repairers and shoemakers</t>
  </si>
  <si>
    <t>Steamfitters, pipefitters and sprinkler system installers</t>
  </si>
  <si>
    <t>Supervisors, railway transport operations</t>
  </si>
  <si>
    <t>Telecommunications line and cable workers</t>
  </si>
  <si>
    <t>Industrial sewing machine operators</t>
  </si>
  <si>
    <t>Jewellers, jewellery and watch repairers and related occupations</t>
  </si>
  <si>
    <t>Practitioners of natural healing</t>
  </si>
  <si>
    <t>Air traffic controllers and related occupations</t>
  </si>
  <si>
    <t>Engineering inspectors and regulatory officers</t>
  </si>
  <si>
    <t>Paramedical occupations</t>
  </si>
  <si>
    <t>Roofers and shinglers</t>
  </si>
  <si>
    <t>Harvesting labourers</t>
  </si>
  <si>
    <t>Nursing co-ordinators and supervisors</t>
  </si>
  <si>
    <t>Social policy researchers, consultants and program officers</t>
  </si>
  <si>
    <t>Image, social and other personal consultants</t>
  </si>
  <si>
    <t>Industrial butchers and meat cutters, poultry preparers and related workers</t>
  </si>
  <si>
    <t>Information systems analysts and consultants</t>
  </si>
  <si>
    <t>Assemblers, fabricators and inspectors, industrial electrical motors and transformers</t>
  </si>
  <si>
    <t>Janitors, caretakers and building superintendents</t>
  </si>
  <si>
    <t>Labourers in chemical products processing and utilities</t>
  </si>
  <si>
    <t>Machine operators and inspectors, electrical apparatus manufacturing</t>
  </si>
  <si>
    <t>Facility operation and maintenance managers</t>
  </si>
  <si>
    <t>Manufacturing managers</t>
  </si>
  <si>
    <t>Service station attendants</t>
  </si>
  <si>
    <t>Aquaculture and marine harvest labourers</t>
  </si>
  <si>
    <t>Managers in natural resources production and fishing</t>
  </si>
  <si>
    <t>Nursery and greenhouse workers</t>
  </si>
  <si>
    <t>Natural and applied science policy researchers, consultants and program officers</t>
  </si>
  <si>
    <t>Oil and gas drilling, servicing and related labourers</t>
  </si>
  <si>
    <t>Other metal products machine operators</t>
  </si>
  <si>
    <t>Accommodation, travel, tourism and related services supervisors</t>
  </si>
  <si>
    <t>Other wood products assemblers and inspectors</t>
  </si>
  <si>
    <t>Lumber graders and other wood processing inspectors and graders</t>
  </si>
  <si>
    <t>Utilities managers</t>
  </si>
  <si>
    <t>Physicists and astronomers</t>
  </si>
  <si>
    <t>Mail, postal and related workers</t>
  </si>
  <si>
    <t>Power engineers and power systems operators</t>
  </si>
  <si>
    <t>Supervisors, supply chain, tracking and scheduling co-ordination occupations</t>
  </si>
  <si>
    <t>Security guards and related security service occupations</t>
  </si>
  <si>
    <t>Railway conductors and brakemen/women</t>
  </si>
  <si>
    <t>Recreation, sports and fitness policy researchers, consultants and program officers</t>
  </si>
  <si>
    <t>Sheriffs and bailiffs</t>
  </si>
  <si>
    <t>Pursers and flight attendants</t>
  </si>
  <si>
    <t>Supervisors, textile, fabric, fur and leather products processing and manufacturing</t>
  </si>
  <si>
    <t>Supervisors, furniture and fixtures manufacturing</t>
  </si>
  <si>
    <t>Supervisors, logging and forestry</t>
  </si>
  <si>
    <t>Supervisors, motor vehicle assembling</t>
  </si>
  <si>
    <t>Information systems testing technicians</t>
  </si>
  <si>
    <t>Textile fibre and yarn, hide and pelt processing machine operators and workers</t>
  </si>
  <si>
    <t>Managers in transportation</t>
  </si>
  <si>
    <t>Travel counsellors</t>
  </si>
  <si>
    <t>Urban and land use planners</t>
  </si>
  <si>
    <t>Accommodation service managers</t>
  </si>
  <si>
    <t>Accounting and related clerks</t>
  </si>
  <si>
    <t>Architecture and science managers</t>
  </si>
  <si>
    <t>Library and public archive technicians</t>
  </si>
  <si>
    <t>Other automotive mechanical installers and servicers</t>
  </si>
  <si>
    <t>Home child care providers</t>
  </si>
  <si>
    <t>Biologists and related scientists</t>
  </si>
  <si>
    <t>Boat and cable ferry operators and related occupations</t>
  </si>
  <si>
    <t>Accounting technicians and bookkeepers</t>
  </si>
  <si>
    <t>By-law enforcement and other regulatory officers, n.e.c.</t>
  </si>
  <si>
    <t>Other personal service occupations</t>
  </si>
  <si>
    <t>Ground and water transport ticket agents, cargo service representatives and related clerks</t>
  </si>
  <si>
    <t>Specialized cleaners</t>
  </si>
  <si>
    <t>Probation and parole officers and related occupations</t>
  </si>
  <si>
    <t>Cleaning supervisors</t>
  </si>
  <si>
    <t>Social and community service workers</t>
  </si>
  <si>
    <t>Home support workers, housekeepers and related occupations</t>
  </si>
  <si>
    <t>Computer and information systems managers</t>
  </si>
  <si>
    <t>Court clerks</t>
  </si>
  <si>
    <t>Court officers and justices of the peace</t>
  </si>
  <si>
    <t>Authors and writers</t>
  </si>
  <si>
    <t>Customer and information services supervisors</t>
  </si>
  <si>
    <t>Other customer and information services representatives</t>
  </si>
  <si>
    <t>Customer services representatives - financial institutions</t>
  </si>
  <si>
    <t>Customs, ship and other brokers</t>
  </si>
  <si>
    <t>Dietitians and nutritionists</t>
  </si>
  <si>
    <t>Early childhood educators and assistants</t>
  </si>
  <si>
    <t>Education policy researchers, consultants and program officers</t>
  </si>
  <si>
    <t>Elementary school and kindergarten teachers</t>
  </si>
  <si>
    <t>Engineering managers</t>
  </si>
  <si>
    <t>Employment insurance, immigration, border services and revenue officers</t>
  </si>
  <si>
    <t>Executive assistants</t>
  </si>
  <si>
    <t>Chefs</t>
  </si>
  <si>
    <t>Executive housekeepers</t>
  </si>
  <si>
    <t>General office support workers</t>
  </si>
  <si>
    <t>Fish and seafood plant workers</t>
  </si>
  <si>
    <t>Food and beverage servers</t>
  </si>
  <si>
    <t>Food counter attendants, kitchen helpers and related support occupations</t>
  </si>
  <si>
    <t>Food service supervisors</t>
  </si>
  <si>
    <t>Casino occupations</t>
  </si>
  <si>
    <t>Geological engineers</t>
  </si>
  <si>
    <t>Geoscientists and oceanographers</t>
  </si>
  <si>
    <t>Technical sales specialists - wholesale trade</t>
  </si>
  <si>
    <t>Health policy researchers, consultants and program officers</t>
  </si>
  <si>
    <t>Hotel front desk clerks</t>
  </si>
  <si>
    <t>Trappers and hunters</t>
  </si>
  <si>
    <t>Insurance adjusters and claims examiners</t>
  </si>
  <si>
    <t>Insurance agents and brokers</t>
  </si>
  <si>
    <t>Translators, terminologists and interpreters</t>
  </si>
  <si>
    <t>Purchasing and inventory control workers</t>
  </si>
  <si>
    <t>Dry cleaning, laundry and related occupations</t>
  </si>
  <si>
    <t>Labourers in fish and seafood processing</t>
  </si>
  <si>
    <t>Labourers in food, beverage and associated products processing</t>
  </si>
  <si>
    <t>Labourers in metal fabrication</t>
  </si>
  <si>
    <t>Labourers in mineral and metal processing</t>
  </si>
  <si>
    <t>Labourers in textile processing</t>
  </si>
  <si>
    <t>Artisans and craftspersons</t>
  </si>
  <si>
    <t>Civil engineering technologists and technicians</t>
  </si>
  <si>
    <t>Industrial engineering and manufacturing technologists and technicians</t>
  </si>
  <si>
    <t>Weavers, knitters and other fabric making occupations</t>
  </si>
  <si>
    <t>Sheet metal workers</t>
  </si>
  <si>
    <t>Construction millwrights and industrial mechanics</t>
  </si>
  <si>
    <t>Electrical power line and cable workers</t>
  </si>
  <si>
    <t>Electronic service technicians (household and business equipment)</t>
  </si>
  <si>
    <t>Electronics assemblers, fabricators, inspectors and testers</t>
  </si>
  <si>
    <t>Electrical mechanics</t>
  </si>
  <si>
    <t>Theatre, fashion, exhibit and other creative designers</t>
  </si>
  <si>
    <t>Air pilots, flight engineers and flying instructors</t>
  </si>
  <si>
    <t>Forestry technologists and technicians</t>
  </si>
  <si>
    <t>Graphic designers and illustrators</t>
  </si>
  <si>
    <t>Funeral directors and embalmers</t>
  </si>
  <si>
    <t>Heavy-duty equipment mechanics</t>
  </si>
  <si>
    <t>Motor vehicle body repairers</t>
  </si>
  <si>
    <t>Oil and solid fuel heating mechanics</t>
  </si>
  <si>
    <t>Printing press operators</t>
  </si>
  <si>
    <t>Other repairers and servicers</t>
  </si>
  <si>
    <t>Other instructors</t>
  </si>
  <si>
    <t>Photographic and film processors</t>
  </si>
  <si>
    <t>Supervisors, printing and related occupations</t>
  </si>
  <si>
    <t>Railway carmen/women</t>
  </si>
  <si>
    <t>Aircraft assemblers and aircraft assembly inspectors</t>
  </si>
  <si>
    <t>Painters, sculptors and other visual artists</t>
  </si>
  <si>
    <t>Automotive service technicians, truck and bus mechanics and mechanical repairers</t>
  </si>
  <si>
    <t>Broadcast technicians</t>
  </si>
  <si>
    <t>Underground production and development miners</t>
  </si>
  <si>
    <t>Chemical technologists and technicians</t>
  </si>
  <si>
    <t>Computer network technicians</t>
  </si>
  <si>
    <t>Butchers, meat cutters and fishmongers - retail and wholesale</t>
  </si>
  <si>
    <t>Concrete, clay and stone forming operators</t>
  </si>
  <si>
    <t>Engineer officers, water transport</t>
  </si>
  <si>
    <t>Film and video camera operators</t>
  </si>
  <si>
    <t>Gas fitters</t>
  </si>
  <si>
    <t>Graphic arts technicians</t>
  </si>
  <si>
    <t>Industrial instrument technicians and mechanics</t>
  </si>
  <si>
    <t>Interior designers and interior decorators</t>
  </si>
  <si>
    <t>Elevator constructors and mechanics</t>
  </si>
  <si>
    <t>Land survey technologists and technicians</t>
  </si>
  <si>
    <t>Court reporters, medical transcriptionists and related occupations</t>
  </si>
  <si>
    <t>Agricultural service contractors, farm supervisors and specialized livestock workers</t>
  </si>
  <si>
    <t>Allied primary health practitioners</t>
  </si>
  <si>
    <t>Non-commissioned ranks of the Canadian Forces</t>
  </si>
  <si>
    <t>Patternmakers - textile, leather and fur products</t>
  </si>
  <si>
    <t>Program leaders and instructors in recreation, sport and fitness</t>
  </si>
  <si>
    <t>Metalworking and forging machine operators</t>
  </si>
  <si>
    <t>Residential and commercial installers and servicers</t>
  </si>
  <si>
    <t>Telecommunications installation and repair workers</t>
  </si>
  <si>
    <t>Animal health technologists and veterinary technicians</t>
  </si>
  <si>
    <t>Structural metal and platework fabricators and fitters</t>
  </si>
  <si>
    <t>Architectural technologists and technicians</t>
  </si>
  <si>
    <t>Producers, directors, choreographers and related occupations</t>
  </si>
  <si>
    <t>Operators and attendants in amusement, recreation and sport</t>
  </si>
  <si>
    <t>Correspondence, publication and regulatory clerks</t>
  </si>
  <si>
    <t>Pharmacists</t>
  </si>
  <si>
    <t>Conservation and fishery officers</t>
  </si>
  <si>
    <t>Taxi and limousine drivers and chauffeurs</t>
  </si>
  <si>
    <t>Deck officers, water transport</t>
  </si>
  <si>
    <t>Chemical plant machine operators</t>
  </si>
  <si>
    <t>Dental assistants</t>
  </si>
  <si>
    <t>Recreation, sports and fitness program and service directors</t>
  </si>
  <si>
    <t>Crane operators</t>
  </si>
  <si>
    <t>Delivery and courier service drivers</t>
  </si>
  <si>
    <t>Fabric, fur and leather cutters</t>
  </si>
  <si>
    <t>Heavy equipment operators (except crane)</t>
  </si>
  <si>
    <t>Instructors of persons with disabilities</t>
  </si>
  <si>
    <t>Contractors and supervisors, landscaping, grounds maintenance and horticulture services</t>
  </si>
  <si>
    <t>Legal administrative assistants</t>
  </si>
  <si>
    <t>Inspectors and testers, mineral and metal processing</t>
  </si>
  <si>
    <t>Library assistants and clerks</t>
  </si>
  <si>
    <t>Letter carriers</t>
  </si>
  <si>
    <t>Machine operators, mineral and metal processing</t>
  </si>
  <si>
    <t>Massage therapists</t>
  </si>
  <si>
    <t>Medical administrative assistants</t>
  </si>
  <si>
    <t>Medical laboratory technologists</t>
  </si>
  <si>
    <t>Non-destructive testers and inspection technicians</t>
  </si>
  <si>
    <t>Oil and gas well drillers, servicers, testers and related workers</t>
  </si>
  <si>
    <t>Oil and gas well drilling and related workers and services operators</t>
  </si>
  <si>
    <t>Other small engine and small equipment repairers</t>
  </si>
  <si>
    <t>Other products assemblers, finishers and inspectors</t>
  </si>
  <si>
    <t>Painters and decorators (except interior decorators)</t>
  </si>
  <si>
    <t>Payroll clerks</t>
  </si>
  <si>
    <t>Other wood processing machine operators</t>
  </si>
  <si>
    <t>Petroleum, gas and chemical process operators</t>
  </si>
  <si>
    <t>Paper converting machine operators</t>
  </si>
  <si>
    <t>Police officers (except commissioned)</t>
  </si>
  <si>
    <t>Pet groomers and animal care workers</t>
  </si>
  <si>
    <t>Administrative assistants</t>
  </si>
  <si>
    <t>Plateless printing equipment operators</t>
  </si>
  <si>
    <t>Sports officials and referees</t>
  </si>
  <si>
    <t>Public works maintenance equipment operators and related workers</t>
  </si>
  <si>
    <t>Silviculture and forestry workers</t>
  </si>
  <si>
    <t>Supervisors, electrical products manufacturing</t>
  </si>
  <si>
    <t>Supervisors, electronics manufacturing</t>
  </si>
  <si>
    <t>Supervisors, forest products processing</t>
  </si>
  <si>
    <t>Supervisors, mineral and metal processing</t>
  </si>
  <si>
    <t>Supervisors, motor transport and other ground transit operators</t>
  </si>
  <si>
    <t>Supervisors, other products manufacturing and assembly</t>
  </si>
  <si>
    <t>Supervisors, petroleum, gas and chemical processing and utilities</t>
  </si>
  <si>
    <t>Storekeepers and partspersons</t>
  </si>
  <si>
    <t>Water and waste treatment plant operators</t>
  </si>
  <si>
    <t>Water well drillers</t>
  </si>
  <si>
    <t>Underground mine service and support workers</t>
  </si>
  <si>
    <t>Actors and comedians</t>
  </si>
  <si>
    <t>Woodworking machine operators</t>
  </si>
  <si>
    <t>Assessors, valuators and appraisers</t>
  </si>
  <si>
    <t>Managers in aquaculture</t>
  </si>
  <si>
    <t>Railway and yard locomotive engineers</t>
  </si>
  <si>
    <t>Audiologists and speech-language pathologists</t>
  </si>
  <si>
    <t>Banking, insurance and other financial clerks</t>
  </si>
  <si>
    <t>Air transport ramp attendants</t>
  </si>
  <si>
    <t>Rubber processing machine operators and related workers</t>
  </si>
  <si>
    <t>Central control and process operators, mineral and metal processing</t>
  </si>
  <si>
    <t>College and other vocational instructors</t>
  </si>
  <si>
    <t>Commissioned officers of the Canadian Forces</t>
  </si>
  <si>
    <t>Professional occupations in advertising, marketing and public relations</t>
  </si>
  <si>
    <t>Logging machinery operators</t>
  </si>
  <si>
    <t>Construction inspectors</t>
  </si>
  <si>
    <t>Concrete finishers</t>
  </si>
  <si>
    <t>Managers in agriculture</t>
  </si>
  <si>
    <t>Correctional service officers</t>
  </si>
  <si>
    <t>Water transport deck and engine room crew</t>
  </si>
  <si>
    <t>Forestry professionals</t>
  </si>
  <si>
    <t>Fishing vessel deckhands</t>
  </si>
  <si>
    <t>Fishermen/women</t>
  </si>
  <si>
    <t>Furniture finishers and refinishers</t>
  </si>
  <si>
    <t>Health information management occupations</t>
  </si>
  <si>
    <t>General farm workers</t>
  </si>
  <si>
    <t>Inspectors in public and environmental health and occupational health and safety</t>
  </si>
  <si>
    <t>Other professional occupations in therapy and assessment</t>
  </si>
  <si>
    <t>Store shelf stockers, clerks and order fillers</t>
  </si>
  <si>
    <t>Railway traffic controllers and marine traffic regulators</t>
  </si>
  <si>
    <t>Material handlers</t>
  </si>
  <si>
    <t>Motor vehicle assemblers, inspectors and testers</t>
  </si>
  <si>
    <t>Nurse aides, orderlies and patient service associates</t>
  </si>
  <si>
    <t>Pulping, papermaking and coating control operators</t>
  </si>
  <si>
    <t>Other trades helpers and labourers</t>
  </si>
  <si>
    <t>Other professional occupations in physical sciences</t>
  </si>
  <si>
    <t>Pest controllers and fumigators</t>
  </si>
  <si>
    <t>Post-secondary teaching and research assistants</t>
  </si>
  <si>
    <t>Plastic products assemblers, finishers and inspectors</t>
  </si>
  <si>
    <t>Purchasing agents and officers</t>
  </si>
  <si>
    <t>Pulp mill machine operators</t>
  </si>
  <si>
    <t>Records management technicians</t>
  </si>
  <si>
    <t>Retail and wholesale buyers</t>
  </si>
  <si>
    <t>Railway yard and track maintenance workers</t>
  </si>
  <si>
    <t>Shippers and receivers</t>
  </si>
  <si>
    <t>Specialist physicians</t>
  </si>
  <si>
    <t>Survey interviewers and statistical clerks</t>
  </si>
  <si>
    <t>Supervisors, mining and quarrying</t>
  </si>
  <si>
    <t>Contractors and supervisors, oil and gas drilling and services</t>
  </si>
  <si>
    <t>Supervisors, other mechanical and metal products manufacturing</t>
  </si>
  <si>
    <t>Supervisors, plastic and rubber products manufacturing</t>
  </si>
  <si>
    <t>Testers and graders, food, beverage and associated products processing</t>
  </si>
  <si>
    <t>User support technicians</t>
  </si>
  <si>
    <t>Agricultural representatives, consultants and specialists</t>
  </si>
  <si>
    <t>Chain saw and skidder operators</t>
  </si>
  <si>
    <t>Conference and event planners</t>
  </si>
  <si>
    <t>Construction estimators</t>
  </si>
  <si>
    <t>Construction managers</t>
  </si>
  <si>
    <t>Couriers, messengers and door-to-door distributors</t>
  </si>
  <si>
    <t>Database analysts and data administrators</t>
  </si>
  <si>
    <t>Fire chiefs and senior firefighting officers</t>
  </si>
  <si>
    <t>General practitioners and family physicians</t>
  </si>
  <si>
    <t>Other service support occupations, n.e.c.</t>
  </si>
  <si>
    <t>Paralegal and related occupations</t>
  </si>
  <si>
    <t>Maîtres d'hôtel and hosts/hostesses</t>
  </si>
  <si>
    <t>Metallurgical and materials engineers</t>
  </si>
  <si>
    <t>Meteorologists and climatologists</t>
  </si>
  <si>
    <t>Mining engineers</t>
  </si>
  <si>
    <t>Other labourers in processing, manufacturing and utilities</t>
  </si>
  <si>
    <t>Other services supervisors</t>
  </si>
  <si>
    <t>Managers in customer and personal services, n.e.c.</t>
  </si>
  <si>
    <t>Human resources and recruitment officers</t>
  </si>
  <si>
    <t>Personnel clerks</t>
  </si>
  <si>
    <t>Petroleum engineers</t>
  </si>
  <si>
    <t>Postal and courier services managers</t>
  </si>
  <si>
    <t>Production logistics co-ordinators</t>
  </si>
  <si>
    <t>Program officers unique to government</t>
  </si>
  <si>
    <t>Property administrators</t>
  </si>
  <si>
    <t>Real estate agents and salespersons</t>
  </si>
  <si>
    <t>Home building and renovation managers</t>
  </si>
  <si>
    <t>Restaurant and food service managers</t>
  </si>
  <si>
    <t>Retail salespersons</t>
  </si>
  <si>
    <t>Retail sales supervisors</t>
  </si>
  <si>
    <t>Sales and account representatives - wholesale trade (non-technical)</t>
  </si>
  <si>
    <t>Secondary school teachers</t>
  </si>
  <si>
    <t>Support occupations in accommodation, travel and facilities set-up services</t>
  </si>
  <si>
    <t>Social workers</t>
  </si>
  <si>
    <t>Computer engineers (except software engineers and designers)</t>
  </si>
  <si>
    <t>Human resources professionals</t>
  </si>
  <si>
    <t>Other sales related occupations</t>
  </si>
  <si>
    <t>Supervisors, food, beverage and associated products processing</t>
  </si>
  <si>
    <t>Supervisors, general office and administrative support workers</t>
  </si>
  <si>
    <t>Telecommunication carriers managers</t>
  </si>
  <si>
    <t>Other professional engineers, n.e.c.</t>
  </si>
  <si>
    <t>Tour and travel guides</t>
  </si>
  <si>
    <t>Transportation route and crew schedulers</t>
  </si>
  <si>
    <t>Administrative officers</t>
  </si>
  <si>
    <t>Advertising, marketing and public relations managers</t>
  </si>
  <si>
    <t>Airline ticket and service agents</t>
  </si>
  <si>
    <t>Announcers and other broadcasters</t>
  </si>
  <si>
    <t>Securities agents, investment dealers and brokers</t>
  </si>
  <si>
    <t>Business development officers and marketing researchers and consultants</t>
  </si>
  <si>
    <t>Chemical engineers</t>
  </si>
  <si>
    <t>Commissioned police officers</t>
  </si>
  <si>
    <t>Software engineers and designers</t>
  </si>
  <si>
    <t>Construction trades helpers and labourers</t>
  </si>
  <si>
    <t>Educational counsellors</t>
  </si>
  <si>
    <t>Employment counsellors</t>
  </si>
  <si>
    <t>Family, marriage and other related counsellors</t>
  </si>
  <si>
    <t>Other financial officers</t>
  </si>
  <si>
    <t>Insurance, real estate and financial brokerage managers</t>
  </si>
  <si>
    <t>Insurance underwriters</t>
  </si>
  <si>
    <t>Labourers in rubber and plastic products manufacturing</t>
  </si>
  <si>
    <t>Labourers in wood, pulp and paper processing</t>
  </si>
  <si>
    <t>Light duty cleaners</t>
  </si>
  <si>
    <t>Financial sales representatives</t>
  </si>
  <si>
    <t>Logging and forestry labourers</t>
  </si>
  <si>
    <t>Professional occupations in business management consulting</t>
  </si>
  <si>
    <t>Managers - publishing, motion pictures, broadcasting and performing arts</t>
  </si>
  <si>
    <t>Mechanical engineers</t>
  </si>
  <si>
    <t>Mine labourers</t>
  </si>
  <si>
    <t>Professional occupations in religion</t>
  </si>
  <si>
    <t>Other administrative services managers</t>
  </si>
  <si>
    <t>Other business services managers</t>
  </si>
  <si>
    <t>Other managers in public administration</t>
  </si>
  <si>
    <t>Other religious occupations</t>
  </si>
  <si>
    <t>Purchasing managers</t>
  </si>
  <si>
    <t>Corporate sales managers</t>
  </si>
  <si>
    <t>Supervisors, library, correspondence and related information workers</t>
  </si>
  <si>
    <t>Supervisors, mail and message distribution occupations</t>
  </si>
  <si>
    <t>University professors and lecturers</t>
  </si>
  <si>
    <t>Web designers and developers</t>
  </si>
  <si>
    <t>Mathematicians, statisticians and actuaries</t>
  </si>
  <si>
    <t>School principals and administrators of elementary and secondary education</t>
  </si>
  <si>
    <t>Administrators - post-secondary education and vocational training</t>
  </si>
  <si>
    <t>Other professional occupations in social science, n.e.c.</t>
  </si>
  <si>
    <t>Civil engineers</t>
  </si>
  <si>
    <t>Computer programmers and interactive media developers</t>
  </si>
  <si>
    <t>Electrical and electronics engineers</t>
  </si>
  <si>
    <t>Government managers - economic analysis, policy development and program administration</t>
  </si>
  <si>
    <t>Government managers - education policy development and program administration</t>
  </si>
  <si>
    <t>Government managers - health and social policy development and program administration</t>
  </si>
  <si>
    <t>Industrial and manufacturing engineers</t>
  </si>
  <si>
    <t>Lawyers and Quebec notaries</t>
  </si>
  <si>
    <t>Library, archive, museum and art gallery managers</t>
  </si>
  <si>
    <t>Managers in social, community and correctional services</t>
  </si>
  <si>
    <t>Railway and motor transport labourers</t>
  </si>
  <si>
    <t>Public works and maintenance labourers</t>
  </si>
  <si>
    <t>Senior managers - trade, broadcasting and other services, n.e.c.</t>
  </si>
  <si>
    <t>Supervisors, finance and insurance office workers</t>
  </si>
  <si>
    <t>Financial auditors and accountants</t>
  </si>
  <si>
    <t>Aerospace engineers</t>
  </si>
  <si>
    <t>Banking, credit and other investment managers</t>
  </si>
  <si>
    <t>Economists and economic policy researchers and analysts</t>
  </si>
  <si>
    <t>Statistical officers and related research support occupations</t>
  </si>
  <si>
    <t>Financial managers</t>
  </si>
  <si>
    <t>Human resources managers</t>
  </si>
  <si>
    <t>Financial and investment analysts</t>
  </si>
  <si>
    <t>Managers in health care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</si>
  <si>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</si>
  <si>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</si>
  <si>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</si>
  <si>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 xml:space="preserve">Check The Accuracy of Abilities Data </t>
  </si>
  <si>
    <t>Internally</t>
  </si>
  <si>
    <t>Enter values in F5:J43 of Abilities-NewQOrder sheet</t>
  </si>
  <si>
    <t>This will generate % match in T column of the same sheet</t>
  </si>
  <si>
    <t>Perform same selections in Drupal 9 Quiz and match the % values</t>
  </si>
  <si>
    <t>Match with Job Bank Data</t>
  </si>
  <si>
    <t>Based on your selections in Abilities-NewQOrder, selections will populate in the Abilities sheet</t>
  </si>
  <si>
    <t>Use the same selections in JobBank's Abilities quiz (Notice the order Easy to difficult is reversed, and Abilities sheet has the value in the same order as needed)</t>
  </si>
  <si>
    <t>Match the % Match with the  T column values of Abilities-NewQOrder</t>
  </si>
  <si>
    <t>Below is the screenshot of results of Zigzag pattern (newQOrder) checked with all three types of quizzes</t>
  </si>
  <si>
    <t>https://drive.google.com/file/d/1DmYvJh3HnAjB8BiukAgo29nfzEG8XhCR/view?usp=sharing</t>
  </si>
  <si>
    <t>Title</t>
  </si>
  <si>
    <t>NOCCode</t>
  </si>
  <si>
    <t>Int Val of NOC</t>
  </si>
  <si>
    <t>Compare</t>
  </si>
  <si>
    <t>0011</t>
  </si>
  <si>
    <t>0012</t>
  </si>
  <si>
    <t>0013</t>
  </si>
  <si>
    <t>0014</t>
  </si>
  <si>
    <t>0015</t>
  </si>
  <si>
    <t>Senior managers - construction, transportation, production and utilities</t>
  </si>
  <si>
    <t>0016</t>
  </si>
  <si>
    <t>0111</t>
  </si>
  <si>
    <t>0112</t>
  </si>
  <si>
    <t>0113</t>
  </si>
  <si>
    <t>0114</t>
  </si>
  <si>
    <t>0121</t>
  </si>
  <si>
    <t>0122</t>
  </si>
  <si>
    <t>0124</t>
  </si>
  <si>
    <t>0125</t>
  </si>
  <si>
    <t>0131</t>
  </si>
  <si>
    <t>0132</t>
  </si>
  <si>
    <t>0211</t>
  </si>
  <si>
    <t>0212</t>
  </si>
  <si>
    <t>0213</t>
  </si>
  <si>
    <t>0311</t>
  </si>
  <si>
    <t>0411</t>
  </si>
  <si>
    <t>0412</t>
  </si>
  <si>
    <t>0413</t>
  </si>
  <si>
    <t>0414</t>
  </si>
  <si>
    <t>0421</t>
  </si>
  <si>
    <t>0422</t>
  </si>
  <si>
    <t>0423</t>
  </si>
  <si>
    <t>0431</t>
  </si>
  <si>
    <t>0432</t>
  </si>
  <si>
    <t>0433</t>
  </si>
  <si>
    <t>0511</t>
  </si>
  <si>
    <t>0512</t>
  </si>
  <si>
    <t>0513</t>
  </si>
  <si>
    <t>0601</t>
  </si>
  <si>
    <t>0621</t>
  </si>
  <si>
    <t>0631</t>
  </si>
  <si>
    <t>0632</t>
  </si>
  <si>
    <t>0651</t>
  </si>
  <si>
    <t>0711</t>
  </si>
  <si>
    <t>0712</t>
  </si>
  <si>
    <t>0714</t>
  </si>
  <si>
    <t>0731</t>
  </si>
  <si>
    <t>0811</t>
  </si>
  <si>
    <t>0821</t>
  </si>
  <si>
    <t>0822</t>
  </si>
  <si>
    <t>0823</t>
  </si>
  <si>
    <t>0911</t>
  </si>
  <si>
    <t>0912</t>
  </si>
  <si>
    <t>1111</t>
  </si>
  <si>
    <t>1112</t>
  </si>
  <si>
    <t>1113</t>
  </si>
  <si>
    <t>1114</t>
  </si>
  <si>
    <t>1121</t>
  </si>
  <si>
    <t>1122</t>
  </si>
  <si>
    <t>1123</t>
  </si>
  <si>
    <t>1211</t>
  </si>
  <si>
    <t>1212</t>
  </si>
  <si>
    <t>1213</t>
  </si>
  <si>
    <t>1214</t>
  </si>
  <si>
    <t>1215</t>
  </si>
  <si>
    <t>1221</t>
  </si>
  <si>
    <t>1222</t>
  </si>
  <si>
    <t>1223</t>
  </si>
  <si>
    <t>1224</t>
  </si>
  <si>
    <t>1225</t>
  </si>
  <si>
    <t>1226</t>
  </si>
  <si>
    <t>1227</t>
  </si>
  <si>
    <t>1228</t>
  </si>
  <si>
    <t>1241</t>
  </si>
  <si>
    <t>1242</t>
  </si>
  <si>
    <t>1243</t>
  </si>
  <si>
    <t>1251</t>
  </si>
  <si>
    <t>1252</t>
  </si>
  <si>
    <t>1253</t>
  </si>
  <si>
    <t>1254</t>
  </si>
  <si>
    <t>1311</t>
  </si>
  <si>
    <t>1312</t>
  </si>
  <si>
    <t>1313</t>
  </si>
  <si>
    <t>1314</t>
  </si>
  <si>
    <t>1315</t>
  </si>
  <si>
    <t>1411</t>
  </si>
  <si>
    <t>1414</t>
  </si>
  <si>
    <t>1415</t>
  </si>
  <si>
    <t>1416</t>
  </si>
  <si>
    <t>1422</t>
  </si>
  <si>
    <t>1423</t>
  </si>
  <si>
    <t>1431</t>
  </si>
  <si>
    <t>1432</t>
  </si>
  <si>
    <t>1434</t>
  </si>
  <si>
    <t>1435</t>
  </si>
  <si>
    <t>1451</t>
  </si>
  <si>
    <t>1452</t>
  </si>
  <si>
    <t>1454</t>
  </si>
  <si>
    <t>1511</t>
  </si>
  <si>
    <t>1512</t>
  </si>
  <si>
    <t>1513</t>
  </si>
  <si>
    <t>1521</t>
  </si>
  <si>
    <t>1522</t>
  </si>
  <si>
    <t>1523</t>
  </si>
  <si>
    <t>1524</t>
  </si>
  <si>
    <t>1525</t>
  </si>
  <si>
    <t>1526</t>
  </si>
  <si>
    <t>2111</t>
  </si>
  <si>
    <t>2112</t>
  </si>
  <si>
    <t>2113</t>
  </si>
  <si>
    <t>2114</t>
  </si>
  <si>
    <t>2115</t>
  </si>
  <si>
    <t>2121</t>
  </si>
  <si>
    <t>2122</t>
  </si>
  <si>
    <t>2123</t>
  </si>
  <si>
    <t>2131</t>
  </si>
  <si>
    <t>2132</t>
  </si>
  <si>
    <t>2133</t>
  </si>
  <si>
    <t>2134</t>
  </si>
  <si>
    <t>2141</t>
  </si>
  <si>
    <t>2142</t>
  </si>
  <si>
    <t>2143</t>
  </si>
  <si>
    <t>2144</t>
  </si>
  <si>
    <t>2145</t>
  </si>
  <si>
    <t>2146</t>
  </si>
  <si>
    <t>2147</t>
  </si>
  <si>
    <t>2148</t>
  </si>
  <si>
    <t>2151</t>
  </si>
  <si>
    <t>2152</t>
  </si>
  <si>
    <t>2153</t>
  </si>
  <si>
    <t>2154</t>
  </si>
  <si>
    <t>2161</t>
  </si>
  <si>
    <t>2171</t>
  </si>
  <si>
    <t>2172</t>
  </si>
  <si>
    <t>2173</t>
  </si>
  <si>
    <t>2174</t>
  </si>
  <si>
    <t>2175</t>
  </si>
  <si>
    <t>2211</t>
  </si>
  <si>
    <t>2212</t>
  </si>
  <si>
    <t>2214</t>
  </si>
  <si>
    <t>2221</t>
  </si>
  <si>
    <t>2222</t>
  </si>
  <si>
    <t>2223</t>
  </si>
  <si>
    <t>2224</t>
  </si>
  <si>
    <t>2225</t>
  </si>
  <si>
    <t>2231</t>
  </si>
  <si>
    <t>2232</t>
  </si>
  <si>
    <t>2233</t>
  </si>
  <si>
    <t>2234</t>
  </si>
  <si>
    <t>2241</t>
  </si>
  <si>
    <t>2242</t>
  </si>
  <si>
    <t>2243</t>
  </si>
  <si>
    <t>2244</t>
  </si>
  <si>
    <t>2251</t>
  </si>
  <si>
    <t>2252</t>
  </si>
  <si>
    <t>2253</t>
  </si>
  <si>
    <t>2254</t>
  </si>
  <si>
    <t>2255</t>
  </si>
  <si>
    <t>2261</t>
  </si>
  <si>
    <t>2262</t>
  </si>
  <si>
    <t>2263</t>
  </si>
  <si>
    <t>2264</t>
  </si>
  <si>
    <t>2271</t>
  </si>
  <si>
    <t>2272</t>
  </si>
  <si>
    <t>2273</t>
  </si>
  <si>
    <t>2274</t>
  </si>
  <si>
    <t>2275</t>
  </si>
  <si>
    <t>2281</t>
  </si>
  <si>
    <t>2282</t>
  </si>
  <si>
    <t>2283</t>
  </si>
  <si>
    <t>3011</t>
  </si>
  <si>
    <t>3012</t>
  </si>
  <si>
    <t>3111</t>
  </si>
  <si>
    <t>3112</t>
  </si>
  <si>
    <t>3113</t>
  </si>
  <si>
    <t>3114</t>
  </si>
  <si>
    <t>3121</t>
  </si>
  <si>
    <t>3122</t>
  </si>
  <si>
    <t>3124</t>
  </si>
  <si>
    <t>3125</t>
  </si>
  <si>
    <t>3131</t>
  </si>
  <si>
    <t>3132</t>
  </si>
  <si>
    <t>3141</t>
  </si>
  <si>
    <t>3142</t>
  </si>
  <si>
    <t>3143</t>
  </si>
  <si>
    <t>3144</t>
  </si>
  <si>
    <t>3211</t>
  </si>
  <si>
    <t>3212</t>
  </si>
  <si>
    <t>3213</t>
  </si>
  <si>
    <t>3214</t>
  </si>
  <si>
    <t>3215</t>
  </si>
  <si>
    <t>3216</t>
  </si>
  <si>
    <t>3217</t>
  </si>
  <si>
    <t>3219</t>
  </si>
  <si>
    <t>3221</t>
  </si>
  <si>
    <t>3222</t>
  </si>
  <si>
    <t>3223</t>
  </si>
  <si>
    <t>3231</t>
  </si>
  <si>
    <t>3232</t>
  </si>
  <si>
    <t>3233</t>
  </si>
  <si>
    <t>3234</t>
  </si>
  <si>
    <t>3236</t>
  </si>
  <si>
    <t>3237</t>
  </si>
  <si>
    <t>3411</t>
  </si>
  <si>
    <t>3413</t>
  </si>
  <si>
    <t>3414</t>
  </si>
  <si>
    <t>4011</t>
  </si>
  <si>
    <t>4012</t>
  </si>
  <si>
    <t>4021</t>
  </si>
  <si>
    <t>4031</t>
  </si>
  <si>
    <t>4032</t>
  </si>
  <si>
    <t>4033</t>
  </si>
  <si>
    <t>4111</t>
  </si>
  <si>
    <t>4112</t>
  </si>
  <si>
    <t>4151</t>
  </si>
  <si>
    <t>4152</t>
  </si>
  <si>
    <t>4153</t>
  </si>
  <si>
    <t>4154</t>
  </si>
  <si>
    <t>4155</t>
  </si>
  <si>
    <t>4156</t>
  </si>
  <si>
    <t>4161</t>
  </si>
  <si>
    <t>4162</t>
  </si>
  <si>
    <t>4163</t>
  </si>
  <si>
    <t>4164</t>
  </si>
  <si>
    <t>4165</t>
  </si>
  <si>
    <t>4166</t>
  </si>
  <si>
    <t>4167</t>
  </si>
  <si>
    <t>4168</t>
  </si>
  <si>
    <t>4211</t>
  </si>
  <si>
    <t>4212</t>
  </si>
  <si>
    <t>4214</t>
  </si>
  <si>
    <t>4215</t>
  </si>
  <si>
    <t>4216</t>
  </si>
  <si>
    <t>4217</t>
  </si>
  <si>
    <t>4311</t>
  </si>
  <si>
    <t>4312</t>
  </si>
  <si>
    <t>4313</t>
  </si>
  <si>
    <t>4411</t>
  </si>
  <si>
    <t>4412</t>
  </si>
  <si>
    <t>4413</t>
  </si>
  <si>
    <t>4421</t>
  </si>
  <si>
    <t>4422</t>
  </si>
  <si>
    <t>4423</t>
  </si>
  <si>
    <t>5111</t>
  </si>
  <si>
    <t>5112</t>
  </si>
  <si>
    <t>5113</t>
  </si>
  <si>
    <t>5121</t>
  </si>
  <si>
    <t>5122</t>
  </si>
  <si>
    <t>5123</t>
  </si>
  <si>
    <t>5125</t>
  </si>
  <si>
    <t>5131</t>
  </si>
  <si>
    <t>5132</t>
  </si>
  <si>
    <t>5133</t>
  </si>
  <si>
    <t>5134</t>
  </si>
  <si>
    <t>5135</t>
  </si>
  <si>
    <t>5136</t>
  </si>
  <si>
    <t>5211</t>
  </si>
  <si>
    <t>5212</t>
  </si>
  <si>
    <t>5221</t>
  </si>
  <si>
    <t>5222</t>
  </si>
  <si>
    <t>5223</t>
  </si>
  <si>
    <t>5224</t>
  </si>
  <si>
    <t>5225</t>
  </si>
  <si>
    <t>5226</t>
  </si>
  <si>
    <t>5227</t>
  </si>
  <si>
    <t>5231</t>
  </si>
  <si>
    <t>5232</t>
  </si>
  <si>
    <t>5241</t>
  </si>
  <si>
    <t>5242</t>
  </si>
  <si>
    <t>5243</t>
  </si>
  <si>
    <t>5244</t>
  </si>
  <si>
    <t>5245</t>
  </si>
  <si>
    <t>5251</t>
  </si>
  <si>
    <t>5252</t>
  </si>
  <si>
    <t>5253</t>
  </si>
  <si>
    <t>5254</t>
  </si>
  <si>
    <t>6211</t>
  </si>
  <si>
    <t>6221</t>
  </si>
  <si>
    <t>6222</t>
  </si>
  <si>
    <t>6231</t>
  </si>
  <si>
    <t>6232</t>
  </si>
  <si>
    <t>6235</t>
  </si>
  <si>
    <t>6311</t>
  </si>
  <si>
    <t>6312</t>
  </si>
  <si>
    <t>6313</t>
  </si>
  <si>
    <t>6314</t>
  </si>
  <si>
    <t>6315</t>
  </si>
  <si>
    <t>6316</t>
  </si>
  <si>
    <t>6321</t>
  </si>
  <si>
    <t>6322</t>
  </si>
  <si>
    <t>6331</t>
  </si>
  <si>
    <t>6332</t>
  </si>
  <si>
    <t>6341</t>
  </si>
  <si>
    <t>6342</t>
  </si>
  <si>
    <t>6343</t>
  </si>
  <si>
    <t>6344</t>
  </si>
  <si>
    <t>6345</t>
  </si>
  <si>
    <t>6346</t>
  </si>
  <si>
    <t>6411</t>
  </si>
  <si>
    <t>6421</t>
  </si>
  <si>
    <t>MaÃ®tres d'hÃ´tel and hosts/hostesses</t>
  </si>
  <si>
    <t>6511</t>
  </si>
  <si>
    <t>6512</t>
  </si>
  <si>
    <t>6513</t>
  </si>
  <si>
    <t>6521</t>
  </si>
  <si>
    <t>6522</t>
  </si>
  <si>
    <t>6523</t>
  </si>
  <si>
    <t>6524</t>
  </si>
  <si>
    <t>6525</t>
  </si>
  <si>
    <t>6531</t>
  </si>
  <si>
    <t>6532</t>
  </si>
  <si>
    <t>6533</t>
  </si>
  <si>
    <t>6541</t>
  </si>
  <si>
    <t>6551</t>
  </si>
  <si>
    <t>6552</t>
  </si>
  <si>
    <t>6561</t>
  </si>
  <si>
    <t>6562</t>
  </si>
  <si>
    <t>6563</t>
  </si>
  <si>
    <t>6564</t>
  </si>
  <si>
    <t>6611</t>
  </si>
  <si>
    <t>6621</t>
  </si>
  <si>
    <t>6622</t>
  </si>
  <si>
    <t>6623</t>
  </si>
  <si>
    <t>6711</t>
  </si>
  <si>
    <t>6721</t>
  </si>
  <si>
    <t>6722</t>
  </si>
  <si>
    <t>6731</t>
  </si>
  <si>
    <t>6732</t>
  </si>
  <si>
    <t>6733</t>
  </si>
  <si>
    <t>6741</t>
  </si>
  <si>
    <t>6742</t>
  </si>
  <si>
    <t>7201</t>
  </si>
  <si>
    <t>7202</t>
  </si>
  <si>
    <t>7203</t>
  </si>
  <si>
    <t>7204</t>
  </si>
  <si>
    <t>7205</t>
  </si>
  <si>
    <t>7231</t>
  </si>
  <si>
    <t>7232</t>
  </si>
  <si>
    <t>7233</t>
  </si>
  <si>
    <t>7234</t>
  </si>
  <si>
    <t>7235</t>
  </si>
  <si>
    <t>7236</t>
  </si>
  <si>
    <t>7237</t>
  </si>
  <si>
    <t>7241</t>
  </si>
  <si>
    <t>7242</t>
  </si>
  <si>
    <t>7243</t>
  </si>
  <si>
    <t>7244</t>
  </si>
  <si>
    <t>7245</t>
  </si>
  <si>
    <t>7246</t>
  </si>
  <si>
    <t>7247</t>
  </si>
  <si>
    <t>7251</t>
  </si>
  <si>
    <t>7252</t>
  </si>
  <si>
    <t>7253</t>
  </si>
  <si>
    <t>7271</t>
  </si>
  <si>
    <t>7272</t>
  </si>
  <si>
    <t>7281</t>
  </si>
  <si>
    <t>7282</t>
  </si>
  <si>
    <t>7283</t>
  </si>
  <si>
    <t>7284</t>
  </si>
  <si>
    <t>7291</t>
  </si>
  <si>
    <t>7292</t>
  </si>
  <si>
    <t>7293</t>
  </si>
  <si>
    <t>7294</t>
  </si>
  <si>
    <t>7295</t>
  </si>
  <si>
    <t>7301</t>
  </si>
  <si>
    <t>7302</t>
  </si>
  <si>
    <t>7303</t>
  </si>
  <si>
    <t>7304</t>
  </si>
  <si>
    <t>7305</t>
  </si>
  <si>
    <t>7311</t>
  </si>
  <si>
    <t>7312</t>
  </si>
  <si>
    <t>7313</t>
  </si>
  <si>
    <t>7314</t>
  </si>
  <si>
    <t>7315</t>
  </si>
  <si>
    <t>7316</t>
  </si>
  <si>
    <t>7318</t>
  </si>
  <si>
    <t>7321</t>
  </si>
  <si>
    <t>7322</t>
  </si>
  <si>
    <t>7331</t>
  </si>
  <si>
    <t>7332</t>
  </si>
  <si>
    <t>7333</t>
  </si>
  <si>
    <t>7334</t>
  </si>
  <si>
    <t>7335</t>
  </si>
  <si>
    <t>7361</t>
  </si>
  <si>
    <t>7362</t>
  </si>
  <si>
    <t>7371</t>
  </si>
  <si>
    <t>7372</t>
  </si>
  <si>
    <t>7373</t>
  </si>
  <si>
    <t>7381</t>
  </si>
  <si>
    <t>7384</t>
  </si>
  <si>
    <t>7441</t>
  </si>
  <si>
    <t>7442</t>
  </si>
  <si>
    <t>7444</t>
  </si>
  <si>
    <t>7445</t>
  </si>
  <si>
    <t>7451</t>
  </si>
  <si>
    <t>7452</t>
  </si>
  <si>
    <t>7511</t>
  </si>
  <si>
    <t>7512</t>
  </si>
  <si>
    <t>7513</t>
  </si>
  <si>
    <t>7514</t>
  </si>
  <si>
    <t>7521</t>
  </si>
  <si>
    <t>7522</t>
  </si>
  <si>
    <t>7531</t>
  </si>
  <si>
    <t>7532</t>
  </si>
  <si>
    <t>7533</t>
  </si>
  <si>
    <t>7534</t>
  </si>
  <si>
    <t>7535</t>
  </si>
  <si>
    <t>7611</t>
  </si>
  <si>
    <t>7612</t>
  </si>
  <si>
    <t>7621</t>
  </si>
  <si>
    <t>7622</t>
  </si>
  <si>
    <t>8211</t>
  </si>
  <si>
    <t>8221</t>
  </si>
  <si>
    <t>8222</t>
  </si>
  <si>
    <t>8231</t>
  </si>
  <si>
    <t>8232</t>
  </si>
  <si>
    <t>8241</t>
  </si>
  <si>
    <t>8252</t>
  </si>
  <si>
    <t>8255</t>
  </si>
  <si>
    <t>8261</t>
  </si>
  <si>
    <t>8262</t>
  </si>
  <si>
    <t>8411</t>
  </si>
  <si>
    <t>8412</t>
  </si>
  <si>
    <t>8421</t>
  </si>
  <si>
    <t>8422</t>
  </si>
  <si>
    <t>8431</t>
  </si>
  <si>
    <t>8432</t>
  </si>
  <si>
    <t>8441</t>
  </si>
  <si>
    <t>8442</t>
  </si>
  <si>
    <t>8611</t>
  </si>
  <si>
    <t>8612</t>
  </si>
  <si>
    <t>8613</t>
  </si>
  <si>
    <t>8614</t>
  </si>
  <si>
    <t>8615</t>
  </si>
  <si>
    <t>8616</t>
  </si>
  <si>
    <t>9211</t>
  </si>
  <si>
    <t>9212</t>
  </si>
  <si>
    <t>9213</t>
  </si>
  <si>
    <t>9214</t>
  </si>
  <si>
    <t>9215</t>
  </si>
  <si>
    <t>9217</t>
  </si>
  <si>
    <t>9221</t>
  </si>
  <si>
    <t>9222</t>
  </si>
  <si>
    <t>9223</t>
  </si>
  <si>
    <t>9224</t>
  </si>
  <si>
    <t>9226</t>
  </si>
  <si>
    <t>9227</t>
  </si>
  <si>
    <t>9231</t>
  </si>
  <si>
    <t>9232</t>
  </si>
  <si>
    <t>9235</t>
  </si>
  <si>
    <t>9241</t>
  </si>
  <si>
    <t>9243</t>
  </si>
  <si>
    <t>9411</t>
  </si>
  <si>
    <t>9412</t>
  </si>
  <si>
    <t>9413</t>
  </si>
  <si>
    <t>9414</t>
  </si>
  <si>
    <t>9415</t>
  </si>
  <si>
    <t>9416</t>
  </si>
  <si>
    <t>9417</t>
  </si>
  <si>
    <t>9418</t>
  </si>
  <si>
    <t>9421</t>
  </si>
  <si>
    <t>9422</t>
  </si>
  <si>
    <t>9423</t>
  </si>
  <si>
    <t>9431</t>
  </si>
  <si>
    <t>9432</t>
  </si>
  <si>
    <t>9433</t>
  </si>
  <si>
    <t>9434</t>
  </si>
  <si>
    <t>9435</t>
  </si>
  <si>
    <t>9436</t>
  </si>
  <si>
    <t>9437</t>
  </si>
  <si>
    <t>9441</t>
  </si>
  <si>
    <t>9442</t>
  </si>
  <si>
    <t>9445</t>
  </si>
  <si>
    <t>9446</t>
  </si>
  <si>
    <t>9447</t>
  </si>
  <si>
    <t>9461</t>
  </si>
  <si>
    <t>9462</t>
  </si>
  <si>
    <t>9463</t>
  </si>
  <si>
    <t>9465</t>
  </si>
  <si>
    <t>9471</t>
  </si>
  <si>
    <t>9472</t>
  </si>
  <si>
    <t>9473</t>
  </si>
  <si>
    <t>9474</t>
  </si>
  <si>
    <t>9521</t>
  </si>
  <si>
    <t>9522</t>
  </si>
  <si>
    <t>9523</t>
  </si>
  <si>
    <t>9524</t>
  </si>
  <si>
    <t>9525</t>
  </si>
  <si>
    <t>9526</t>
  </si>
  <si>
    <t>9527</t>
  </si>
  <si>
    <t>9531</t>
  </si>
  <si>
    <t>9532</t>
  </si>
  <si>
    <t>9533</t>
  </si>
  <si>
    <t>9534</t>
  </si>
  <si>
    <t>9535</t>
  </si>
  <si>
    <t>9536</t>
  </si>
  <si>
    <t>9537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</si>
  <si>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</si>
  <si>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</si>
  <si>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</si>
  <si>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</si>
  <si>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</si>
  <si>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</si>
  <si>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</si>
  <si>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</si>
  <si>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</si>
  <si>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ProfileImageUrl</t>
  </si>
  <si>
    <t>FirstVideo</t>
  </si>
  <si>
    <t>SecondVideo</t>
  </si>
  <si>
    <t>#0011</t>
  </si>
  <si>
    <t>http://career.lndo.site/noc_image/0011-NOC-profile.png</t>
  </si>
  <si>
    <t>NULL</t>
  </si>
  <si>
    <t>#0012</t>
  </si>
  <si>
    <t>http://career.lndo.site/noc_image/0012-NOC-profile.png</t>
  </si>
  <si>
    <t>#0013</t>
  </si>
  <si>
    <t>http://career.lndo.site/noc_image/0013-NOC-profile.png</t>
  </si>
  <si>
    <t>#0014</t>
  </si>
  <si>
    <t>http://career.lndo.site/noc_image/0014-NOC-profile.png</t>
  </si>
  <si>
    <t>#0015</t>
  </si>
  <si>
    <t>http://career.lndo.site/noc_image/0015-NOC-profile.png</t>
  </si>
  <si>
    <t>B4ztw5v9CzY</t>
  </si>
  <si>
    <t>#0016</t>
  </si>
  <si>
    <t>http://career.lndo.site/noc_image/0016-NOC-profile.png</t>
  </si>
  <si>
    <t>#0111</t>
  </si>
  <si>
    <t>http://career.lndo.site/noc_image/0111-NOC-profile.png</t>
  </si>
  <si>
    <t>#0112</t>
  </si>
  <si>
    <t>http://career.lndo.site/noc_image/0112-NOC-profile.png</t>
  </si>
  <si>
    <t>B8Lubga0tNA</t>
  </si>
  <si>
    <t>#0113</t>
  </si>
  <si>
    <t>http://career.lndo.site/noc_image/0113-NOC-profile.png</t>
  </si>
  <si>
    <t>#0114</t>
  </si>
  <si>
    <t>http://career.lndo.site/noc_image/0114-NOC-profile.png</t>
  </si>
  <si>
    <t>#0121</t>
  </si>
  <si>
    <t>http://career.lndo.site/noc_image/0121-NOC-profile.png</t>
  </si>
  <si>
    <t>#0122</t>
  </si>
  <si>
    <t>http://career.lndo.site/noc_image/0122-NOC-profile.png</t>
  </si>
  <si>
    <t>iBQlSfAHDoY</t>
  </si>
  <si>
    <t>#0124</t>
  </si>
  <si>
    <t>http://career.lndo.site/noc_image/0124-NOC-profile.png</t>
  </si>
  <si>
    <t>52xU5UoWp7c</t>
  </si>
  <si>
    <t>SOngj24r4IU</t>
  </si>
  <si>
    <t>#0125</t>
  </si>
  <si>
    <t>http://career.lndo.site/noc_image/0125-NOC-profile.png</t>
  </si>
  <si>
    <t>#0131</t>
  </si>
  <si>
    <t>http://career.lndo.site/noc_image/0131-NOC-profile.png</t>
  </si>
  <si>
    <t>#0132</t>
  </si>
  <si>
    <t>http://career.lndo.site/noc_image/0132-NOC-profile.png</t>
  </si>
  <si>
    <t>#0211</t>
  </si>
  <si>
    <t>http://career.lndo.site/noc_image/0211-NOC-profile.png</t>
  </si>
  <si>
    <t>#0212</t>
  </si>
  <si>
    <t>http://career.lndo.site/noc_image/0212-NOC-profile.png</t>
  </si>
  <si>
    <t>#0213</t>
  </si>
  <si>
    <t>http://career.lndo.site/noc_image/0213-NOC-profile.png</t>
  </si>
  <si>
    <t>#0311</t>
  </si>
  <si>
    <t>http://career.lndo.site/noc_image/0311-NOC-profile.png</t>
  </si>
  <si>
    <t>#0411</t>
  </si>
  <si>
    <t>http://career.lndo.site/noc_image/0411-NOC-profile.png</t>
  </si>
  <si>
    <t>#0412</t>
  </si>
  <si>
    <t>http://career.lndo.site/noc_image/0412-NOC-profile.png</t>
  </si>
  <si>
    <t>#0413</t>
  </si>
  <si>
    <t>http://career.lndo.site/noc_image/0413-NOC-profile.png</t>
  </si>
  <si>
    <t>#0414</t>
  </si>
  <si>
    <t>http://career.lndo.site/noc_image/0414-NOC-profile.png</t>
  </si>
  <si>
    <t>#0421</t>
  </si>
  <si>
    <t>http://career.lndo.site/noc_image/0421-NOC-profile.png</t>
  </si>
  <si>
    <t>#0422</t>
  </si>
  <si>
    <t>http://career.lndo.site/noc_image/0422-NOC-profile.png</t>
  </si>
  <si>
    <t>fbPrT9g2GmY</t>
  </si>
  <si>
    <t>#0423</t>
  </si>
  <si>
    <t>http://career.lndo.site/noc_image/0423-NOC-profile.png</t>
  </si>
  <si>
    <t>#0431</t>
  </si>
  <si>
    <t>http://career.lndo.site/noc_image/0431-NOC-profile.png</t>
  </si>
  <si>
    <t>#0432</t>
  </si>
  <si>
    <t>http://career.lndo.site/noc_image/0432-NOC-profile.png</t>
  </si>
  <si>
    <t>#0433</t>
  </si>
  <si>
    <t>http://career.lndo.site/noc_image/0433-NOC-profile.png</t>
  </si>
  <si>
    <t>#0511</t>
  </si>
  <si>
    <t>http://career.lndo.site/noc_image/0511-NOC-profile.png</t>
  </si>
  <si>
    <t>#0512</t>
  </si>
  <si>
    <t>http://career.lndo.site/noc_image/0512-NOC-profile.png</t>
  </si>
  <si>
    <t>#0513</t>
  </si>
  <si>
    <t>http://career.lndo.site/noc_image/0513-NOC-profile.png</t>
  </si>
  <si>
    <t>QLRs7dnvn0E</t>
  </si>
  <si>
    <t>#0601</t>
  </si>
  <si>
    <t>http://career.lndo.site/noc_image/0601-NOC-profile.png</t>
  </si>
  <si>
    <t>#0621</t>
  </si>
  <si>
    <t>http://career.lndo.site/noc_image/0621-NOC-profile.png</t>
  </si>
  <si>
    <t>AT9TaZqWmT0</t>
  </si>
  <si>
    <t>#0631</t>
  </si>
  <si>
    <t>http://career.lndo.site/noc_image/0631-NOC-profile.png</t>
  </si>
  <si>
    <t>rb_2YXACcYk</t>
  </si>
  <si>
    <t>#0632</t>
  </si>
  <si>
    <t>http://career.lndo.site/noc_image/0632-NOC-profile.png</t>
  </si>
  <si>
    <t>#0651</t>
  </si>
  <si>
    <t>http://career.lndo.site/noc_image/0651-NOC-profile.png</t>
  </si>
  <si>
    <t>#0711</t>
  </si>
  <si>
    <t>http://career.lndo.site/noc_image/0711-NOC-profile.png</t>
  </si>
  <si>
    <t>ZMaN8yc2PAA</t>
  </si>
  <si>
    <t>#0712</t>
  </si>
  <si>
    <t>http://career.lndo.site/noc_image/0712-NOC-profile.png</t>
  </si>
  <si>
    <t>nXfp3Ef5SPQ</t>
  </si>
  <si>
    <t>#0714</t>
  </si>
  <si>
    <t>http://career.lndo.site/noc_image/0714-NOC-profile.png</t>
  </si>
  <si>
    <t>7XXDoaZtQ60</t>
  </si>
  <si>
    <t>#0731</t>
  </si>
  <si>
    <t>http://career.lndo.site/noc_image/0731-NOC-profile.png</t>
  </si>
  <si>
    <t>#0811</t>
  </si>
  <si>
    <t>http://career.lndo.site/noc_image/0811-NOC-profile.png</t>
  </si>
  <si>
    <t>ObcqWez2ruI</t>
  </si>
  <si>
    <t>#0821</t>
  </si>
  <si>
    <t>http://career.lndo.site/noc_image/0821-NOC-profile.png</t>
  </si>
  <si>
    <t>NUAG0a02Coc</t>
  </si>
  <si>
    <t>#0822</t>
  </si>
  <si>
    <t>http://career.lndo.site/noc_image/0822-NOC-profile.png</t>
  </si>
  <si>
    <t>#0823</t>
  </si>
  <si>
    <t>http://career.lndo.site/noc_image/0823-NOC-profile.png</t>
  </si>
  <si>
    <t>#0911</t>
  </si>
  <si>
    <t>http://career.lndo.site/noc_image/0911-NOC-profile.png</t>
  </si>
  <si>
    <t>#0912</t>
  </si>
  <si>
    <t>http://career.lndo.site/noc_image/0912-NOC-profile.png</t>
  </si>
  <si>
    <t>#1111</t>
  </si>
  <si>
    <t>http://career.lndo.site/noc_image/1111-NOC-profile.png</t>
  </si>
  <si>
    <t>s9Tk7nraMcM</t>
  </si>
  <si>
    <t>#1112</t>
  </si>
  <si>
    <t>http://career.lndo.site/noc_image/1112-NOC-profile.png</t>
  </si>
  <si>
    <t>#1113</t>
  </si>
  <si>
    <t>http://career.lndo.site/noc_image/1113-NOC-profile.png</t>
  </si>
  <si>
    <t>#1114</t>
  </si>
  <si>
    <t>http://career.lndo.site/noc_image/1114-NOC-profile.png</t>
  </si>
  <si>
    <t>#1121</t>
  </si>
  <si>
    <t>http://career.lndo.site/noc_image/1121-NOC-profile.png</t>
  </si>
  <si>
    <t>RcRcdYLPy1M</t>
  </si>
  <si>
    <t>#1122</t>
  </si>
  <si>
    <t>http://career.lndo.site/noc_image/1122-NOC-profile.png</t>
  </si>
  <si>
    <t>#1123</t>
  </si>
  <si>
    <t>http://career.lndo.site/noc_image/1123-NOC-profile.png</t>
  </si>
  <si>
    <t>zXBY9QH_dhU</t>
  </si>
  <si>
    <t>#1211</t>
  </si>
  <si>
    <t>http://career.lndo.site/noc_image/1211-NOC-profile.png</t>
  </si>
  <si>
    <t>#1212</t>
  </si>
  <si>
    <t>http://career.lndo.site/noc_image/1212-NOC-profile.png</t>
  </si>
  <si>
    <t>#1213</t>
  </si>
  <si>
    <t>http://career.lndo.site/noc_image/1213-NOC-profile.png</t>
  </si>
  <si>
    <t>#1214</t>
  </si>
  <si>
    <t>http://career.lndo.site/noc_image/1214-NOC-profile.png</t>
  </si>
  <si>
    <t>#1215</t>
  </si>
  <si>
    <t>http://career.lndo.site/noc_image/1215-NOC-profile.png</t>
  </si>
  <si>
    <t>#1221</t>
  </si>
  <si>
    <t>http://career.lndo.site/noc_image/1221-NOC-profile.png</t>
  </si>
  <si>
    <t>lJJfYtIeev8</t>
  </si>
  <si>
    <t>#1222</t>
  </si>
  <si>
    <t>http://career.lndo.site/noc_image/1222-NOC-profile.png</t>
  </si>
  <si>
    <t>mnti-_qFxA8</t>
  </si>
  <si>
    <t>#1223</t>
  </si>
  <si>
    <t>http://career.lndo.site/noc_image/1223-NOC-profile.png</t>
  </si>
  <si>
    <t>#1224</t>
  </si>
  <si>
    <t>http://career.lndo.site/noc_image/1224-NOC-profile.png</t>
  </si>
  <si>
    <t>#1225</t>
  </si>
  <si>
    <t>http://career.lndo.site/noc_image/1225-NOC-profile.png</t>
  </si>
  <si>
    <t>#1226</t>
  </si>
  <si>
    <t>http://career.lndo.site/noc_image/1226-NOC-profile.png</t>
  </si>
  <si>
    <t>VZzto0mEJ_o</t>
  </si>
  <si>
    <t>#1227</t>
  </si>
  <si>
    <t>http://career.lndo.site/noc_image/1227-NOC-profile.png</t>
  </si>
  <si>
    <t>#1228</t>
  </si>
  <si>
    <t>http://career.lndo.site/noc_image/1228-NOC-profile.png</t>
  </si>
  <si>
    <t>F9b2s14K9cc</t>
  </si>
  <si>
    <t>#1241</t>
  </si>
  <si>
    <t>http://career.lndo.site/noc_image/1241-NOC-profile.png</t>
  </si>
  <si>
    <t>#1242</t>
  </si>
  <si>
    <t>http://career.lndo.site/noc_image/1242-NOC-profile.png</t>
  </si>
  <si>
    <t>2cS63-hyf4Y</t>
  </si>
  <si>
    <t>#1243</t>
  </si>
  <si>
    <t>http://career.lndo.site/noc_image/1243-NOC-profile.png</t>
  </si>
  <si>
    <t>#1251</t>
  </si>
  <si>
    <t>http://career.lndo.site/noc_image/1251-NOC-profile.png</t>
  </si>
  <si>
    <t>#1252</t>
  </si>
  <si>
    <t>http://career.lndo.site/noc_image/1252-NOC-profile.png</t>
  </si>
  <si>
    <t>#1253</t>
  </si>
  <si>
    <t>http://career.lndo.site/noc_image/1253-NOC-profile.png</t>
  </si>
  <si>
    <t>#1254</t>
  </si>
  <si>
    <t>http://career.lndo.site/noc_image/1254-NOC-profile.png</t>
  </si>
  <si>
    <t>#1311</t>
  </si>
  <si>
    <t>http://career.lndo.site/noc_image/1311-NOC-profile.png</t>
  </si>
  <si>
    <t>uoWPgJrJbmU</t>
  </si>
  <si>
    <t>#1312</t>
  </si>
  <si>
    <t>http://career.lndo.site/noc_image/1312-NOC-profile.png</t>
  </si>
  <si>
    <t>#1313</t>
  </si>
  <si>
    <t>http://career.lndo.site/noc_image/1313-NOC-profile.png</t>
  </si>
  <si>
    <t>#1314</t>
  </si>
  <si>
    <t>http://career.lndo.site/noc_image/1314-NOC-profile.png</t>
  </si>
  <si>
    <t>#1315</t>
  </si>
  <si>
    <t>http://career.lndo.site/noc_image/1315-NOC-profile.png</t>
  </si>
  <si>
    <t>zToLB35zBv8</t>
  </si>
  <si>
    <t>#1411</t>
  </si>
  <si>
    <t>http://career.lndo.site/noc_image/1411-NOC-profile.png</t>
  </si>
  <si>
    <t>4867Bc9ktDw</t>
  </si>
  <si>
    <t>#1414</t>
  </si>
  <si>
    <t>http://career.lndo.site/noc_image/1414-NOC-profile.png</t>
  </si>
  <si>
    <t>gCizwITonaY</t>
  </si>
  <si>
    <t>#1415</t>
  </si>
  <si>
    <t>http://career.lndo.site/noc_image/1415-NOC-profile.png</t>
  </si>
  <si>
    <t>#1416</t>
  </si>
  <si>
    <t>http://career.lndo.site/noc_image/1416-NOC-profile.png</t>
  </si>
  <si>
    <t>#1422</t>
  </si>
  <si>
    <t>http://career.lndo.site/noc_image/1422-NOC-profile.png</t>
  </si>
  <si>
    <t>#1423</t>
  </si>
  <si>
    <t>http://career.lndo.site/noc_image/1423-NOC-profile.png</t>
  </si>
  <si>
    <t>#1431</t>
  </si>
  <si>
    <t>http://career.lndo.site/noc_image/1431-NOC-profile.png</t>
  </si>
  <si>
    <t>aWn7mULLowQ</t>
  </si>
  <si>
    <t>#1432</t>
  </si>
  <si>
    <t>http://career.lndo.site/noc_image/1432-NOC-profile.png</t>
  </si>
  <si>
    <t>#1434</t>
  </si>
  <si>
    <t>http://career.lndo.site/noc_image/1434-NOC-profile.png</t>
  </si>
  <si>
    <t>#1435</t>
  </si>
  <si>
    <t>http://career.lndo.site/noc_image/1435-NOC-profile.png</t>
  </si>
  <si>
    <t>#1451</t>
  </si>
  <si>
    <t>http://career.lndo.site/noc_image/1451-NOC-profile.png</t>
  </si>
  <si>
    <t>#1452</t>
  </si>
  <si>
    <t>http://career.lndo.site/noc_image/1452-NOC-profile.png</t>
  </si>
  <si>
    <t>#1454</t>
  </si>
  <si>
    <t>http://career.lndo.site/noc_image/1454-NOC-profile.png</t>
  </si>
  <si>
    <t>#1511</t>
  </si>
  <si>
    <t>http://career.lndo.site/noc_image/1511-NOC-profile.png</t>
  </si>
  <si>
    <t>#1512</t>
  </si>
  <si>
    <t>http://career.lndo.site/noc_image/1512-NOC-profile.png</t>
  </si>
  <si>
    <t>#1513</t>
  </si>
  <si>
    <t>http://career.lndo.site/noc_image/1513-NOC-profile.png</t>
  </si>
  <si>
    <t>MRnjyXvIIQQ</t>
  </si>
  <si>
    <t>#1521</t>
  </si>
  <si>
    <t>http://career.lndo.site/noc_image/1521-NOC-profile.png</t>
  </si>
  <si>
    <t>PISPgBrwUAo</t>
  </si>
  <si>
    <t>#1522</t>
  </si>
  <si>
    <t>http://career.lndo.site/noc_image/1522-NOC-profile.png</t>
  </si>
  <si>
    <t>#1523</t>
  </si>
  <si>
    <t>http://career.lndo.site/noc_image/1523-NOC-profile.png</t>
  </si>
  <si>
    <t>#1524</t>
  </si>
  <si>
    <t>http://career.lndo.site/noc_image/1524-NOC-profile.png</t>
  </si>
  <si>
    <t>#1525</t>
  </si>
  <si>
    <t>http://career.lndo.site/noc_image/1525-NOC-profile.png</t>
  </si>
  <si>
    <t>#1526</t>
  </si>
  <si>
    <t>http://career.lndo.site/noc_image/1526-NOC-profile.png</t>
  </si>
  <si>
    <t>#2111</t>
  </si>
  <si>
    <t>http://career.lndo.site/noc_image/2111-NOC-profile.png</t>
  </si>
  <si>
    <t>#2112</t>
  </si>
  <si>
    <t>http://career.lndo.site/noc_image/2112-NOC-profile.png</t>
  </si>
  <si>
    <t>mgi-iWMq1eY</t>
  </si>
  <si>
    <t>#2113</t>
  </si>
  <si>
    <t>http://career.lndo.site/noc_image/2113-NOC-profile.png</t>
  </si>
  <si>
    <t>cc6cISY752M</t>
  </si>
  <si>
    <t>#2114</t>
  </si>
  <si>
    <t>http://career.lndo.site/noc_image/2114-NOC-profile.png</t>
  </si>
  <si>
    <t>#2115</t>
  </si>
  <si>
    <t>http://career.lndo.site/noc_image/2115-NOC-profile.png</t>
  </si>
  <si>
    <t>#2121</t>
  </si>
  <si>
    <t>http://career.lndo.site/noc_image/2121-NOC-profile.png</t>
  </si>
  <si>
    <t>Ji8bLaBa_YQ</t>
  </si>
  <si>
    <t>#2122</t>
  </si>
  <si>
    <t>http://career.lndo.site/noc_image/2122-NOC-profile.png</t>
  </si>
  <si>
    <t>cNQCUbei8to</t>
  </si>
  <si>
    <t>#2123</t>
  </si>
  <si>
    <t>http://career.lndo.site/noc_image/2123-NOC-profile.png</t>
  </si>
  <si>
    <t>#2131</t>
  </si>
  <si>
    <t>http://career.lndo.site/noc_image/2131-NOC-profile.png</t>
  </si>
  <si>
    <t>I0qke6LOHro</t>
  </si>
  <si>
    <t>#2132</t>
  </si>
  <si>
    <t>http://career.lndo.site/noc_image/2132-NOC-profile.png</t>
  </si>
  <si>
    <t>#2133</t>
  </si>
  <si>
    <t>http://career.lndo.site/noc_image/2133-NOC-profile.png</t>
  </si>
  <si>
    <t>V3gjgqxN238</t>
  </si>
  <si>
    <t>#2134</t>
  </si>
  <si>
    <t>http://career.lndo.site/noc_image/2134-NOC-profile.png</t>
  </si>
  <si>
    <t>#2141</t>
  </si>
  <si>
    <t>http://career.lndo.site/noc_image/2141-NOC-profile.png</t>
  </si>
  <si>
    <t>#2142</t>
  </si>
  <si>
    <t>http://career.lndo.site/noc_image/2142-NOC-profile.png</t>
  </si>
  <si>
    <t>#2143</t>
  </si>
  <si>
    <t>http://career.lndo.site/noc_image/2143-NOC-profile.png</t>
  </si>
  <si>
    <t>#2144</t>
  </si>
  <si>
    <t>http://career.lndo.site/noc_image/2144-NOC-profile.png</t>
  </si>
  <si>
    <t>#2145</t>
  </si>
  <si>
    <t>http://career.lndo.site/noc_image/2145-NOC-profile.png</t>
  </si>
  <si>
    <t>#2146</t>
  </si>
  <si>
    <t>http://career.lndo.site/noc_image/2146-NOC-profile.png</t>
  </si>
  <si>
    <t>#2147</t>
  </si>
  <si>
    <t>http://career.lndo.site/noc_image/2147-NOC-profile.png</t>
  </si>
  <si>
    <t>#2148</t>
  </si>
  <si>
    <t>http://career.lndo.site/noc_image/2148-NOC-profile.png</t>
  </si>
  <si>
    <t>#2151</t>
  </si>
  <si>
    <t>http://career.lndo.site/noc_image/2151-NOC-profile.png</t>
  </si>
  <si>
    <t>5mA9sIMvTzE</t>
  </si>
  <si>
    <t>#2152</t>
  </si>
  <si>
    <t>http://career.lndo.site/noc_image/2152-NOC-profile.png</t>
  </si>
  <si>
    <t>#2153</t>
  </si>
  <si>
    <t>http://career.lndo.site/noc_image/2153-NOC-profile.png</t>
  </si>
  <si>
    <t>qvViXTAe3Ts</t>
  </si>
  <si>
    <t>#2154</t>
  </si>
  <si>
    <t>http://career.lndo.site/noc_image/2154-NOC-profile.png</t>
  </si>
  <si>
    <t>nsaQ3iQ66QU</t>
  </si>
  <si>
    <t>#2161</t>
  </si>
  <si>
    <t>http://career.lndo.site/noc_image/2161-NOC-profile.png</t>
  </si>
  <si>
    <t>#2171</t>
  </si>
  <si>
    <t>http://career.lndo.site/noc_image/2171-NOC-profile.png</t>
  </si>
  <si>
    <t>l9Zbx-yJHN4</t>
  </si>
  <si>
    <t>#2172</t>
  </si>
  <si>
    <t>http://career.lndo.site/noc_image/2172-NOC-profile.png</t>
  </si>
  <si>
    <t>#2173</t>
  </si>
  <si>
    <t>http://career.lndo.site/noc_image/2173-NOC-profile.png</t>
  </si>
  <si>
    <t>obTfVrY5KLc</t>
  </si>
  <si>
    <t>#2174</t>
  </si>
  <si>
    <t>http://career.lndo.site/noc_image/2174-NOC-profile.png</t>
  </si>
  <si>
    <t>i-SNbWdyCLg</t>
  </si>
  <si>
    <t>#2175</t>
  </si>
  <si>
    <t>http://career.lndo.site/noc_image/2175-NOC-profile.png</t>
  </si>
  <si>
    <t>WmJ8NqHAh6M</t>
  </si>
  <si>
    <t>n1XvWSkQBqA</t>
  </si>
  <si>
    <t>#2211</t>
  </si>
  <si>
    <t>http://career.lndo.site/noc_image/2211-NOC-profile.png</t>
  </si>
  <si>
    <t>1zYHWQrQDZ4</t>
  </si>
  <si>
    <t>#2212</t>
  </si>
  <si>
    <t>http://career.lndo.site/noc_image/2212-NOC-profile.png</t>
  </si>
  <si>
    <t>wGlZIT2twbg</t>
  </si>
  <si>
    <t>#2221</t>
  </si>
  <si>
    <t>http://career.lndo.site/noc_image/2221-NOC-profile.png</t>
  </si>
  <si>
    <t>#2222</t>
  </si>
  <si>
    <t>http://career.lndo.site/noc_image/2222-NOC-profile.png</t>
  </si>
  <si>
    <t>#2223</t>
  </si>
  <si>
    <t>http://career.lndo.site/noc_image/2223-NOC-profile.png</t>
  </si>
  <si>
    <t>#2224</t>
  </si>
  <si>
    <t>http://career.lndo.site/noc_image/2224-NOC-profile.png</t>
  </si>
  <si>
    <t>JdxOcGs7MBw</t>
  </si>
  <si>
    <t>#2225</t>
  </si>
  <si>
    <t>http://career.lndo.site/noc_image/2225-NOC-profile.png</t>
  </si>
  <si>
    <t>fl00YEWdYDI</t>
  </si>
  <si>
    <t>#2231</t>
  </si>
  <si>
    <t>http://career.lndo.site/noc_image/2231-NOC-profile.png</t>
  </si>
  <si>
    <t>#2232</t>
  </si>
  <si>
    <t>http://career.lndo.site/noc_image/2232-NOC-profile.png</t>
  </si>
  <si>
    <t>#2233</t>
  </si>
  <si>
    <t>http://career.lndo.site/noc_image/2233-NOC-profile.png</t>
  </si>
  <si>
    <t>#2234</t>
  </si>
  <si>
    <t>http://career.lndo.site/noc_image/2234-NOC-profile.png</t>
  </si>
  <si>
    <t>#2241</t>
  </si>
  <si>
    <t>http://career.lndo.site/noc_image/2241-NOC-profile.png</t>
  </si>
  <si>
    <t>#2242</t>
  </si>
  <si>
    <t>http://career.lndo.site/noc_image/2242-NOC-profile.png</t>
  </si>
  <si>
    <t>#2243</t>
  </si>
  <si>
    <t>http://career.lndo.site/noc_image/2243-NOC-profile.png</t>
  </si>
  <si>
    <t>hfKsTV4sbFI</t>
  </si>
  <si>
    <t>#2244</t>
  </si>
  <si>
    <t>http://career.lndo.site/noc_image/2244-NOC-profile.png</t>
  </si>
  <si>
    <t>#2251</t>
  </si>
  <si>
    <t>http://career.lndo.site/noc_image/2251-NOC-profile.png</t>
  </si>
  <si>
    <t>#2252</t>
  </si>
  <si>
    <t>http://career.lndo.site/noc_image/2252-NOC-profile.png</t>
  </si>
  <si>
    <t>#2253</t>
  </si>
  <si>
    <t>http://career.lndo.site/noc_image/2253-NOC-profile.png</t>
  </si>
  <si>
    <t>#2254</t>
  </si>
  <si>
    <t>http://career.lndo.site/noc_image/2254-NOC-profile.png</t>
  </si>
  <si>
    <t>#2255</t>
  </si>
  <si>
    <t>http://career.lndo.site/noc_image/2255-NOC-profile.png</t>
  </si>
  <si>
    <t>#2261</t>
  </si>
  <si>
    <t>http://career.lndo.site/noc_image/2261-NOC-profile.png</t>
  </si>
  <si>
    <t>#2262</t>
  </si>
  <si>
    <t>http://career.lndo.site/noc_image/2262-NOC-profile.png</t>
  </si>
  <si>
    <t>#2263</t>
  </si>
  <si>
    <t>http://career.lndo.site/noc_image/2263-NOC-profile.png</t>
  </si>
  <si>
    <t>LmvZ_XMUuUc</t>
  </si>
  <si>
    <t>#2264</t>
  </si>
  <si>
    <t>http://career.lndo.site/noc_image/2264-NOC-profile.png</t>
  </si>
  <si>
    <t>RYbZHeNApSU</t>
  </si>
  <si>
    <t>#2271</t>
  </si>
  <si>
    <t>http://career.lndo.site/noc_image/2271-NOC-profile.png</t>
  </si>
  <si>
    <t>wNSbw_NYxgI</t>
  </si>
  <si>
    <t>#2272</t>
  </si>
  <si>
    <t>http://career.lndo.site/noc_image/2272-NOC-profile.png</t>
  </si>
  <si>
    <t>#2273</t>
  </si>
  <si>
    <t>http://career.lndo.site/noc_image/2273-NOC-profile.png</t>
  </si>
  <si>
    <t>Rhe9vH8cXPI</t>
  </si>
  <si>
    <t>#2274</t>
  </si>
  <si>
    <t>http://career.lndo.site/noc_image/2274-NOC-profile.png</t>
  </si>
  <si>
    <t>#2275</t>
  </si>
  <si>
    <t>http://career.lndo.site/noc_image/2275-NOC-profile.png</t>
  </si>
  <si>
    <t>YrqUwYmN4yA</t>
  </si>
  <si>
    <t>#2281</t>
  </si>
  <si>
    <t>http://career.lndo.site/noc_image/2281-NOC-profile.png</t>
  </si>
  <si>
    <t>ISMsrEsaOWs</t>
  </si>
  <si>
    <t>#2282</t>
  </si>
  <si>
    <t>http://career.lndo.site/noc_image/2282-NOC-profile.png</t>
  </si>
  <si>
    <t>Udl63UA2U0c</t>
  </si>
  <si>
    <t>#2283</t>
  </si>
  <si>
    <t>http://career.lndo.site/noc_image/2283-NOC-profile.png</t>
  </si>
  <si>
    <t>#3011</t>
  </si>
  <si>
    <t>http://career.lndo.site/noc_image/3011-NOC-profile.png</t>
  </si>
  <si>
    <t>#3012</t>
  </si>
  <si>
    <t>http://career.lndo.site/noc_image/3012-NOC-profile.png</t>
  </si>
  <si>
    <t>afZwxA4A2A4</t>
  </si>
  <si>
    <t>#3111</t>
  </si>
  <si>
    <t>http://career.lndo.site/noc_image/3111-NOC-profile.png</t>
  </si>
  <si>
    <t>isFI0eqGFBg</t>
  </si>
  <si>
    <t>#3112</t>
  </si>
  <si>
    <t>http://career.lndo.site/noc_image/3112-NOC-profile.png</t>
  </si>
  <si>
    <t>hWtpNEZ4C10</t>
  </si>
  <si>
    <t>#3113</t>
  </si>
  <si>
    <t>http://career.lndo.site/noc_image/3113-NOC-profile.png</t>
  </si>
  <si>
    <t>2wAZjF3xlaw</t>
  </si>
  <si>
    <t>#3114</t>
  </si>
  <si>
    <t>http://career.lndo.site/noc_image/3114-NOC-profile.png</t>
  </si>
  <si>
    <t>#3121</t>
  </si>
  <si>
    <t>http://career.lndo.site/noc_image/3121-NOC-profile.png</t>
  </si>
  <si>
    <t>#3122</t>
  </si>
  <si>
    <t>http://career.lndo.site/noc_image/3122-NOC-profile.png</t>
  </si>
  <si>
    <t>#3124</t>
  </si>
  <si>
    <t>http://career.lndo.site/noc_image/3124-NOC-profile.png</t>
  </si>
  <si>
    <t>uSxv2k_PlqY</t>
  </si>
  <si>
    <t>ix9DzmPuv58</t>
  </si>
  <si>
    <t>#3125</t>
  </si>
  <si>
    <t>http://career.lndo.site/noc_image/3125-NOC-profile.png</t>
  </si>
  <si>
    <t>#3131</t>
  </si>
  <si>
    <t>http://career.lndo.site/noc_image/3131-NOC-profile.png</t>
  </si>
  <si>
    <t>m4OX-t2m01w</t>
  </si>
  <si>
    <t>#3132</t>
  </si>
  <si>
    <t>http://career.lndo.site/noc_image/3132-NOC-profile.png</t>
  </si>
  <si>
    <t>JX3mPYjW7cs</t>
  </si>
  <si>
    <t>#3141</t>
  </si>
  <si>
    <t>http://career.lndo.site/noc_image/3141-NOC-profile.png</t>
  </si>
  <si>
    <t>#3142</t>
  </si>
  <si>
    <t>http://career.lndo.site/noc_image/3142-NOC-profile.png</t>
  </si>
  <si>
    <t>bAztsMnE_Fk</t>
  </si>
  <si>
    <t>#3143</t>
  </si>
  <si>
    <t>http://career.lndo.site/noc_image/3143-NOC-profile.png</t>
  </si>
  <si>
    <t>cyryORXanjo</t>
  </si>
  <si>
    <t>#3144</t>
  </si>
  <si>
    <t>http://career.lndo.site/noc_image/3144-NOC-profile.png</t>
  </si>
  <si>
    <t>#3211</t>
  </si>
  <si>
    <t>http://career.lndo.site/noc_image/3211-NOC-profile.png</t>
  </si>
  <si>
    <t>124t9bcW6ms</t>
  </si>
  <si>
    <t>#3212</t>
  </si>
  <si>
    <t>http://career.lndo.site/noc_image/3212-NOC-profile.png</t>
  </si>
  <si>
    <t>#3213</t>
  </si>
  <si>
    <t>http://career.lndo.site/noc_image/3213-NOC-profile.png</t>
  </si>
  <si>
    <t>qu-lmIlWJfE</t>
  </si>
  <si>
    <t>#3214</t>
  </si>
  <si>
    <t>http://career.lndo.site/noc_image/3214-NOC-profile.png</t>
  </si>
  <si>
    <t>t8YWz8o5HYQ</t>
  </si>
  <si>
    <t>#3215</t>
  </si>
  <si>
    <t>http://career.lndo.site/noc_image/3215-NOC-profile.png</t>
  </si>
  <si>
    <t>#3216</t>
  </si>
  <si>
    <t>http://career.lndo.site/noc_image/3216-NOC-profile.png</t>
  </si>
  <si>
    <t>IHDU67A0uAM</t>
  </si>
  <si>
    <t>#3217</t>
  </si>
  <si>
    <t>http://career.lndo.site/noc_image/3217-NOC-profile.png</t>
  </si>
  <si>
    <t>#3219</t>
  </si>
  <si>
    <t>http://career.lndo.site/noc_image/3219-NOC-profile.png</t>
  </si>
  <si>
    <t>#3221</t>
  </si>
  <si>
    <t>http://career.lndo.site/noc_image/3221-NOC-profile.png</t>
  </si>
  <si>
    <t>#3222</t>
  </si>
  <si>
    <t>http://career.lndo.site/noc_image/3222-NOC-profile.png</t>
  </si>
  <si>
    <t>iyO906A2Iwo</t>
  </si>
  <si>
    <t>#3223</t>
  </si>
  <si>
    <t>http://career.lndo.site/noc_image/3223-NOC-profile.png</t>
  </si>
  <si>
    <t>#3231</t>
  </si>
  <si>
    <t>http://career.lndo.site/noc_image/3231-NOC-profile.png</t>
  </si>
  <si>
    <t>z3SdQ3g0PR0</t>
  </si>
  <si>
    <t>#3232</t>
  </si>
  <si>
    <t>http://career.lndo.site/noc_image/3232-NOC-profile.png</t>
  </si>
  <si>
    <t>#3233</t>
  </si>
  <si>
    <t>http://career.lndo.site/noc_image/3233-NOC-profile.png</t>
  </si>
  <si>
    <t>fUdiEP-FD9g</t>
  </si>
  <si>
    <t>#3234</t>
  </si>
  <si>
    <t>http://career.lndo.site/noc_image/3234-NOC-profile.png</t>
  </si>
  <si>
    <t>njRyrPjYQx4</t>
  </si>
  <si>
    <t>#3236</t>
  </si>
  <si>
    <t>http://career.lndo.site/noc_image/3236-NOC-profile.png</t>
  </si>
  <si>
    <t>LvjN5sAEnLI</t>
  </si>
  <si>
    <t>#3237</t>
  </si>
  <si>
    <t>http://career.lndo.site/noc_image/3237-NOC-profile.png</t>
  </si>
  <si>
    <t>#3411</t>
  </si>
  <si>
    <t>http://career.lndo.site/noc_image/3411-NOC-profile.png</t>
  </si>
  <si>
    <t>ciX-LlzGJfU</t>
  </si>
  <si>
    <t>#3413</t>
  </si>
  <si>
    <t>http://career.lndo.site/noc_image/3413-NOC-profile.png</t>
  </si>
  <si>
    <t>tWXThcDKYjY</t>
  </si>
  <si>
    <t>#3414</t>
  </si>
  <si>
    <t>http://career.lndo.site/noc_image/3414-NOC-profile.png</t>
  </si>
  <si>
    <t>#4011</t>
  </si>
  <si>
    <t>http://career.lndo.site/noc_image/4011-NOC-profile.png</t>
  </si>
  <si>
    <t>#4012</t>
  </si>
  <si>
    <t>http://career.lndo.site/noc_image/4012-NOC-profile.png</t>
  </si>
  <si>
    <t>#4021</t>
  </si>
  <si>
    <t>http://career.lndo.site/noc_image/4021-NOC-profile.png</t>
  </si>
  <si>
    <t>bjF7yRE0RH8</t>
  </si>
  <si>
    <t>#4031</t>
  </si>
  <si>
    <t>http://career.lndo.site/noc_image/4031-NOC-profile.png</t>
  </si>
  <si>
    <t>#4032</t>
  </si>
  <si>
    <t>http://career.lndo.site/noc_image/4032-NOC-profile.png</t>
  </si>
  <si>
    <t>#4033</t>
  </si>
  <si>
    <t>http://career.lndo.site/noc_image/4033-NOC-profile.png</t>
  </si>
  <si>
    <t>#4111</t>
  </si>
  <si>
    <t>http://career.lndo.site/noc_image/4111-NOC-profile.png</t>
  </si>
  <si>
    <t>#4112</t>
  </si>
  <si>
    <t>http://career.lndo.site/noc_image/4112-NOC-profile.png</t>
  </si>
  <si>
    <t>G2mFbgnPdpk</t>
  </si>
  <si>
    <t>#4151</t>
  </si>
  <si>
    <t>http://career.lndo.site/noc_image/4151-NOC-profile.png</t>
  </si>
  <si>
    <t>inD3woCw1Xs</t>
  </si>
  <si>
    <t>#4152</t>
  </si>
  <si>
    <t>http://career.lndo.site/noc_image/4152-NOC-profile.png</t>
  </si>
  <si>
    <t>gDYyMVkMCzA</t>
  </si>
  <si>
    <t>#4153</t>
  </si>
  <si>
    <t>http://career.lndo.site/noc_image/4153-NOC-profile.png</t>
  </si>
  <si>
    <t>Mhynjl3e_Yc</t>
  </si>
  <si>
    <t>#4154</t>
  </si>
  <si>
    <t>http://career.lndo.site/noc_image/4154-NOC-profile.png</t>
  </si>
  <si>
    <t>#4155</t>
  </si>
  <si>
    <t>http://career.lndo.site/noc_image/4155-NOC-profile.png</t>
  </si>
  <si>
    <t>#4156</t>
  </si>
  <si>
    <t>http://career.lndo.site/noc_image/4156-NOC-profile.png</t>
  </si>
  <si>
    <t>MSqphLKFG_c</t>
  </si>
  <si>
    <t>#4161</t>
  </si>
  <si>
    <t>http://career.lndo.site/noc_image/4161-NOC-profile.png</t>
  </si>
  <si>
    <t>ibMhoXvmItc</t>
  </si>
  <si>
    <t>#4162</t>
  </si>
  <si>
    <t>http://career.lndo.site/noc_image/4162-NOC-profile.png</t>
  </si>
  <si>
    <t>lklBAFlCvwU</t>
  </si>
  <si>
    <t>#4163</t>
  </si>
  <si>
    <t>http://career.lndo.site/noc_image/4163-NOC-profile.png</t>
  </si>
  <si>
    <t>#4164</t>
  </si>
  <si>
    <t>http://career.lndo.site/noc_image/4164-NOC-profile.png</t>
  </si>
  <si>
    <t>EaE0PMmxN1M</t>
  </si>
  <si>
    <t>#4165</t>
  </si>
  <si>
    <t>http://career.lndo.site/noc_image/4165-NOC-profile.png</t>
  </si>
  <si>
    <t>hOpgJ8bRAhg</t>
  </si>
  <si>
    <t>#4166</t>
  </si>
  <si>
    <t>http://career.lndo.site/noc_image/4166-NOC-profile.png</t>
  </si>
  <si>
    <t>#4167</t>
  </si>
  <si>
    <t>http://career.lndo.site/noc_image/4167-NOC-profile.png</t>
  </si>
  <si>
    <t>#4168</t>
  </si>
  <si>
    <t>http://career.lndo.site/noc_image/4168-NOC-profile.png</t>
  </si>
  <si>
    <t>#4169</t>
  </si>
  <si>
    <t>http://career.lndo.site/noc_image/4169-NOC-profile.png</t>
  </si>
  <si>
    <t>#4211</t>
  </si>
  <si>
    <t>http://career.lndo.site/noc_image/4211-NOC-profile.png</t>
  </si>
  <si>
    <t>s6DEu9--TAg</t>
  </si>
  <si>
    <t>#4212</t>
  </si>
  <si>
    <t>http://career.lndo.site/noc_image/4212-NOC-profile.png</t>
  </si>
  <si>
    <t>n2QZK3uSk5Y</t>
  </si>
  <si>
    <t>#4214</t>
  </si>
  <si>
    <t>http://career.lndo.site/noc_image/4214-NOC-profile.png</t>
  </si>
  <si>
    <t>#4215</t>
  </si>
  <si>
    <t>http://career.lndo.site/noc_image/4215-NOC-profile.png</t>
  </si>
  <si>
    <t>#4216</t>
  </si>
  <si>
    <t>http://career.lndo.site/noc_image/4216-NOC-profile.png</t>
  </si>
  <si>
    <t>#4217</t>
  </si>
  <si>
    <t>http://career.lndo.site/noc_image/4217-NOC-profile.png</t>
  </si>
  <si>
    <t>#4311</t>
  </si>
  <si>
    <t>http://career.lndo.site/noc_image/4311-NOC-profile.png</t>
  </si>
  <si>
    <t>rx1iBH9-hLs</t>
  </si>
  <si>
    <t>#4312</t>
  </si>
  <si>
    <t>http://career.lndo.site/noc_image/4312-NOC-profile.png</t>
  </si>
  <si>
    <t>LgMvz1gp-QI</t>
  </si>
  <si>
    <t>#4313</t>
  </si>
  <si>
    <t>http://career.lndo.site/noc_image/4313-NOC-profile.png</t>
  </si>
  <si>
    <t>#4411</t>
  </si>
  <si>
    <t>http://career.lndo.site/noc_image/4411-NOC-profile.png</t>
  </si>
  <si>
    <t>ZWeY7fy2iyM</t>
  </si>
  <si>
    <t>#4412</t>
  </si>
  <si>
    <t>http://career.lndo.site/noc_image/4412-NOC-profile.png</t>
  </si>
  <si>
    <t>PJu38LNOtRg</t>
  </si>
  <si>
    <t>#4413</t>
  </si>
  <si>
    <t>http://career.lndo.site/noc_image/4413-NOC-profile.png</t>
  </si>
  <si>
    <t>OzgnNfkXuho</t>
  </si>
  <si>
    <t>#4421</t>
  </si>
  <si>
    <t>http://career.lndo.site/noc_image/4421-NOC-profile.png</t>
  </si>
  <si>
    <t>#4422</t>
  </si>
  <si>
    <t>http://career.lndo.site/noc_image/4422-NOC-profile.png</t>
  </si>
  <si>
    <t>#4423</t>
  </si>
  <si>
    <t>http://career.lndo.site/noc_image/4423-NOC-profile.png</t>
  </si>
  <si>
    <t>#5111</t>
  </si>
  <si>
    <t>http://career.lndo.site/noc_image/5111-NOC-profile.png</t>
  </si>
  <si>
    <t>OxebUahoL5w</t>
  </si>
  <si>
    <t>#5112</t>
  </si>
  <si>
    <t>http://career.lndo.site/noc_image/5112-NOC-profile.png</t>
  </si>
  <si>
    <t>#5113</t>
  </si>
  <si>
    <t>http://career.lndo.site/noc_image/5113-NOC-profile.png</t>
  </si>
  <si>
    <t>#5121</t>
  </si>
  <si>
    <t>http://career.lndo.site/noc_image/5121-NOC-profile.png</t>
  </si>
  <si>
    <t>WEZU4d9Szqo</t>
  </si>
  <si>
    <t>#5122</t>
  </si>
  <si>
    <t>http://career.lndo.site/noc_image/5122-NOC-profile.png</t>
  </si>
  <si>
    <t>UsLsx3o55Wk</t>
  </si>
  <si>
    <t>#5123</t>
  </si>
  <si>
    <t>http://career.lndo.site/noc_image/5123-NOC-profile.png</t>
  </si>
  <si>
    <t>T4YaKm0NyX8</t>
  </si>
  <si>
    <t>#5125</t>
  </si>
  <si>
    <t>http://career.lndo.site/noc_image/5125-NOC-profile.png</t>
  </si>
  <si>
    <t>#5131</t>
  </si>
  <si>
    <t>http://career.lndo.site/noc_image/5131-NOC-profile.png</t>
  </si>
  <si>
    <t>OXvsdJs1v0o</t>
  </si>
  <si>
    <t>#5132</t>
  </si>
  <si>
    <t>http://career.lndo.site/noc_image/5132-NOC-profile.png</t>
  </si>
  <si>
    <t>#5133</t>
  </si>
  <si>
    <t>http://career.lndo.site/noc_image/5133-NOC-profile.png</t>
  </si>
  <si>
    <t>#5134</t>
  </si>
  <si>
    <t>http://career.lndo.site/noc_image/5134-NOC-profile.png</t>
  </si>
  <si>
    <t>#5135</t>
  </si>
  <si>
    <t>http://career.lndo.site/noc_image/5135-NOC-profile.png</t>
  </si>
  <si>
    <t>#5136</t>
  </si>
  <si>
    <t>http://career.lndo.site/noc_image/5136-NOC-profile.png</t>
  </si>
  <si>
    <t>#5211</t>
  </si>
  <si>
    <t>http://career.lndo.site/noc_image/5211-NOC-profile.png</t>
  </si>
  <si>
    <t>#5212</t>
  </si>
  <si>
    <t>http://career.lndo.site/noc_image/5212-NOC-profile.png</t>
  </si>
  <si>
    <t>#5221</t>
  </si>
  <si>
    <t>http://career.lndo.site/noc_image/5221-NOC-profile.png</t>
  </si>
  <si>
    <t>#5222</t>
  </si>
  <si>
    <t>http://career.lndo.site/noc_image/5222-NOC-profile.png</t>
  </si>
  <si>
    <t>Vnl2WRaqu5g</t>
  </si>
  <si>
    <t>#5223</t>
  </si>
  <si>
    <t>http://career.lndo.site/noc_image/5223-NOC-profile.png</t>
  </si>
  <si>
    <t>#5224</t>
  </si>
  <si>
    <t>http://career.lndo.site/noc_image/5224-NOC-profile.png</t>
  </si>
  <si>
    <t>#5225</t>
  </si>
  <si>
    <t>http://career.lndo.site/noc_image/5225-NOC-profile.png</t>
  </si>
  <si>
    <t>kELGabgwMQk</t>
  </si>
  <si>
    <t>#5226</t>
  </si>
  <si>
    <t>http://career.lndo.site/noc_image/5226-NOC-profile.png</t>
  </si>
  <si>
    <t>0U9LpYQjiuc</t>
  </si>
  <si>
    <t>#5227</t>
  </si>
  <si>
    <t>http://career.lndo.site/noc_image/5227-NOC-profile.png</t>
  </si>
  <si>
    <t>9qSjMOb9Vj0</t>
  </si>
  <si>
    <t>#5231</t>
  </si>
  <si>
    <t>http://career.lndo.site/noc_image/5231-NOC-profile.png</t>
  </si>
  <si>
    <t>#5232</t>
  </si>
  <si>
    <t>http://career.lndo.site/noc_image/5232-NOC-profile.png</t>
  </si>
  <si>
    <t>#5241</t>
  </si>
  <si>
    <t>http://career.lndo.site/noc_image/5241-NOC-profile.png</t>
  </si>
  <si>
    <t>pOz68qngB34</t>
  </si>
  <si>
    <t>#5242</t>
  </si>
  <si>
    <t>http://career.lndo.site/noc_image/5242-NOC-profile.png</t>
  </si>
  <si>
    <t>#5243</t>
  </si>
  <si>
    <t>http://career.lndo.site/noc_image/5243-NOC-profile.png</t>
  </si>
  <si>
    <t>IfCgW_rmOo0</t>
  </si>
  <si>
    <t>#5244</t>
  </si>
  <si>
    <t>http://career.lndo.site/noc_image/5244-NOC-profile.png</t>
  </si>
  <si>
    <t>#5245</t>
  </si>
  <si>
    <t>http://career.lndo.site/noc_image/5245-NOC-profile.png</t>
  </si>
  <si>
    <t>#5251</t>
  </si>
  <si>
    <t>http://career.lndo.site/noc_image/5251-NOC-profile.png</t>
  </si>
  <si>
    <t>#5252</t>
  </si>
  <si>
    <t>http://career.lndo.site/noc_image/5252-NOC-profile.png</t>
  </si>
  <si>
    <t>#5253</t>
  </si>
  <si>
    <t>http://career.lndo.site/noc_image/5253-NOC-profile.png</t>
  </si>
  <si>
    <t>#5254</t>
  </si>
  <si>
    <t>http://career.lndo.site/noc_image/5254-NOC-profile.png</t>
  </si>
  <si>
    <t>dMRmQban5ak</t>
  </si>
  <si>
    <t>#6211</t>
  </si>
  <si>
    <t>http://career.lndo.site/noc_image/6211-NOC-profile.png</t>
  </si>
  <si>
    <t>deNr7yOyK2Y</t>
  </si>
  <si>
    <t>#6221</t>
  </si>
  <si>
    <t>http://career.lndo.site/noc_image/6221-NOC-profile.png</t>
  </si>
  <si>
    <t>#6222</t>
  </si>
  <si>
    <t>http://career.lndo.site/noc_image/6222-NOC-profile.png</t>
  </si>
  <si>
    <t>#6231</t>
  </si>
  <si>
    <t>http://career.lndo.site/noc_image/6231-NOC-profile.png</t>
  </si>
  <si>
    <t>0iRvVzxuJmc</t>
  </si>
  <si>
    <t>#6232</t>
  </si>
  <si>
    <t>http://career.lndo.site/noc_image/6232-NOC-profile.png</t>
  </si>
  <si>
    <t>oubdrAb3LsM</t>
  </si>
  <si>
    <t>#6235</t>
  </si>
  <si>
    <t>http://career.lndo.site/noc_image/6235-NOC-profile.png</t>
  </si>
  <si>
    <t>#6311</t>
  </si>
  <si>
    <t>http://career.lndo.site/noc_image/6311-NOC-profile.png</t>
  </si>
  <si>
    <t>#6312</t>
  </si>
  <si>
    <t>http://career.lndo.site/noc_image/6312-NOC-profile.png</t>
  </si>
  <si>
    <t>#6313</t>
  </si>
  <si>
    <t>http://career.lndo.site/noc_image/6313-NOC-profile.png</t>
  </si>
  <si>
    <t>#6314</t>
  </si>
  <si>
    <t>http://career.lndo.site/noc_image/6314-NOC-profile.png</t>
  </si>
  <si>
    <t>#6315</t>
  </si>
  <si>
    <t>http://career.lndo.site/noc_image/6315-NOC-profile.png</t>
  </si>
  <si>
    <t>#6316</t>
  </si>
  <si>
    <t>http://career.lndo.site/noc_image/6316-NOC-profile.png</t>
  </si>
  <si>
    <t>#6321</t>
  </si>
  <si>
    <t>http://career.lndo.site/noc_image/6321-NOC-profile.png</t>
  </si>
  <si>
    <t>e2EZ5Zv0nfg</t>
  </si>
  <si>
    <t>#6322</t>
  </si>
  <si>
    <t>http://career.lndo.site/noc_image/6322-NOC-profile.png</t>
  </si>
  <si>
    <t>3gYAN-cJa-k</t>
  </si>
  <si>
    <t>#6331</t>
  </si>
  <si>
    <t>http://career.lndo.site/noc_image/6331-NOC-profile.png</t>
  </si>
  <si>
    <t>ea37cSOY86s</t>
  </si>
  <si>
    <t>#6332</t>
  </si>
  <si>
    <t>http://career.lndo.site/noc_image/6332-NOC-profile.png</t>
  </si>
  <si>
    <t>x0rYO5ig2bo</t>
  </si>
  <si>
    <t>#6341</t>
  </si>
  <si>
    <t>http://career.lndo.site/noc_image/6341-NOC-profile.png</t>
  </si>
  <si>
    <t>BDIptsGxLUk</t>
  </si>
  <si>
    <t>#6342</t>
  </si>
  <si>
    <t>http://career.lndo.site/noc_image/6342-NOC-profile.png</t>
  </si>
  <si>
    <t>#6343</t>
  </si>
  <si>
    <t>http://career.lndo.site/noc_image/6343-NOC-profile.png</t>
  </si>
  <si>
    <t>#6344</t>
  </si>
  <si>
    <t>http://career.lndo.site/noc_image/6344-NOC-profile.png</t>
  </si>
  <si>
    <t>#6345</t>
  </si>
  <si>
    <t>http://career.lndo.site/noc_image/6345-NOC-profile.png</t>
  </si>
  <si>
    <t>#6346</t>
  </si>
  <si>
    <t>http://career.lndo.site/noc_image/6346-NOC-profile.png</t>
  </si>
  <si>
    <t>#6411</t>
  </si>
  <si>
    <t>http://career.lndo.site/noc_image/6411-NOC-profile.png</t>
  </si>
  <si>
    <t>tN1H0hxjJTs</t>
  </si>
  <si>
    <t>#6421</t>
  </si>
  <si>
    <t>http://career.lndo.site/noc_image/6421-NOC-profile.png</t>
  </si>
  <si>
    <t>i0rUVZmINAw</t>
  </si>
  <si>
    <t>#6511</t>
  </si>
  <si>
    <t>http://career.lndo.site/noc_image/6511-NOC-profile.png</t>
  </si>
  <si>
    <t>#6512</t>
  </si>
  <si>
    <t>http://career.lndo.site/noc_image/6512-NOC-profile.png</t>
  </si>
  <si>
    <t>#6513</t>
  </si>
  <si>
    <t>http://career.lndo.site/noc_image/6513-NOC-profile.png</t>
  </si>
  <si>
    <t>ahlciXcDh2A</t>
  </si>
  <si>
    <t>#6521</t>
  </si>
  <si>
    <t>http://career.lndo.site/noc_image/6521-NOC-profile.png</t>
  </si>
  <si>
    <t>#6522</t>
  </si>
  <si>
    <t>http://career.lndo.site/noc_image/6522-NOC-profile.png</t>
  </si>
  <si>
    <t>#6523</t>
  </si>
  <si>
    <t>http://career.lndo.site/noc_image/6523-NOC-profile.png</t>
  </si>
  <si>
    <t>#6524</t>
  </si>
  <si>
    <t>http://career.lndo.site/noc_image/6524-NOC-profile.png</t>
  </si>
  <si>
    <t>#6525</t>
  </si>
  <si>
    <t>http://career.lndo.site/noc_image/6525-NOC-profile.png</t>
  </si>
  <si>
    <t>#6531</t>
  </si>
  <si>
    <t>http://career.lndo.site/noc_image/6531-NOC-profile.png</t>
  </si>
  <si>
    <t>#6532</t>
  </si>
  <si>
    <t>http://career.lndo.site/noc_image/6532-NOC-profile.png</t>
  </si>
  <si>
    <t>#6533</t>
  </si>
  <si>
    <t>http://career.lndo.site/noc_image/6533-NOC-profile.png</t>
  </si>
  <si>
    <t>#6541</t>
  </si>
  <si>
    <t>http://career.lndo.site/noc_image/6541-NOC-profile.png</t>
  </si>
  <si>
    <t>bV9-O1aLyrs</t>
  </si>
  <si>
    <t>#6551</t>
  </si>
  <si>
    <t>http://career.lndo.site/noc_image/6551-NOC-profile.png</t>
  </si>
  <si>
    <t>#6552</t>
  </si>
  <si>
    <t>http://career.lndo.site/noc_image/6552-NOC-profile.png</t>
  </si>
  <si>
    <t>#6561</t>
  </si>
  <si>
    <t>http://career.lndo.site/noc_image/6561-NOC-profile.png</t>
  </si>
  <si>
    <t>#6562</t>
  </si>
  <si>
    <t>http://career.lndo.site/noc_image/6562-NOC-profile.png</t>
  </si>
  <si>
    <t>M4HnqVyH0gQ</t>
  </si>
  <si>
    <t>#6563</t>
  </si>
  <si>
    <t>http://career.lndo.site/noc_image/6563-NOC-profile.png</t>
  </si>
  <si>
    <t>#6564</t>
  </si>
  <si>
    <t>http://career.lndo.site/noc_image/6564-NOC-profile.png</t>
  </si>
  <si>
    <t>#6611</t>
  </si>
  <si>
    <t>http://career.lndo.site/noc_image/6611-NOC-profile.png</t>
  </si>
  <si>
    <t>#6621</t>
  </si>
  <si>
    <t>http://career.lndo.site/noc_image/6621-NOC-profile.png</t>
  </si>
  <si>
    <t>#6622</t>
  </si>
  <si>
    <t>http://career.lndo.site/noc_image/6622-NOC-profile.png</t>
  </si>
  <si>
    <t>#6623</t>
  </si>
  <si>
    <t>http://career.lndo.site/noc_image/6623-NOC-profile.png</t>
  </si>
  <si>
    <t>#6711</t>
  </si>
  <si>
    <t>http://career.lndo.site/noc_image/6711-NOC-profile.png</t>
  </si>
  <si>
    <t>#6721</t>
  </si>
  <si>
    <t>http://career.lndo.site/noc_image/6721-NOC-profile.png</t>
  </si>
  <si>
    <t>#6722</t>
  </si>
  <si>
    <t>http://career.lndo.site/noc_image/6722-NOC-profile.png</t>
  </si>
  <si>
    <t>#6731</t>
  </si>
  <si>
    <t>http://career.lndo.site/noc_image/6731-NOC-profile.png</t>
  </si>
  <si>
    <t>#6732</t>
  </si>
  <si>
    <t>http://career.lndo.site/noc_image/6732-NOC-profile.png</t>
  </si>
  <si>
    <t>#6733</t>
  </si>
  <si>
    <t>http://career.lndo.site/noc_image/6733-NOC-profile.png</t>
  </si>
  <si>
    <t>#6741</t>
  </si>
  <si>
    <t>http://career.lndo.site/noc_image/6741-NOC-profile.png</t>
  </si>
  <si>
    <t>#6742</t>
  </si>
  <si>
    <t>http://career.lndo.site/noc_image/6742-NOC-profile.png</t>
  </si>
  <si>
    <t>#7201</t>
  </si>
  <si>
    <t>http://career.lndo.site/noc_image/7201-NOC-profile.png</t>
  </si>
  <si>
    <t>#7202</t>
  </si>
  <si>
    <t>http://career.lndo.site/noc_image/7202-NOC-profile.png</t>
  </si>
  <si>
    <t>#7203</t>
  </si>
  <si>
    <t>http://career.lndo.site/noc_image/7203-NOC-profile.png</t>
  </si>
  <si>
    <t>#7204</t>
  </si>
  <si>
    <t>http://career.lndo.site/noc_image/7204-NOC-profile.png</t>
  </si>
  <si>
    <t>#7205</t>
  </si>
  <si>
    <t>http://career.lndo.site/noc_image/7205-NOC-profile.png</t>
  </si>
  <si>
    <t>#7231</t>
  </si>
  <si>
    <t>http://career.lndo.site/noc_image/7231-NOC-profile.png</t>
  </si>
  <si>
    <t>nYfzgVnJHN0</t>
  </si>
  <si>
    <t>#7232</t>
  </si>
  <si>
    <t>http://career.lndo.site/noc_image/7232-NOC-profile.png</t>
  </si>
  <si>
    <t>#7233</t>
  </si>
  <si>
    <t>http://career.lndo.site/noc_image/7233-NOC-profile.png</t>
  </si>
  <si>
    <t>#7234</t>
  </si>
  <si>
    <t>http://career.lndo.site/noc_image/7234-NOC-profile.png</t>
  </si>
  <si>
    <t>#7235</t>
  </si>
  <si>
    <t>http://career.lndo.site/noc_image/7235-NOC-profile.png</t>
  </si>
  <si>
    <t>#7236</t>
  </si>
  <si>
    <t>http://career.lndo.site/noc_image/7236-NOC-profile.png</t>
  </si>
  <si>
    <t>KzSmE6zthKA</t>
  </si>
  <si>
    <t>#7237</t>
  </si>
  <si>
    <t>http://career.lndo.site/noc_image/7237-NOC-profile.png</t>
  </si>
  <si>
    <t>wM6gG_woqmk</t>
  </si>
  <si>
    <t>#7241</t>
  </si>
  <si>
    <t>http://career.lndo.site/noc_image/7241-NOC-profile.png</t>
  </si>
  <si>
    <t>cjsMfu9Qj9Q</t>
  </si>
  <si>
    <t>#7242</t>
  </si>
  <si>
    <t>http://career.lndo.site/noc_image/7242-NOC-profile.png</t>
  </si>
  <si>
    <t>#7243</t>
  </si>
  <si>
    <t>http://career.lndo.site/noc_image/7243-NOC-profile.png</t>
  </si>
  <si>
    <t>#7244</t>
  </si>
  <si>
    <t>http://career.lndo.site/noc_image/7244-NOC-profile.png</t>
  </si>
  <si>
    <t>#7245</t>
  </si>
  <si>
    <t>http://career.lndo.site/noc_image/7245-NOC-profile.png</t>
  </si>
  <si>
    <t>#7246</t>
  </si>
  <si>
    <t>http://career.lndo.site/noc_image/7246-NOC-profile.png</t>
  </si>
  <si>
    <t>#7247</t>
  </si>
  <si>
    <t>http://career.lndo.site/noc_image/7247-NOC-profile.png</t>
  </si>
  <si>
    <t>#7251</t>
  </si>
  <si>
    <t>http://career.lndo.site/noc_image/7251-NOC-profile.png</t>
  </si>
  <si>
    <t>#7252</t>
  </si>
  <si>
    <t>http://career.lndo.site/noc_image/7252-NOC-profile.png</t>
  </si>
  <si>
    <t>h67AieE95yk</t>
  </si>
  <si>
    <t>#7253</t>
  </si>
  <si>
    <t>http://career.lndo.site/noc_image/7253-NOC-profile.png</t>
  </si>
  <si>
    <t>#7271</t>
  </si>
  <si>
    <t>http://career.lndo.site/noc_image/7271-NOC-profile.png</t>
  </si>
  <si>
    <t>oIUK0ItCIQo</t>
  </si>
  <si>
    <t>#7272</t>
  </si>
  <si>
    <t>http://career.lndo.site/noc_image/7272-NOC-profile.png</t>
  </si>
  <si>
    <t>#7281</t>
  </si>
  <si>
    <t>http://career.lndo.site/noc_image/7281-NOC-profile.png</t>
  </si>
  <si>
    <t>#7282</t>
  </si>
  <si>
    <t>http://career.lndo.site/noc_image/7282-NOC-profile.png</t>
  </si>
  <si>
    <t>#7283</t>
  </si>
  <si>
    <t>http://career.lndo.site/noc_image/7283-NOC-profile.png</t>
  </si>
  <si>
    <t>#7284</t>
  </si>
  <si>
    <t>http://career.lndo.site/noc_image/7284-NOC-profile.png</t>
  </si>
  <si>
    <t>#7291</t>
  </si>
  <si>
    <t>http://career.lndo.site/noc_image/7291-NOC-profile.png</t>
  </si>
  <si>
    <t>#7292</t>
  </si>
  <si>
    <t>http://career.lndo.site/noc_image/7292-NOC-profile.png</t>
  </si>
  <si>
    <t>#7293</t>
  </si>
  <si>
    <t>http://career.lndo.site/noc_image/7293-NOC-profile.png</t>
  </si>
  <si>
    <t>#7294</t>
  </si>
  <si>
    <t>http://career.lndo.site/noc_image/7294-NOC-profile.png</t>
  </si>
  <si>
    <t>#7295</t>
  </si>
  <si>
    <t>http://career.lndo.site/noc_image/7295-NOC-profile.png</t>
  </si>
  <si>
    <t>#7301</t>
  </si>
  <si>
    <t>http://career.lndo.site/noc_image/7301-NOC-profile.png</t>
  </si>
  <si>
    <t>#7302</t>
  </si>
  <si>
    <t>http://career.lndo.site/noc_image/7302-NOC-profile.png</t>
  </si>
  <si>
    <t>#7303</t>
  </si>
  <si>
    <t>http://career.lndo.site/noc_image/7303-NOC-profile.png</t>
  </si>
  <si>
    <t>#7304</t>
  </si>
  <si>
    <t>http://career.lndo.site/noc_image/7304-NOC-profile.png</t>
  </si>
  <si>
    <t>#7305</t>
  </si>
  <si>
    <t>http://career.lndo.site/noc_image/7305-NOC-profile.png</t>
  </si>
  <si>
    <t>#7311</t>
  </si>
  <si>
    <t>http://career.lndo.site/noc_image/7311-NOC-profile.png</t>
  </si>
  <si>
    <t>PykipkwcOIU</t>
  </si>
  <si>
    <t>#7312</t>
  </si>
  <si>
    <t>http://career.lndo.site/noc_image/7312-NOC-profile.png</t>
  </si>
  <si>
    <t>BtZGjIzCFNk</t>
  </si>
  <si>
    <t>#7313</t>
  </si>
  <si>
    <t>http://career.lndo.site/noc_image/7313-NOC-profile.png</t>
  </si>
  <si>
    <t>AlYSO5XpYCc</t>
  </si>
  <si>
    <t>#7314</t>
  </si>
  <si>
    <t>http://career.lndo.site/noc_image/7314-NOC-profile.png</t>
  </si>
  <si>
    <t>#7315</t>
  </si>
  <si>
    <t>http://career.lndo.site/noc_image/7315-NOC-profile.png</t>
  </si>
  <si>
    <t>#7316</t>
  </si>
  <si>
    <t>http://career.lndo.site/noc_image/7316-NOC-profile.png</t>
  </si>
  <si>
    <t>#7318</t>
  </si>
  <si>
    <t>http://career.lndo.site/noc_image/7318-NOC-profile.png</t>
  </si>
  <si>
    <t>#7321</t>
  </si>
  <si>
    <t>http://career.lndo.site/noc_image/7321-NOC-profile.png</t>
  </si>
  <si>
    <t>VJSxZsZEVCY</t>
  </si>
  <si>
    <t>#7322</t>
  </si>
  <si>
    <t>http://career.lndo.site/noc_image/7322-NOC-profile.png</t>
  </si>
  <si>
    <t>#7331</t>
  </si>
  <si>
    <t>http://career.lndo.site/noc_image/7331-NOC-profile.png</t>
  </si>
  <si>
    <t>#7332</t>
  </si>
  <si>
    <t>http://career.lndo.site/noc_image/7332-NOC-profile.png</t>
  </si>
  <si>
    <t>#7333</t>
  </si>
  <si>
    <t>http://career.lndo.site/noc_image/7333-NOC-profile.png</t>
  </si>
  <si>
    <t>#7334</t>
  </si>
  <si>
    <t>http://career.lndo.site/noc_image/7334-NOC-profile.png</t>
  </si>
  <si>
    <t>#7335</t>
  </si>
  <si>
    <t>http://career.lndo.site/noc_image/7335-NOC-profile.png</t>
  </si>
  <si>
    <t>#7361</t>
  </si>
  <si>
    <t>http://career.lndo.site/noc_image/7361-NOC-profile.png</t>
  </si>
  <si>
    <t>#7362</t>
  </si>
  <si>
    <t>http://career.lndo.site/noc_image/7362-NOC-profile.png</t>
  </si>
  <si>
    <t>#7371</t>
  </si>
  <si>
    <t>http://career.lndo.site/noc_image/7371-NOC-profile.png</t>
  </si>
  <si>
    <t>#7372</t>
  </si>
  <si>
    <t>http://career.lndo.site/noc_image/7372-NOC-profile.png</t>
  </si>
  <si>
    <t>#7373</t>
  </si>
  <si>
    <t>http://career.lndo.site/noc_image/7373-NOC-profile.png</t>
  </si>
  <si>
    <t>#7381</t>
  </si>
  <si>
    <t>http://career.lndo.site/noc_image/7381-NOC-profile.png</t>
  </si>
  <si>
    <t>#7384</t>
  </si>
  <si>
    <t>http://career.lndo.site/noc_image/7384-NOC-profile.png</t>
  </si>
  <si>
    <t>#7441</t>
  </si>
  <si>
    <t>http://career.lndo.site/noc_image/7441-NOC-profile.png</t>
  </si>
  <si>
    <t>#7442</t>
  </si>
  <si>
    <t>http://career.lndo.site/noc_image/7442-NOC-profile.png</t>
  </si>
  <si>
    <t>#7444</t>
  </si>
  <si>
    <t>http://career.lndo.site/noc_image/7444-NOC-profile.png</t>
  </si>
  <si>
    <t>#7445</t>
  </si>
  <si>
    <t>http://career.lndo.site/noc_image/7445-NOC-profile.png</t>
  </si>
  <si>
    <t>#7451</t>
  </si>
  <si>
    <t>http://career.lndo.site/noc_image/7451-NOC-profile.png</t>
  </si>
  <si>
    <t>40hRk0VPE2c</t>
  </si>
  <si>
    <t>#7452</t>
  </si>
  <si>
    <t>http://career.lndo.site/noc_image/7452-NOC-profile.png</t>
  </si>
  <si>
    <t>#7511</t>
  </si>
  <si>
    <t>http://career.lndo.site/noc_image/7511-NOC-profile.png</t>
  </si>
  <si>
    <t>A81nvDdP5KY</t>
  </si>
  <si>
    <t>#7512</t>
  </si>
  <si>
    <t>http://career.lndo.site/noc_image/7512-NOC-profile.png</t>
  </si>
  <si>
    <t>yYUbhKgdJRE</t>
  </si>
  <si>
    <t>#7513</t>
  </si>
  <si>
    <t>http://career.lndo.site/noc_image/7513-NOC-profile.png</t>
  </si>
  <si>
    <t>#7514</t>
  </si>
  <si>
    <t>http://career.lndo.site/noc_image/7514-NOC-profile.png</t>
  </si>
  <si>
    <t>#7521</t>
  </si>
  <si>
    <t>http://career.lndo.site/noc_image/7521-NOC-profile.png</t>
  </si>
  <si>
    <t>mVeIwGbDlMc</t>
  </si>
  <si>
    <t>#7522</t>
  </si>
  <si>
    <t>http://career.lndo.site/noc_image/7522-NOC-profile.png</t>
  </si>
  <si>
    <t>#7531</t>
  </si>
  <si>
    <t>http://career.lndo.site/noc_image/7531-NOC-profile.png</t>
  </si>
  <si>
    <t>#7532</t>
  </si>
  <si>
    <t>http://career.lndo.site/noc_image/7532-NOC-profile.png</t>
  </si>
  <si>
    <t>gqQlVrcHm7s</t>
  </si>
  <si>
    <t>#7533</t>
  </si>
  <si>
    <t>http://career.lndo.site/noc_image/7533-NOC-profile.png</t>
  </si>
  <si>
    <t>#7534</t>
  </si>
  <si>
    <t>http://career.lndo.site/noc_image/7534-NOC-profile.png</t>
  </si>
  <si>
    <t>#7535</t>
  </si>
  <si>
    <t>http://career.lndo.site/noc_image/7535-NOC-profile.png</t>
  </si>
  <si>
    <t>#7611</t>
  </si>
  <si>
    <t>http://career.lndo.site/noc_image/7611-NOC-profile.png</t>
  </si>
  <si>
    <t>#7612</t>
  </si>
  <si>
    <t>http://career.lndo.site/noc_image/7612-NOC-profile.png</t>
  </si>
  <si>
    <t>#7621</t>
  </si>
  <si>
    <t>http://career.lndo.site/noc_image/7621-NOC-profile.png</t>
  </si>
  <si>
    <t>#7622</t>
  </si>
  <si>
    <t>http://career.lndo.site/noc_image/7622-NOC-profile.png</t>
  </si>
  <si>
    <t>#8211</t>
  </si>
  <si>
    <t>http://career.lndo.site/noc_image/8211-NOC-profile.png</t>
  </si>
  <si>
    <t>#8221</t>
  </si>
  <si>
    <t>http://career.lndo.site/noc_image/8221-NOC-profile.png</t>
  </si>
  <si>
    <t>#8222</t>
  </si>
  <si>
    <t>http://career.lndo.site/noc_image/8222-NOC-profile.png</t>
  </si>
  <si>
    <t>q4fpX9T1ziQ</t>
  </si>
  <si>
    <t>#8231</t>
  </si>
  <si>
    <t>http://career.lndo.site/noc_image/8231-NOC-profile.png</t>
  </si>
  <si>
    <t>#8232</t>
  </si>
  <si>
    <t>http://career.lndo.site/noc_image/8232-NOC-profile.png</t>
  </si>
  <si>
    <t>#8241</t>
  </si>
  <si>
    <t>http://career.lndo.site/noc_image/8241-NOC-profile.png</t>
  </si>
  <si>
    <t>#8252</t>
  </si>
  <si>
    <t>http://career.lndo.site/noc_image/8252-NOC-profile.png</t>
  </si>
  <si>
    <t>#8255</t>
  </si>
  <si>
    <t>http://career.lndo.site/noc_image/8255-NOC-profile.png</t>
  </si>
  <si>
    <t>#8261</t>
  </si>
  <si>
    <t>http://career.lndo.site/noc_image/8261-NOC-profile.png</t>
  </si>
  <si>
    <t>#8262</t>
  </si>
  <si>
    <t>http://career.lndo.site/noc_image/8262-NOC-profile.png</t>
  </si>
  <si>
    <t>#8411</t>
  </si>
  <si>
    <t>http://career.lndo.site/noc_image/8411-NOC-profile.png</t>
  </si>
  <si>
    <t>#8412</t>
  </si>
  <si>
    <t>http://career.lndo.site/noc_image/8412-NOC-profile.png</t>
  </si>
  <si>
    <t>#8421</t>
  </si>
  <si>
    <t>http://career.lndo.site/noc_image/8421-NOC-profile.png</t>
  </si>
  <si>
    <t>#8422</t>
  </si>
  <si>
    <t>http://career.lndo.site/noc_image/8422-NOC-profile.png</t>
  </si>
  <si>
    <t>ZwI2cJrmPVQ</t>
  </si>
  <si>
    <t>#8431</t>
  </si>
  <si>
    <t>http://career.lndo.site/noc_image/8431-NOC-profile.png</t>
  </si>
  <si>
    <t>#8432</t>
  </si>
  <si>
    <t>http://career.lndo.site/noc_image/8432-NOC-profile.png</t>
  </si>
  <si>
    <t>#8441</t>
  </si>
  <si>
    <t>http://career.lndo.site/noc_image/8441-NOC-profile.png</t>
  </si>
  <si>
    <t>#8442</t>
  </si>
  <si>
    <t>http://career.lndo.site/noc_image/8442-NOC-profile.png</t>
  </si>
  <si>
    <t>#8611</t>
  </si>
  <si>
    <t>http://career.lndo.site/noc_image/8611-NOC-profile.png</t>
  </si>
  <si>
    <t>#8612</t>
  </si>
  <si>
    <t>http://career.lndo.site/noc_image/8612-NOC-profile.png</t>
  </si>
  <si>
    <t>Z_ifQaIiaUk</t>
  </si>
  <si>
    <t>#8613</t>
  </si>
  <si>
    <t>http://career.lndo.site/noc_image/8613-NOC-profile.png</t>
  </si>
  <si>
    <t>#8614</t>
  </si>
  <si>
    <t>http://career.lndo.site/noc_image/8614-NOC-profile.png</t>
  </si>
  <si>
    <t>#8615</t>
  </si>
  <si>
    <t>http://career.lndo.site/noc_image/8615-NOC-profile.png</t>
  </si>
  <si>
    <t>#8616</t>
  </si>
  <si>
    <t>http://career.lndo.site/noc_image/8616-NOC-profile.png</t>
  </si>
  <si>
    <t>#9211</t>
  </si>
  <si>
    <t>http://career.lndo.site/noc_image/9211-NOC-profile.png</t>
  </si>
  <si>
    <t>#9212</t>
  </si>
  <si>
    <t>http://career.lndo.site/noc_image/9212-NOC-profile.png</t>
  </si>
  <si>
    <t>#9213</t>
  </si>
  <si>
    <t>http://career.lndo.site/noc_image/9213-NOC-profile.png</t>
  </si>
  <si>
    <t>#9214</t>
  </si>
  <si>
    <t>http://career.lndo.site/noc_image/9214-NOC-profile.png</t>
  </si>
  <si>
    <t>#9215</t>
  </si>
  <si>
    <t>http://career.lndo.site/noc_image/9215-NOC-profile.png</t>
  </si>
  <si>
    <t>#9217</t>
  </si>
  <si>
    <t>http://career.lndo.site/noc_image/9217-NOC-profile.png</t>
  </si>
  <si>
    <t>#9221</t>
  </si>
  <si>
    <t>http://career.lndo.site/noc_image/9221-NOC-profile.png</t>
  </si>
  <si>
    <t>#9222</t>
  </si>
  <si>
    <t>http://career.lndo.site/noc_image/9222-NOC-profile.png</t>
  </si>
  <si>
    <t>#9223</t>
  </si>
  <si>
    <t>http://career.lndo.site/noc_image/9223-NOC-profile.png</t>
  </si>
  <si>
    <t>#9224</t>
  </si>
  <si>
    <t>http://career.lndo.site/noc_image/9224-NOC-profile.png</t>
  </si>
  <si>
    <t>#9226</t>
  </si>
  <si>
    <t>http://career.lndo.site/noc_image/9226-NOC-profile.png</t>
  </si>
  <si>
    <t>#9227</t>
  </si>
  <si>
    <t>http://career.lndo.site/noc_image/9227-NOC-profile.png</t>
  </si>
  <si>
    <t>#9231</t>
  </si>
  <si>
    <t>http://career.lndo.site/noc_image/9231-NOC-profile.png</t>
  </si>
  <si>
    <t>#9232</t>
  </si>
  <si>
    <t>http://career.lndo.site/noc_image/9232-NOC-profile.png</t>
  </si>
  <si>
    <t>#9235</t>
  </si>
  <si>
    <t>http://career.lndo.site/noc_image/9235-NOC-profile.png</t>
  </si>
  <si>
    <t>#9241</t>
  </si>
  <si>
    <t>http://career.lndo.site/noc_image/9241-NOC-profile.png</t>
  </si>
  <si>
    <t>_OmTDEtFTAY</t>
  </si>
  <si>
    <t>#9243</t>
  </si>
  <si>
    <t>http://career.lndo.site/noc_image/9243-NOC-profile.png</t>
  </si>
  <si>
    <t>#9411</t>
  </si>
  <si>
    <t>http://career.lndo.site/noc_image/9411-NOC-profile.png</t>
  </si>
  <si>
    <t>#9412</t>
  </si>
  <si>
    <t>http://career.lndo.site/noc_image/9412-NOC-profile.png</t>
  </si>
  <si>
    <t>#9413</t>
  </si>
  <si>
    <t>http://career.lndo.site/noc_image/9413-NOC-profile.png</t>
  </si>
  <si>
    <t>#9414</t>
  </si>
  <si>
    <t>http://career.lndo.site/noc_image/9414-NOC-profile.png</t>
  </si>
  <si>
    <t>#9415</t>
  </si>
  <si>
    <t>http://career.lndo.site/noc_image/9415-NOC-profile.png</t>
  </si>
  <si>
    <t>#9416</t>
  </si>
  <si>
    <t>http://career.lndo.site/noc_image/9416-NOC-profile.png</t>
  </si>
  <si>
    <t>#9417</t>
  </si>
  <si>
    <t>http://career.lndo.site/noc_image/9417-NOC-profile.png</t>
  </si>
  <si>
    <t>Ptsj6-V-qu8</t>
  </si>
  <si>
    <t>#9418</t>
  </si>
  <si>
    <t>http://career.lndo.site/noc_image/9418-NOC-profile.png</t>
  </si>
  <si>
    <t>#9421</t>
  </si>
  <si>
    <t>http://career.lndo.site/noc_image/9421-NOC-profile.png</t>
  </si>
  <si>
    <t>#9422</t>
  </si>
  <si>
    <t>http://career.lndo.site/noc_image/9422-NOC-profile.png</t>
  </si>
  <si>
    <t>#9423</t>
  </si>
  <si>
    <t>http://career.lndo.site/noc_image/9423-NOC-profile.png</t>
  </si>
  <si>
    <t>#9431</t>
  </si>
  <si>
    <t>http://career.lndo.site/noc_image/9431-NOC-profile.png</t>
  </si>
  <si>
    <t>i6dKpSqR2qA</t>
  </si>
  <si>
    <t>#9432</t>
  </si>
  <si>
    <t>http://career.lndo.site/noc_image/9432-NOC-profile.png</t>
  </si>
  <si>
    <t>#9433</t>
  </si>
  <si>
    <t>http://career.lndo.site/noc_image/9433-NOC-profile.png</t>
  </si>
  <si>
    <t>#9434</t>
  </si>
  <si>
    <t>http://career.lndo.site/noc_image/9434-NOC-profile.png</t>
  </si>
  <si>
    <t>#9435</t>
  </si>
  <si>
    <t>http://career.lndo.site/noc_image/9435-NOC-profile.png</t>
  </si>
  <si>
    <t>#9436</t>
  </si>
  <si>
    <t>http://career.lndo.site/noc_image/9436-NOC-profile.png</t>
  </si>
  <si>
    <t>#9437</t>
  </si>
  <si>
    <t>http://career.lndo.site/noc_image/9437-NOC-profile.png</t>
  </si>
  <si>
    <t>#9441</t>
  </si>
  <si>
    <t>http://career.lndo.site/noc_image/9441-NOC-profile.png</t>
  </si>
  <si>
    <t>#9442</t>
  </si>
  <si>
    <t>http://career.lndo.site/noc_image/9442-NOC-profile.png</t>
  </si>
  <si>
    <t>#9445</t>
  </si>
  <si>
    <t>http://career.lndo.site/noc_image/9445-NOC-profile.png</t>
  </si>
  <si>
    <t>#9446</t>
  </si>
  <si>
    <t>http://career.lndo.site/noc_image/9446-NOC-profile.png</t>
  </si>
  <si>
    <t>#9447</t>
  </si>
  <si>
    <t>http://career.lndo.site/noc_image/9447-NOC-profile.png</t>
  </si>
  <si>
    <t>#9461</t>
  </si>
  <si>
    <t>http://career.lndo.site/noc_image/9461-NOC-profile.png</t>
  </si>
  <si>
    <t>#9462</t>
  </si>
  <si>
    <t>http://career.lndo.site/noc_image/9462-NOC-profile.png</t>
  </si>
  <si>
    <t>#9463</t>
  </si>
  <si>
    <t>http://career.lndo.site/noc_image/9463-NOC-profile.png</t>
  </si>
  <si>
    <t>#9465</t>
  </si>
  <si>
    <t>http://career.lndo.site/noc_image/9465-NOC-profile.png</t>
  </si>
  <si>
    <t>#9471</t>
  </si>
  <si>
    <t>http://career.lndo.site/noc_image/9471-NOC-profile.png</t>
  </si>
  <si>
    <t>#9472</t>
  </si>
  <si>
    <t>http://career.lndo.site/noc_image/9472-NOC-profile.png</t>
  </si>
  <si>
    <t>#9473</t>
  </si>
  <si>
    <t>http://career.lndo.site/noc_image/9473-NOC-profile.png</t>
  </si>
  <si>
    <t>#9474</t>
  </si>
  <si>
    <t>http://career.lndo.site/noc_image/9474-NOC-profile.png</t>
  </si>
  <si>
    <t>#9521</t>
  </si>
  <si>
    <t>http://career.lndo.site/noc_image/9521-NOC-profile.png</t>
  </si>
  <si>
    <t>#9522</t>
  </si>
  <si>
    <t>http://career.lndo.site/noc_image/9522-NOC-profile.png</t>
  </si>
  <si>
    <t>#9523</t>
  </si>
  <si>
    <t>http://career.lndo.site/noc_image/9523-NOC-profile.png</t>
  </si>
  <si>
    <t>#9524</t>
  </si>
  <si>
    <t>http://career.lndo.site/noc_image/9524-NOC-profile.png</t>
  </si>
  <si>
    <t>#9525</t>
  </si>
  <si>
    <t>http://career.lndo.site/noc_image/9525-NOC-profile.png</t>
  </si>
  <si>
    <t>#9526</t>
  </si>
  <si>
    <t>http://career.lndo.site/noc_image/9526-NOC-profile.png</t>
  </si>
  <si>
    <t>#9527</t>
  </si>
  <si>
    <t>http://career.lndo.site/noc_image/9527-NOC-profile.png</t>
  </si>
  <si>
    <t>#9531</t>
  </si>
  <si>
    <t>http://career.lndo.site/noc_image/9531-NOC-profile.png</t>
  </si>
  <si>
    <t>Qq_mClkGTPA</t>
  </si>
  <si>
    <t>#9532</t>
  </si>
  <si>
    <t>http://career.lndo.site/noc_image/9532-NOC-profile.png</t>
  </si>
  <si>
    <t>9mm9PWMEbmM</t>
  </si>
  <si>
    <t>#9533</t>
  </si>
  <si>
    <t>http://career.lndo.site/noc_image/9533-NOC-profile.png</t>
  </si>
  <si>
    <t>#9534</t>
  </si>
  <si>
    <t>http://career.lndo.site/noc_image/9534-NOC-profile.png</t>
  </si>
  <si>
    <t>#9535</t>
  </si>
  <si>
    <t>http://career.lndo.site/noc_image/9535-NOC-profile.png</t>
  </si>
  <si>
    <t>#9536</t>
  </si>
  <si>
    <t>http://career.lndo.site/noc_image/9536-NOC-profile.png</t>
  </si>
  <si>
    <t>#9537</t>
  </si>
  <si>
    <t>http://career.lndo.site/noc_image/9537-NOC-profile.png</t>
  </si>
  <si>
    <t>#9611</t>
  </si>
  <si>
    <t>http://career.lndo.site/noc_image/9611-NOC-profile.png</t>
  </si>
  <si>
    <t>#9612</t>
  </si>
  <si>
    <t>http://career.lndo.site/noc_image/9612-NOC-profile.png</t>
  </si>
  <si>
    <t>#9613</t>
  </si>
  <si>
    <t>http://career.lndo.site/noc_image/9613-NOC-profile.png</t>
  </si>
  <si>
    <t>#9614</t>
  </si>
  <si>
    <t>http://career.lndo.site/noc_image/9614-NOC-profile.png</t>
  </si>
  <si>
    <t>UutVLyqbqls</t>
  </si>
  <si>
    <t>#9615</t>
  </si>
  <si>
    <t>http://career.lndo.site/noc_image/9615-NOC-profile.png</t>
  </si>
  <si>
    <t>#9616</t>
  </si>
  <si>
    <t>http://career.lndo.site/noc_image/9616-NOC-profile.png</t>
  </si>
  <si>
    <t>#9617</t>
  </si>
  <si>
    <t>http://career.lndo.site/noc_image/9617-NOC-profile.png</t>
  </si>
  <si>
    <t>DjaICqD6akg</t>
  </si>
  <si>
    <t>#9618</t>
  </si>
  <si>
    <t>http://career.lndo.site/noc_image/9618-NOC-profile.png</t>
  </si>
  <si>
    <t>#9619</t>
  </si>
  <si>
    <t>http://career.lndo.site/noc_image/9619-NOC-profile.png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</si>
</sst>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%"/>
  </numFmts>
  <fonts count="27">
    <font>
      <sz val="10.0"/>
      <color rgb="FF000000"/>
      <name val="Arial"/>
      <scheme val="minor"/>
    </font>
    <font>
      <color theme="1"/>
      <name val="Roboto"/>
    </font>
    <font>
      <b/>
      <color theme="1"/>
      <name val="Roboto"/>
    </font>
    <font>
      <b/>
      <sz val="11.0"/>
      <color theme="1"/>
      <name val="Roboto"/>
    </font>
    <font>
      <b/>
      <color rgb="FF000000"/>
      <name val="Roboto"/>
    </font>
    <font>
      <b/>
      <color rgb="FF666666"/>
      <name val="Roboto"/>
    </font>
    <font>
      <sz val="11.0"/>
      <color theme="1"/>
      <name val="Roboto"/>
    </font>
    <font>
      <sz val="11.0"/>
      <color rgb="FF000000"/>
      <name val="Roboto"/>
    </font>
    <font>
      <color theme="1"/>
      <name val="Arial"/>
    </font>
    <font>
      <color rgb="FF666666"/>
      <name val="Roboto"/>
    </font>
    <font>
      <color theme="1"/>
      <name val="Arial"/>
      <scheme val="minor"/>
    </font>
    <font>
      <b/>
      <color theme="1"/>
      <name val="Arial"/>
      <scheme val="minor"/>
    </font>
    <font>
      <sz val="24.0"/>
      <color rgb="FFFFFFFF"/>
      <name val="Roboto"/>
    </font>
    <font>
      <b/>
      <color theme="1"/>
      <name val="Arial"/>
    </font>
    <font>
      <sz val="11.0"/>
      <color rgb="FF000000"/>
      <name val="Calibri"/>
    </font>
    <font>
      <color theme="8"/>
      <name val="Arial"/>
      <scheme val="minor"/>
    </font>
    <font>
      <color theme="5"/>
      <name val="Arial"/>
      <scheme val="minor"/>
    </font>
    <font>
      <color rgb="FFEA4335"/>
      <name val="Arial"/>
      <scheme val="minor"/>
    </font>
    <font>
      <color rgb="FF000000"/>
      <name val="Roboto"/>
    </font>
    <font>
      <u/>
      <color rgb="FF1155CC"/>
      <name val="Roboto"/>
    </font>
    <font>
      <b/>
      <color theme="1"/>
      <name val="Nunito"/>
    </font>
    <font>
      <color theme="1"/>
      <name val="Nunito"/>
    </font>
    <font>
      <b/>
      <sz val="11.0"/>
      <color theme="1"/>
      <name val="Calibri"/>
    </font>
    <font>
      <sz val="11.0"/>
      <color theme="1"/>
      <name val="Calibri"/>
    </font>
    <font>
      <b/>
      <sz val="8.0"/>
      <color theme="1"/>
      <name val="Arial"/>
    </font>
    <font>
      <sz val="8.0"/>
      <color theme="1"/>
      <name val="Arial"/>
    </font>
    <font>
      <u/>
      <sz val="8.0"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theme="4"/>
        <bgColor theme="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2" fontId="2" numFmtId="0" xfId="0" applyFont="1"/>
    <xf borderId="0" fillId="2" fontId="4" numFmtId="0" xfId="0" applyFont="1"/>
    <xf borderId="0" fillId="3" fontId="2" numFmtId="0" xfId="0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horizontal="right" readingOrder="0" vertical="bottom"/>
    </xf>
    <xf borderId="0" fillId="4" fontId="8" numFmtId="0" xfId="0" applyAlignment="1" applyFont="1">
      <alignment readingOrder="0" vertical="bottom"/>
    </xf>
    <xf borderId="0" fillId="4" fontId="8" numFmtId="0" xfId="0" applyAlignment="1" applyFont="1">
      <alignment vertical="bottom"/>
    </xf>
    <xf borderId="0" fillId="5" fontId="2" numFmtId="0" xfId="0" applyFill="1" applyFont="1"/>
    <xf borderId="0" fillId="5" fontId="1" numFmtId="0" xfId="0" applyFont="1"/>
    <xf borderId="0" fillId="5" fontId="1" numFmtId="9" xfId="0" applyFont="1" applyNumberFormat="1"/>
    <xf borderId="0" fillId="0" fontId="9" numFmtId="0" xfId="0" applyFont="1"/>
    <xf borderId="0" fillId="0" fontId="7" numFmtId="0" xfId="0" applyAlignment="1" applyFont="1">
      <alignment readingOrder="0"/>
    </xf>
    <xf borderId="0" fillId="6" fontId="2" numFmtId="0" xfId="0" applyFill="1" applyFont="1"/>
    <xf borderId="0" fillId="6" fontId="1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6" fontId="2" numFmtId="0" xfId="0" applyAlignment="1" applyFont="1">
      <alignment readingOrder="0"/>
    </xf>
    <xf borderId="0" fillId="4" fontId="1" numFmtId="0" xfId="0" applyAlignment="1" applyFont="1">
      <alignment horizontal="right" vertical="bottom"/>
    </xf>
    <xf borderId="0" fillId="8" fontId="1" numFmtId="0" xfId="0" applyAlignment="1" applyFill="1" applyFont="1">
      <alignment readingOrder="0"/>
    </xf>
    <xf borderId="0" fillId="8" fontId="8" numFmtId="9" xfId="0" applyFont="1" applyNumberFormat="1"/>
    <xf borderId="0" fillId="6" fontId="8" numFmtId="0" xfId="0" applyFont="1"/>
    <xf borderId="0" fillId="6" fontId="8" numFmtId="0" xfId="0" applyAlignment="1" applyFont="1">
      <alignment readingOrder="0"/>
    </xf>
    <xf borderId="0" fillId="6" fontId="2" numFmtId="164" xfId="0" applyFont="1" applyNumberFormat="1"/>
    <xf borderId="0" fillId="6" fontId="10" numFmtId="0" xfId="0" applyFont="1"/>
    <xf borderId="0" fillId="0" fontId="10" numFmtId="0" xfId="0" applyAlignment="1" applyFont="1">
      <alignment readingOrder="0"/>
    </xf>
    <xf borderId="0" fillId="0" fontId="10" numFmtId="0" xfId="0" applyFont="1"/>
    <xf borderId="0" fillId="8" fontId="2" numFmtId="0" xfId="0" applyFont="1"/>
    <xf borderId="0" fillId="8" fontId="1" numFmtId="0" xfId="0" applyFont="1"/>
    <xf borderId="0" fillId="0" fontId="11" numFmtId="0" xfId="0" applyFont="1"/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8" fontId="8" numFmtId="0" xfId="0" applyFont="1"/>
    <xf borderId="0" fillId="8" fontId="2" numFmtId="9" xfId="0" applyAlignment="1" applyFont="1" applyNumberFormat="1">
      <alignment readingOrder="0"/>
    </xf>
    <xf borderId="0" fillId="9" fontId="1" numFmtId="0" xfId="0" applyAlignment="1" applyFill="1" applyFont="1">
      <alignment readingOrder="0"/>
    </xf>
    <xf borderId="0" fillId="10" fontId="12" numFmtId="0" xfId="0" applyAlignment="1" applyFill="1" applyFont="1">
      <alignment horizontal="center" readingOrder="0"/>
    </xf>
    <xf borderId="0" fillId="0" fontId="1" numFmtId="0" xfId="0" applyFont="1"/>
    <xf borderId="0" fillId="6" fontId="8" numFmtId="9" xfId="0" applyFont="1" applyNumberFormat="1"/>
    <xf borderId="0" fillId="0" fontId="2" numFmtId="0" xfId="0" applyAlignment="1" applyFont="1">
      <alignment horizontal="right"/>
    </xf>
    <xf borderId="0" fillId="0" fontId="8" numFmtId="0" xfId="0" applyFont="1"/>
    <xf borderId="0" fillId="11" fontId="8" numFmtId="0" xfId="0" applyFill="1" applyFont="1"/>
    <xf borderId="0" fillId="11" fontId="13" numFmtId="0" xfId="0" applyFont="1"/>
    <xf borderId="0" fillId="8" fontId="2" numFmtId="0" xfId="0" applyAlignment="1" applyFont="1">
      <alignment horizontal="right"/>
    </xf>
    <xf borderId="0" fillId="8" fontId="8" numFmtId="10" xfId="0" applyFont="1" applyNumberFormat="1"/>
    <xf borderId="0" fillId="5" fontId="13" numFmtId="0" xfId="0" applyAlignment="1" applyFont="1">
      <alignment horizontal="right"/>
    </xf>
    <xf borderId="0" fillId="5" fontId="2" numFmtId="0" xfId="0" applyAlignment="1" applyFont="1">
      <alignment horizontal="right"/>
    </xf>
    <xf borderId="0" fillId="5" fontId="8" numFmtId="0" xfId="0" applyFont="1"/>
    <xf borderId="0" fillId="5" fontId="13" numFmtId="0" xfId="0" applyFont="1"/>
    <xf borderId="0" fillId="5" fontId="8" numFmtId="10" xfId="0" applyFont="1" applyNumberFormat="1"/>
    <xf borderId="0" fillId="0" fontId="10" numFmtId="0" xfId="0" applyAlignment="1" applyFont="1">
      <alignment horizontal="left"/>
    </xf>
    <xf borderId="0" fillId="0" fontId="11" numFmtId="0" xfId="0" applyAlignment="1" applyFont="1">
      <alignment horizontal="right" readingOrder="0"/>
    </xf>
    <xf borderId="0" fillId="8" fontId="11" numFmtId="0" xfId="0" applyAlignment="1" applyFont="1">
      <alignment horizontal="right" readingOrder="0"/>
    </xf>
    <xf borderId="0" fillId="8" fontId="11" numFmtId="0" xfId="0" applyFont="1"/>
    <xf borderId="0" fillId="0" fontId="11" numFmtId="0" xfId="0" applyAlignment="1" applyFont="1">
      <alignment horizontal="right"/>
    </xf>
    <xf borderId="0" fillId="0" fontId="13" numFmtId="0" xfId="0" applyFont="1"/>
    <xf borderId="0" fillId="0" fontId="10" numFmtId="0" xfId="0" applyAlignment="1" applyFont="1">
      <alignment horizontal="left" readingOrder="0"/>
    </xf>
    <xf borderId="0" fillId="0" fontId="13" numFmtId="0" xfId="0" applyAlignment="1" applyFont="1">
      <alignment horizontal="right" readingOrder="0"/>
    </xf>
    <xf borderId="0" fillId="2" fontId="13" numFmtId="0" xfId="0" applyAlignment="1" applyFont="1">
      <alignment vertical="bottom"/>
    </xf>
    <xf borderId="0" fillId="2" fontId="13" numFmtId="0" xfId="0" applyAlignment="1" applyFont="1">
      <alignment horizontal="left" readingOrder="0" vertical="bottom"/>
    </xf>
    <xf borderId="0" fillId="0" fontId="13" numFmtId="0" xfId="0" applyAlignment="1" applyFont="1">
      <alignment horizontal="left"/>
    </xf>
    <xf borderId="0" fillId="0" fontId="14" numFmtId="0" xfId="0" applyAlignment="1" applyFont="1">
      <alignment readingOrder="0" shrinkToFit="0" vertical="bottom" wrapText="0"/>
    </xf>
    <xf borderId="0" fillId="2" fontId="8" numFmtId="0" xfId="0" applyAlignment="1" applyFont="1">
      <alignment readingOrder="0" vertical="bottom"/>
    </xf>
    <xf borderId="0" fillId="12" fontId="8" numFmtId="0" xfId="0" applyAlignment="1" applyFill="1" applyFont="1">
      <alignment horizontal="left" readingOrder="0" vertical="bottom"/>
    </xf>
    <xf borderId="0" fillId="12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left" vertical="bottom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10" xfId="0" applyAlignment="1" applyFont="1" applyNumberFormat="1">
      <alignment horizontal="left" readingOrder="0"/>
    </xf>
    <xf borderId="0" fillId="0" fontId="8" numFmtId="0" xfId="0" applyAlignment="1" applyFont="1">
      <alignment horizontal="left" readingOrder="0" vertical="bottom"/>
    </xf>
    <xf borderId="0" fillId="0" fontId="1" numFmtId="9" xfId="0" applyAlignment="1" applyFont="1" applyNumberFormat="1">
      <alignment horizontal="righ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4" numFmtId="0" xfId="0" applyAlignment="1" applyFont="1">
      <alignment shrinkToFit="0" vertical="bottom" wrapText="0"/>
    </xf>
    <xf borderId="0" fillId="0" fontId="17" numFmtId="0" xfId="0" applyAlignment="1" applyFont="1">
      <alignment readingOrder="0"/>
    </xf>
    <xf borderId="0" fillId="0" fontId="10" numFmtId="10" xfId="0" applyFont="1" applyNumberFormat="1"/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7" fontId="2" numFmtId="0" xfId="0" applyFont="1"/>
    <xf borderId="0" fillId="7" fontId="2" numFmtId="0" xfId="0" applyAlignment="1" applyFont="1">
      <alignment shrinkToFit="0" wrapText="1"/>
    </xf>
    <xf borderId="0" fillId="8" fontId="1" numFmtId="0" xfId="0" applyFont="1"/>
    <xf borderId="0" fillId="7" fontId="18" numFmtId="0" xfId="0" applyAlignment="1" applyFont="1">
      <alignment horizontal="left" readingOrder="0"/>
    </xf>
    <xf borderId="0" fillId="7" fontId="1" numFmtId="0" xfId="0" applyAlignment="1" applyFont="1">
      <alignment readingOrder="0" shrinkToFit="0" wrapText="1"/>
    </xf>
    <xf borderId="0" fillId="7" fontId="18" numFmtId="0" xfId="0" applyAlignment="1" applyFont="1">
      <alignment horizontal="right" readingOrder="0"/>
    </xf>
    <xf borderId="0" fillId="7" fontId="1" numFmtId="0" xfId="0" applyFont="1"/>
    <xf borderId="0" fillId="8" fontId="1" numFmtId="0" xfId="0" applyAlignment="1" applyFont="1">
      <alignment readingOrder="0" shrinkToFit="0" wrapText="1"/>
    </xf>
    <xf borderId="0" fillId="8" fontId="19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0" fontId="20" numFmtId="0" xfId="0" applyAlignment="1" applyFont="1">
      <alignment horizontal="righ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right" readingOrder="0"/>
    </xf>
    <xf borderId="0" fillId="0" fontId="21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13" fontId="10" numFmtId="0" xfId="0" applyFill="1" applyFont="1"/>
    <xf borderId="0" fillId="13" fontId="10" numFmtId="0" xfId="0" applyAlignment="1" applyFont="1">
      <alignment horizontal="left"/>
    </xf>
    <xf borderId="0" fillId="0" fontId="22" numFmtId="0" xfId="0" applyAlignment="1" applyFont="1">
      <alignment vertical="bottom"/>
    </xf>
    <xf borderId="0" fillId="0" fontId="22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4" fontId="23" numFmtId="0" xfId="0" applyAlignment="1" applyFont="1">
      <alignment vertical="bottom"/>
    </xf>
    <xf borderId="0" fillId="4" fontId="23" numFmtId="49" xfId="0" applyAlignment="1" applyFont="1" applyNumberFormat="1">
      <alignment vertical="bottom"/>
    </xf>
    <xf borderId="0" fillId="4" fontId="8" numFmtId="0" xfId="0" applyAlignment="1" applyFont="1">
      <alignment horizontal="right" vertical="bottom"/>
    </xf>
    <xf borderId="0" fillId="0" fontId="23" numFmtId="0" xfId="0" applyAlignment="1" applyFont="1">
      <alignment vertical="bottom"/>
    </xf>
    <xf borderId="0" fillId="0" fontId="23" numFmtId="49" xfId="0" applyAlignment="1" applyFont="1" applyNumberForma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23" numFmtId="49" xfId="0" applyAlignment="1" applyFont="1" applyNumberFormat="1">
      <alignment horizontal="right" vertical="bottom"/>
    </xf>
    <xf borderId="0" fillId="4" fontId="22" numFmtId="49" xfId="0" applyAlignment="1" applyFont="1" applyNumberFormat="1">
      <alignment vertical="bottom"/>
    </xf>
    <xf borderId="0" fillId="4" fontId="8" numFmtId="0" xfId="0" applyAlignment="1" applyFont="1">
      <alignment vertical="bottom"/>
    </xf>
    <xf borderId="0" fillId="4" fontId="8" numFmtId="49" xfId="0" applyAlignment="1" applyFont="1" applyNumberFormat="1">
      <alignment vertical="bottom"/>
    </xf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horizontal="left" readingOrder="0"/>
    </xf>
    <xf borderId="0" fillId="0" fontId="26" numFmtId="0" xfId="0" applyAlignment="1" applyFont="1">
      <alignment horizontal="left" readingOrder="0"/>
    </xf>
    <xf borderId="0" fillId="0" fontId="25" numFmtId="0" xfId="0" applyAlignment="1" applyFont="1">
      <alignment horizontal="right" readingOrder="0"/>
    </xf>
    <xf borderId="0" fillId="0" fontId="25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strike/>
        <color rgb="FF999999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color rgb="FF99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90" Type="http://schemas.openxmlformats.org/officeDocument/2006/relationships/hyperlink" Target="http://career.lndo.site/noc_image/3222-NOC-profile.png" TargetMode="External"/><Relationship Id="rId194" Type="http://schemas.openxmlformats.org/officeDocument/2006/relationships/hyperlink" Target="http://career.lndo.site/noc_image/3233-NOC-profile.png" TargetMode="External"/><Relationship Id="rId193" Type="http://schemas.openxmlformats.org/officeDocument/2006/relationships/hyperlink" Target="http://career.lndo.site/noc_image/3232-NOC-profile.png" TargetMode="External"/><Relationship Id="rId192" Type="http://schemas.openxmlformats.org/officeDocument/2006/relationships/hyperlink" Target="http://career.lndo.site/noc_image/3231-NOC-profile.png" TargetMode="External"/><Relationship Id="rId191" Type="http://schemas.openxmlformats.org/officeDocument/2006/relationships/hyperlink" Target="http://career.lndo.site/noc_image/3223-NOC-profile.png" TargetMode="External"/><Relationship Id="rId187" Type="http://schemas.openxmlformats.org/officeDocument/2006/relationships/hyperlink" Target="http://career.lndo.site/noc_image/3217-NOC-profile.png" TargetMode="External"/><Relationship Id="rId186" Type="http://schemas.openxmlformats.org/officeDocument/2006/relationships/hyperlink" Target="http://career.lndo.site/noc_image/3216-NOC-profile.png" TargetMode="External"/><Relationship Id="rId185" Type="http://schemas.openxmlformats.org/officeDocument/2006/relationships/hyperlink" Target="http://career.lndo.site/noc_image/3215-NOC-profile.png" TargetMode="External"/><Relationship Id="rId184" Type="http://schemas.openxmlformats.org/officeDocument/2006/relationships/hyperlink" Target="http://career.lndo.site/noc_image/3214-NOC-profile.png" TargetMode="External"/><Relationship Id="rId189" Type="http://schemas.openxmlformats.org/officeDocument/2006/relationships/hyperlink" Target="http://career.lndo.site/noc_image/3221-NOC-profile.png" TargetMode="External"/><Relationship Id="rId188" Type="http://schemas.openxmlformats.org/officeDocument/2006/relationships/hyperlink" Target="http://career.lndo.site/noc_image/3219-NOC-profile.png" TargetMode="External"/><Relationship Id="rId183" Type="http://schemas.openxmlformats.org/officeDocument/2006/relationships/hyperlink" Target="http://career.lndo.site/noc_image/3213-NOC-profile.png" TargetMode="External"/><Relationship Id="rId182" Type="http://schemas.openxmlformats.org/officeDocument/2006/relationships/hyperlink" Target="http://career.lndo.site/noc_image/3212-NOC-profile.png" TargetMode="External"/><Relationship Id="rId181" Type="http://schemas.openxmlformats.org/officeDocument/2006/relationships/hyperlink" Target="http://career.lndo.site/noc_image/3211-NOC-profile.png" TargetMode="External"/><Relationship Id="rId180" Type="http://schemas.openxmlformats.org/officeDocument/2006/relationships/hyperlink" Target="http://career.lndo.site/noc_image/3144-NOC-profile.png" TargetMode="External"/><Relationship Id="rId176" Type="http://schemas.openxmlformats.org/officeDocument/2006/relationships/hyperlink" Target="http://career.lndo.site/noc_image/3132-NOC-profile.png" TargetMode="External"/><Relationship Id="rId297" Type="http://schemas.openxmlformats.org/officeDocument/2006/relationships/hyperlink" Target="http://career.lndo.site/noc_image/6512-NOC-profile.png" TargetMode="External"/><Relationship Id="rId175" Type="http://schemas.openxmlformats.org/officeDocument/2006/relationships/hyperlink" Target="http://career.lndo.site/noc_image/3131-NOC-profile.png" TargetMode="External"/><Relationship Id="rId296" Type="http://schemas.openxmlformats.org/officeDocument/2006/relationships/hyperlink" Target="http://career.lndo.site/noc_image/6511-NOC-profile.png" TargetMode="External"/><Relationship Id="rId174" Type="http://schemas.openxmlformats.org/officeDocument/2006/relationships/hyperlink" Target="http://career.lndo.site/noc_image/3125-NOC-profile.png" TargetMode="External"/><Relationship Id="rId295" Type="http://schemas.openxmlformats.org/officeDocument/2006/relationships/hyperlink" Target="http://career.lndo.site/noc_image/6421-NOC-profile.png" TargetMode="External"/><Relationship Id="rId173" Type="http://schemas.openxmlformats.org/officeDocument/2006/relationships/hyperlink" Target="http://career.lndo.site/noc_image/3124-NOC-profile.png" TargetMode="External"/><Relationship Id="rId294" Type="http://schemas.openxmlformats.org/officeDocument/2006/relationships/hyperlink" Target="http://career.lndo.site/noc_image/6411-NOC-profile.png" TargetMode="External"/><Relationship Id="rId179" Type="http://schemas.openxmlformats.org/officeDocument/2006/relationships/hyperlink" Target="http://career.lndo.site/noc_image/3143-NOC-profile.png" TargetMode="External"/><Relationship Id="rId178" Type="http://schemas.openxmlformats.org/officeDocument/2006/relationships/hyperlink" Target="http://career.lndo.site/noc_image/3142-NOC-profile.png" TargetMode="External"/><Relationship Id="rId299" Type="http://schemas.openxmlformats.org/officeDocument/2006/relationships/hyperlink" Target="http://career.lndo.site/noc_image/6521-NOC-profile.png" TargetMode="External"/><Relationship Id="rId177" Type="http://schemas.openxmlformats.org/officeDocument/2006/relationships/hyperlink" Target="http://career.lndo.site/noc_image/3141-NOC-profile.png" TargetMode="External"/><Relationship Id="rId298" Type="http://schemas.openxmlformats.org/officeDocument/2006/relationships/hyperlink" Target="http://career.lndo.site/noc_image/6513-NOC-profile.png" TargetMode="External"/><Relationship Id="rId198" Type="http://schemas.openxmlformats.org/officeDocument/2006/relationships/hyperlink" Target="http://career.lndo.site/noc_image/3411-NOC-profile.png" TargetMode="External"/><Relationship Id="rId197" Type="http://schemas.openxmlformats.org/officeDocument/2006/relationships/hyperlink" Target="http://career.lndo.site/noc_image/3237-NOC-profile.png" TargetMode="External"/><Relationship Id="rId196" Type="http://schemas.openxmlformats.org/officeDocument/2006/relationships/hyperlink" Target="http://career.lndo.site/noc_image/3236-NOC-profile.png" TargetMode="External"/><Relationship Id="rId195" Type="http://schemas.openxmlformats.org/officeDocument/2006/relationships/hyperlink" Target="http://career.lndo.site/noc_image/3234-NOC-profile.png" TargetMode="External"/><Relationship Id="rId199" Type="http://schemas.openxmlformats.org/officeDocument/2006/relationships/hyperlink" Target="http://career.lndo.site/noc_image/3413-NOC-profile.png" TargetMode="External"/><Relationship Id="rId150" Type="http://schemas.openxmlformats.org/officeDocument/2006/relationships/hyperlink" Target="http://career.lndo.site/noc_image/2253-NOC-profile.png" TargetMode="External"/><Relationship Id="rId271" Type="http://schemas.openxmlformats.org/officeDocument/2006/relationships/hyperlink" Target="http://career.lndo.site/noc_image/5254-NOC-profile.png" TargetMode="External"/><Relationship Id="rId392" Type="http://schemas.openxmlformats.org/officeDocument/2006/relationships/hyperlink" Target="http://career.lndo.site/noc_image/7512-NOC-profile.png" TargetMode="External"/><Relationship Id="rId270" Type="http://schemas.openxmlformats.org/officeDocument/2006/relationships/hyperlink" Target="http://career.lndo.site/noc_image/5253-NOC-profile.png" TargetMode="External"/><Relationship Id="rId391" Type="http://schemas.openxmlformats.org/officeDocument/2006/relationships/hyperlink" Target="http://career.lndo.site/noc_image/7511-NOC-profile.png" TargetMode="External"/><Relationship Id="rId390" Type="http://schemas.openxmlformats.org/officeDocument/2006/relationships/hyperlink" Target="http://career.lndo.site/noc_image/7452-NOC-profile.png" TargetMode="External"/><Relationship Id="rId1" Type="http://schemas.openxmlformats.org/officeDocument/2006/relationships/hyperlink" Target="http://career.lndo.site/noc_image/0011-NOC-profile.png" TargetMode="External"/><Relationship Id="rId2" Type="http://schemas.openxmlformats.org/officeDocument/2006/relationships/hyperlink" Target="http://career.lndo.site/noc_image/0012-NOC-profile.png" TargetMode="External"/><Relationship Id="rId3" Type="http://schemas.openxmlformats.org/officeDocument/2006/relationships/hyperlink" Target="http://career.lndo.site/noc_image/0013-NOC-profile.png" TargetMode="External"/><Relationship Id="rId149" Type="http://schemas.openxmlformats.org/officeDocument/2006/relationships/hyperlink" Target="http://career.lndo.site/noc_image/2252-NOC-profile.png" TargetMode="External"/><Relationship Id="rId4" Type="http://schemas.openxmlformats.org/officeDocument/2006/relationships/hyperlink" Target="http://career.lndo.site/noc_image/0014-NOC-profile.png" TargetMode="External"/><Relationship Id="rId148" Type="http://schemas.openxmlformats.org/officeDocument/2006/relationships/hyperlink" Target="http://career.lndo.site/noc_image/2251-NOC-profile.png" TargetMode="External"/><Relationship Id="rId269" Type="http://schemas.openxmlformats.org/officeDocument/2006/relationships/hyperlink" Target="http://career.lndo.site/noc_image/5252-NOC-profile.png" TargetMode="External"/><Relationship Id="rId9" Type="http://schemas.openxmlformats.org/officeDocument/2006/relationships/hyperlink" Target="http://career.lndo.site/noc_image/0113-NOC-profile.png" TargetMode="External"/><Relationship Id="rId143" Type="http://schemas.openxmlformats.org/officeDocument/2006/relationships/hyperlink" Target="http://career.lndo.site/noc_image/2234-NOC-profile.png" TargetMode="External"/><Relationship Id="rId264" Type="http://schemas.openxmlformats.org/officeDocument/2006/relationships/hyperlink" Target="http://career.lndo.site/noc_image/5242-NOC-profile.png" TargetMode="External"/><Relationship Id="rId385" Type="http://schemas.openxmlformats.org/officeDocument/2006/relationships/hyperlink" Target="http://career.lndo.site/noc_image/7441-NOC-profile.png" TargetMode="External"/><Relationship Id="rId142" Type="http://schemas.openxmlformats.org/officeDocument/2006/relationships/hyperlink" Target="http://career.lndo.site/noc_image/2233-NOC-profile.png" TargetMode="External"/><Relationship Id="rId263" Type="http://schemas.openxmlformats.org/officeDocument/2006/relationships/hyperlink" Target="http://career.lndo.site/noc_image/5241-NOC-profile.png" TargetMode="External"/><Relationship Id="rId384" Type="http://schemas.openxmlformats.org/officeDocument/2006/relationships/hyperlink" Target="http://career.lndo.site/noc_image/7384-NOC-profile.png" TargetMode="External"/><Relationship Id="rId141" Type="http://schemas.openxmlformats.org/officeDocument/2006/relationships/hyperlink" Target="http://career.lndo.site/noc_image/2232-NOC-profile.png" TargetMode="External"/><Relationship Id="rId262" Type="http://schemas.openxmlformats.org/officeDocument/2006/relationships/hyperlink" Target="http://career.lndo.site/noc_image/5232-NOC-profile.png" TargetMode="External"/><Relationship Id="rId383" Type="http://schemas.openxmlformats.org/officeDocument/2006/relationships/hyperlink" Target="http://career.lndo.site/noc_image/7381-NOC-profile.png" TargetMode="External"/><Relationship Id="rId140" Type="http://schemas.openxmlformats.org/officeDocument/2006/relationships/hyperlink" Target="http://career.lndo.site/noc_image/2231-NOC-profile.png" TargetMode="External"/><Relationship Id="rId261" Type="http://schemas.openxmlformats.org/officeDocument/2006/relationships/hyperlink" Target="http://career.lndo.site/noc_image/5231-NOC-profile.png" TargetMode="External"/><Relationship Id="rId382" Type="http://schemas.openxmlformats.org/officeDocument/2006/relationships/hyperlink" Target="http://career.lndo.site/noc_image/7373-NOC-profile.png" TargetMode="External"/><Relationship Id="rId5" Type="http://schemas.openxmlformats.org/officeDocument/2006/relationships/hyperlink" Target="http://career.lndo.site/noc_image/0015-NOC-profile.png" TargetMode="External"/><Relationship Id="rId147" Type="http://schemas.openxmlformats.org/officeDocument/2006/relationships/hyperlink" Target="http://career.lndo.site/noc_image/2244-NOC-profile.png" TargetMode="External"/><Relationship Id="rId268" Type="http://schemas.openxmlformats.org/officeDocument/2006/relationships/hyperlink" Target="http://career.lndo.site/noc_image/5251-NOC-profile.png" TargetMode="External"/><Relationship Id="rId389" Type="http://schemas.openxmlformats.org/officeDocument/2006/relationships/hyperlink" Target="http://career.lndo.site/noc_image/7451-NOC-profile.png" TargetMode="External"/><Relationship Id="rId6" Type="http://schemas.openxmlformats.org/officeDocument/2006/relationships/hyperlink" Target="http://career.lndo.site/noc_image/0016-NOC-profile.png" TargetMode="External"/><Relationship Id="rId146" Type="http://schemas.openxmlformats.org/officeDocument/2006/relationships/hyperlink" Target="http://career.lndo.site/noc_image/2243-NOC-profile.png" TargetMode="External"/><Relationship Id="rId267" Type="http://schemas.openxmlformats.org/officeDocument/2006/relationships/hyperlink" Target="http://career.lndo.site/noc_image/5245-NOC-profile.png" TargetMode="External"/><Relationship Id="rId388" Type="http://schemas.openxmlformats.org/officeDocument/2006/relationships/hyperlink" Target="http://career.lndo.site/noc_image/7445-NOC-profile.png" TargetMode="External"/><Relationship Id="rId7" Type="http://schemas.openxmlformats.org/officeDocument/2006/relationships/hyperlink" Target="http://career.lndo.site/noc_image/0111-NOC-profile.png" TargetMode="External"/><Relationship Id="rId145" Type="http://schemas.openxmlformats.org/officeDocument/2006/relationships/hyperlink" Target="http://career.lndo.site/noc_image/2242-NOC-profile.png" TargetMode="External"/><Relationship Id="rId266" Type="http://schemas.openxmlformats.org/officeDocument/2006/relationships/hyperlink" Target="http://career.lndo.site/noc_image/5244-NOC-profile.png" TargetMode="External"/><Relationship Id="rId387" Type="http://schemas.openxmlformats.org/officeDocument/2006/relationships/hyperlink" Target="http://career.lndo.site/noc_image/7444-NOC-profile.png" TargetMode="External"/><Relationship Id="rId8" Type="http://schemas.openxmlformats.org/officeDocument/2006/relationships/hyperlink" Target="http://career.lndo.site/noc_image/0112-NOC-profile.png" TargetMode="External"/><Relationship Id="rId144" Type="http://schemas.openxmlformats.org/officeDocument/2006/relationships/hyperlink" Target="http://career.lndo.site/noc_image/2241-NOC-profile.png" TargetMode="External"/><Relationship Id="rId265" Type="http://schemas.openxmlformats.org/officeDocument/2006/relationships/hyperlink" Target="http://career.lndo.site/noc_image/5243-NOC-profile.png" TargetMode="External"/><Relationship Id="rId386" Type="http://schemas.openxmlformats.org/officeDocument/2006/relationships/hyperlink" Target="http://career.lndo.site/noc_image/7442-NOC-profile.png" TargetMode="External"/><Relationship Id="rId260" Type="http://schemas.openxmlformats.org/officeDocument/2006/relationships/hyperlink" Target="http://career.lndo.site/noc_image/5227-NOC-profile.png" TargetMode="External"/><Relationship Id="rId381" Type="http://schemas.openxmlformats.org/officeDocument/2006/relationships/hyperlink" Target="http://career.lndo.site/noc_image/7372-NOC-profile.png" TargetMode="External"/><Relationship Id="rId380" Type="http://schemas.openxmlformats.org/officeDocument/2006/relationships/hyperlink" Target="http://career.lndo.site/noc_image/7371-NOC-profile.png" TargetMode="External"/><Relationship Id="rId139" Type="http://schemas.openxmlformats.org/officeDocument/2006/relationships/hyperlink" Target="http://career.lndo.site/noc_image/2225-NOC-profile.png" TargetMode="External"/><Relationship Id="rId138" Type="http://schemas.openxmlformats.org/officeDocument/2006/relationships/hyperlink" Target="http://career.lndo.site/noc_image/2224-NOC-profile.png" TargetMode="External"/><Relationship Id="rId259" Type="http://schemas.openxmlformats.org/officeDocument/2006/relationships/hyperlink" Target="http://career.lndo.site/noc_image/5226-NOC-profile.png" TargetMode="External"/><Relationship Id="rId137" Type="http://schemas.openxmlformats.org/officeDocument/2006/relationships/hyperlink" Target="http://career.lndo.site/noc_image/2223-NOC-profile.png" TargetMode="External"/><Relationship Id="rId258" Type="http://schemas.openxmlformats.org/officeDocument/2006/relationships/hyperlink" Target="http://career.lndo.site/noc_image/5225-NOC-profile.png" TargetMode="External"/><Relationship Id="rId379" Type="http://schemas.openxmlformats.org/officeDocument/2006/relationships/hyperlink" Target="http://career.lndo.site/noc_image/7362-NOC-profile.png" TargetMode="External"/><Relationship Id="rId132" Type="http://schemas.openxmlformats.org/officeDocument/2006/relationships/hyperlink" Target="http://career.lndo.site/noc_image/2175-NOC-profile.png" TargetMode="External"/><Relationship Id="rId253" Type="http://schemas.openxmlformats.org/officeDocument/2006/relationships/hyperlink" Target="http://career.lndo.site/noc_image/5212-NOC-profile.png" TargetMode="External"/><Relationship Id="rId374" Type="http://schemas.openxmlformats.org/officeDocument/2006/relationships/hyperlink" Target="http://career.lndo.site/noc_image/7332-NOC-profile.png" TargetMode="External"/><Relationship Id="rId495" Type="http://schemas.openxmlformats.org/officeDocument/2006/relationships/hyperlink" Target="http://career.lndo.site/noc_image/9614-NOC-profile.png" TargetMode="External"/><Relationship Id="rId131" Type="http://schemas.openxmlformats.org/officeDocument/2006/relationships/hyperlink" Target="http://career.lndo.site/noc_image/2174-NOC-profile.png" TargetMode="External"/><Relationship Id="rId252" Type="http://schemas.openxmlformats.org/officeDocument/2006/relationships/hyperlink" Target="http://career.lndo.site/noc_image/5211-NOC-profile.png" TargetMode="External"/><Relationship Id="rId373" Type="http://schemas.openxmlformats.org/officeDocument/2006/relationships/hyperlink" Target="http://career.lndo.site/noc_image/7331-NOC-profile.png" TargetMode="External"/><Relationship Id="rId494" Type="http://schemas.openxmlformats.org/officeDocument/2006/relationships/hyperlink" Target="http://career.lndo.site/noc_image/9613-NOC-profile.png" TargetMode="External"/><Relationship Id="rId130" Type="http://schemas.openxmlformats.org/officeDocument/2006/relationships/hyperlink" Target="http://career.lndo.site/noc_image/2173-NOC-profile.png" TargetMode="External"/><Relationship Id="rId251" Type="http://schemas.openxmlformats.org/officeDocument/2006/relationships/hyperlink" Target="http://career.lndo.site/noc_image/5136-NOC-profile.png" TargetMode="External"/><Relationship Id="rId372" Type="http://schemas.openxmlformats.org/officeDocument/2006/relationships/hyperlink" Target="http://career.lndo.site/noc_image/7322-NOC-profile.png" TargetMode="External"/><Relationship Id="rId493" Type="http://schemas.openxmlformats.org/officeDocument/2006/relationships/hyperlink" Target="http://career.lndo.site/noc_image/9612-NOC-profile.png" TargetMode="External"/><Relationship Id="rId250" Type="http://schemas.openxmlformats.org/officeDocument/2006/relationships/hyperlink" Target="http://career.lndo.site/noc_image/5135-NOC-profile.png" TargetMode="External"/><Relationship Id="rId371" Type="http://schemas.openxmlformats.org/officeDocument/2006/relationships/hyperlink" Target="http://career.lndo.site/noc_image/7321-NOC-profile.png" TargetMode="External"/><Relationship Id="rId492" Type="http://schemas.openxmlformats.org/officeDocument/2006/relationships/hyperlink" Target="http://career.lndo.site/noc_image/9611-NOC-profile.png" TargetMode="External"/><Relationship Id="rId136" Type="http://schemas.openxmlformats.org/officeDocument/2006/relationships/hyperlink" Target="http://career.lndo.site/noc_image/2222-NOC-profile.png" TargetMode="External"/><Relationship Id="rId257" Type="http://schemas.openxmlformats.org/officeDocument/2006/relationships/hyperlink" Target="http://career.lndo.site/noc_image/5224-NOC-profile.png" TargetMode="External"/><Relationship Id="rId378" Type="http://schemas.openxmlformats.org/officeDocument/2006/relationships/hyperlink" Target="http://career.lndo.site/noc_image/7361-NOC-profile.png" TargetMode="External"/><Relationship Id="rId499" Type="http://schemas.openxmlformats.org/officeDocument/2006/relationships/hyperlink" Target="http://career.lndo.site/noc_image/9618-NOC-profile.png" TargetMode="External"/><Relationship Id="rId135" Type="http://schemas.openxmlformats.org/officeDocument/2006/relationships/hyperlink" Target="http://career.lndo.site/noc_image/2221-NOC-profile.png" TargetMode="External"/><Relationship Id="rId256" Type="http://schemas.openxmlformats.org/officeDocument/2006/relationships/hyperlink" Target="http://career.lndo.site/noc_image/5223-NOC-profile.png" TargetMode="External"/><Relationship Id="rId377" Type="http://schemas.openxmlformats.org/officeDocument/2006/relationships/hyperlink" Target="http://career.lndo.site/noc_image/7335-NOC-profile.png" TargetMode="External"/><Relationship Id="rId498" Type="http://schemas.openxmlformats.org/officeDocument/2006/relationships/hyperlink" Target="http://career.lndo.site/noc_image/9617-NOC-profile.png" TargetMode="External"/><Relationship Id="rId134" Type="http://schemas.openxmlformats.org/officeDocument/2006/relationships/hyperlink" Target="http://career.lndo.site/noc_image/2212-NOC-profile.png" TargetMode="External"/><Relationship Id="rId255" Type="http://schemas.openxmlformats.org/officeDocument/2006/relationships/hyperlink" Target="http://career.lndo.site/noc_image/5222-NOC-profile.png" TargetMode="External"/><Relationship Id="rId376" Type="http://schemas.openxmlformats.org/officeDocument/2006/relationships/hyperlink" Target="http://career.lndo.site/noc_image/7334-NOC-profile.png" TargetMode="External"/><Relationship Id="rId497" Type="http://schemas.openxmlformats.org/officeDocument/2006/relationships/hyperlink" Target="http://career.lndo.site/noc_image/9616-NOC-profile.png" TargetMode="External"/><Relationship Id="rId133" Type="http://schemas.openxmlformats.org/officeDocument/2006/relationships/hyperlink" Target="http://career.lndo.site/noc_image/2211-NOC-profile.png" TargetMode="External"/><Relationship Id="rId254" Type="http://schemas.openxmlformats.org/officeDocument/2006/relationships/hyperlink" Target="http://career.lndo.site/noc_image/5221-NOC-profile.png" TargetMode="External"/><Relationship Id="rId375" Type="http://schemas.openxmlformats.org/officeDocument/2006/relationships/hyperlink" Target="http://career.lndo.site/noc_image/7333-NOC-profile.png" TargetMode="External"/><Relationship Id="rId496" Type="http://schemas.openxmlformats.org/officeDocument/2006/relationships/hyperlink" Target="http://career.lndo.site/noc_image/9615-NOC-profile.png" TargetMode="External"/><Relationship Id="rId172" Type="http://schemas.openxmlformats.org/officeDocument/2006/relationships/hyperlink" Target="http://career.lndo.site/noc_image/3122-NOC-profile.png" TargetMode="External"/><Relationship Id="rId293" Type="http://schemas.openxmlformats.org/officeDocument/2006/relationships/hyperlink" Target="http://career.lndo.site/noc_image/6346-NOC-profile.png" TargetMode="External"/><Relationship Id="rId171" Type="http://schemas.openxmlformats.org/officeDocument/2006/relationships/hyperlink" Target="http://career.lndo.site/noc_image/3121-NOC-profile.png" TargetMode="External"/><Relationship Id="rId292" Type="http://schemas.openxmlformats.org/officeDocument/2006/relationships/hyperlink" Target="http://career.lndo.site/noc_image/6345-NOC-profile.png" TargetMode="External"/><Relationship Id="rId170" Type="http://schemas.openxmlformats.org/officeDocument/2006/relationships/hyperlink" Target="http://career.lndo.site/noc_image/3114-NOC-profile.png" TargetMode="External"/><Relationship Id="rId291" Type="http://schemas.openxmlformats.org/officeDocument/2006/relationships/hyperlink" Target="http://career.lndo.site/noc_image/6344-NOC-profile.png" TargetMode="External"/><Relationship Id="rId290" Type="http://schemas.openxmlformats.org/officeDocument/2006/relationships/hyperlink" Target="http://career.lndo.site/noc_image/6343-NOC-profile.png" TargetMode="External"/><Relationship Id="rId165" Type="http://schemas.openxmlformats.org/officeDocument/2006/relationships/hyperlink" Target="http://career.lndo.site/noc_image/3011-NOC-profile.png" TargetMode="External"/><Relationship Id="rId286" Type="http://schemas.openxmlformats.org/officeDocument/2006/relationships/hyperlink" Target="http://career.lndo.site/noc_image/6331-NOC-profile.png" TargetMode="External"/><Relationship Id="rId164" Type="http://schemas.openxmlformats.org/officeDocument/2006/relationships/hyperlink" Target="http://career.lndo.site/noc_image/2283-NOC-profile.png" TargetMode="External"/><Relationship Id="rId285" Type="http://schemas.openxmlformats.org/officeDocument/2006/relationships/hyperlink" Target="http://career.lndo.site/noc_image/6322-NOC-profile.png" TargetMode="External"/><Relationship Id="rId163" Type="http://schemas.openxmlformats.org/officeDocument/2006/relationships/hyperlink" Target="http://career.lndo.site/noc_image/2282-NOC-profile.png" TargetMode="External"/><Relationship Id="rId284" Type="http://schemas.openxmlformats.org/officeDocument/2006/relationships/hyperlink" Target="http://career.lndo.site/noc_image/6321-NOC-profile.png" TargetMode="External"/><Relationship Id="rId162" Type="http://schemas.openxmlformats.org/officeDocument/2006/relationships/hyperlink" Target="http://career.lndo.site/noc_image/2281-NOC-profile.png" TargetMode="External"/><Relationship Id="rId283" Type="http://schemas.openxmlformats.org/officeDocument/2006/relationships/hyperlink" Target="http://career.lndo.site/noc_image/6316-NOC-profile.png" TargetMode="External"/><Relationship Id="rId169" Type="http://schemas.openxmlformats.org/officeDocument/2006/relationships/hyperlink" Target="http://career.lndo.site/noc_image/3113-NOC-profile.png" TargetMode="External"/><Relationship Id="rId168" Type="http://schemas.openxmlformats.org/officeDocument/2006/relationships/hyperlink" Target="http://career.lndo.site/noc_image/3112-NOC-profile.png" TargetMode="External"/><Relationship Id="rId289" Type="http://schemas.openxmlformats.org/officeDocument/2006/relationships/hyperlink" Target="http://career.lndo.site/noc_image/6342-NOC-profile.png" TargetMode="External"/><Relationship Id="rId167" Type="http://schemas.openxmlformats.org/officeDocument/2006/relationships/hyperlink" Target="http://career.lndo.site/noc_image/3111-NOC-profile.png" TargetMode="External"/><Relationship Id="rId288" Type="http://schemas.openxmlformats.org/officeDocument/2006/relationships/hyperlink" Target="http://career.lndo.site/noc_image/6341-NOC-profile.png" TargetMode="External"/><Relationship Id="rId166" Type="http://schemas.openxmlformats.org/officeDocument/2006/relationships/hyperlink" Target="http://career.lndo.site/noc_image/3012-NOC-profile.png" TargetMode="External"/><Relationship Id="rId287" Type="http://schemas.openxmlformats.org/officeDocument/2006/relationships/hyperlink" Target="http://career.lndo.site/noc_image/6332-NOC-profile.png" TargetMode="External"/><Relationship Id="rId161" Type="http://schemas.openxmlformats.org/officeDocument/2006/relationships/hyperlink" Target="http://career.lndo.site/noc_image/2275-NOC-profile.png" TargetMode="External"/><Relationship Id="rId282" Type="http://schemas.openxmlformats.org/officeDocument/2006/relationships/hyperlink" Target="http://career.lndo.site/noc_image/6315-NOC-profile.png" TargetMode="External"/><Relationship Id="rId160" Type="http://schemas.openxmlformats.org/officeDocument/2006/relationships/hyperlink" Target="http://career.lndo.site/noc_image/2274-NOC-profile.png" TargetMode="External"/><Relationship Id="rId281" Type="http://schemas.openxmlformats.org/officeDocument/2006/relationships/hyperlink" Target="http://career.lndo.site/noc_image/6314-NOC-profile.png" TargetMode="External"/><Relationship Id="rId280" Type="http://schemas.openxmlformats.org/officeDocument/2006/relationships/hyperlink" Target="http://career.lndo.site/noc_image/6313-NOC-profile.png" TargetMode="External"/><Relationship Id="rId159" Type="http://schemas.openxmlformats.org/officeDocument/2006/relationships/hyperlink" Target="http://career.lndo.site/noc_image/2273-NOC-profile.png" TargetMode="External"/><Relationship Id="rId154" Type="http://schemas.openxmlformats.org/officeDocument/2006/relationships/hyperlink" Target="http://career.lndo.site/noc_image/2262-NOC-profile.png" TargetMode="External"/><Relationship Id="rId275" Type="http://schemas.openxmlformats.org/officeDocument/2006/relationships/hyperlink" Target="http://career.lndo.site/noc_image/6231-NOC-profile.png" TargetMode="External"/><Relationship Id="rId396" Type="http://schemas.openxmlformats.org/officeDocument/2006/relationships/hyperlink" Target="http://career.lndo.site/noc_image/7522-NOC-profile.png" TargetMode="External"/><Relationship Id="rId153" Type="http://schemas.openxmlformats.org/officeDocument/2006/relationships/hyperlink" Target="http://career.lndo.site/noc_image/2261-NOC-profile.png" TargetMode="External"/><Relationship Id="rId274" Type="http://schemas.openxmlformats.org/officeDocument/2006/relationships/hyperlink" Target="http://career.lndo.site/noc_image/6222-NOC-profile.png" TargetMode="External"/><Relationship Id="rId395" Type="http://schemas.openxmlformats.org/officeDocument/2006/relationships/hyperlink" Target="http://career.lndo.site/noc_image/7521-NOC-profile.png" TargetMode="External"/><Relationship Id="rId152" Type="http://schemas.openxmlformats.org/officeDocument/2006/relationships/hyperlink" Target="http://career.lndo.site/noc_image/2255-NOC-profile.png" TargetMode="External"/><Relationship Id="rId273" Type="http://schemas.openxmlformats.org/officeDocument/2006/relationships/hyperlink" Target="http://career.lndo.site/noc_image/6221-NOC-profile.png" TargetMode="External"/><Relationship Id="rId394" Type="http://schemas.openxmlformats.org/officeDocument/2006/relationships/hyperlink" Target="http://career.lndo.site/noc_image/7514-NOC-profile.png" TargetMode="External"/><Relationship Id="rId151" Type="http://schemas.openxmlformats.org/officeDocument/2006/relationships/hyperlink" Target="http://career.lndo.site/noc_image/2254-NOC-profile.png" TargetMode="External"/><Relationship Id="rId272" Type="http://schemas.openxmlformats.org/officeDocument/2006/relationships/hyperlink" Target="http://career.lndo.site/noc_image/6211-NOC-profile.png" TargetMode="External"/><Relationship Id="rId393" Type="http://schemas.openxmlformats.org/officeDocument/2006/relationships/hyperlink" Target="http://career.lndo.site/noc_image/7513-NOC-profile.png" TargetMode="External"/><Relationship Id="rId158" Type="http://schemas.openxmlformats.org/officeDocument/2006/relationships/hyperlink" Target="http://career.lndo.site/noc_image/2272-NOC-profile.png" TargetMode="External"/><Relationship Id="rId279" Type="http://schemas.openxmlformats.org/officeDocument/2006/relationships/hyperlink" Target="http://career.lndo.site/noc_image/6312-NOC-profile.png" TargetMode="External"/><Relationship Id="rId157" Type="http://schemas.openxmlformats.org/officeDocument/2006/relationships/hyperlink" Target="http://career.lndo.site/noc_image/2271-NOC-profile.png" TargetMode="External"/><Relationship Id="rId278" Type="http://schemas.openxmlformats.org/officeDocument/2006/relationships/hyperlink" Target="http://career.lndo.site/noc_image/6311-NOC-profile.png" TargetMode="External"/><Relationship Id="rId399" Type="http://schemas.openxmlformats.org/officeDocument/2006/relationships/hyperlink" Target="http://career.lndo.site/noc_image/7533-NOC-profile.png" TargetMode="External"/><Relationship Id="rId156" Type="http://schemas.openxmlformats.org/officeDocument/2006/relationships/hyperlink" Target="http://career.lndo.site/noc_image/2264-NOC-profile.png" TargetMode="External"/><Relationship Id="rId277" Type="http://schemas.openxmlformats.org/officeDocument/2006/relationships/hyperlink" Target="http://career.lndo.site/noc_image/6235-NOC-profile.png" TargetMode="External"/><Relationship Id="rId398" Type="http://schemas.openxmlformats.org/officeDocument/2006/relationships/hyperlink" Target="http://career.lndo.site/noc_image/7532-NOC-profile.png" TargetMode="External"/><Relationship Id="rId155" Type="http://schemas.openxmlformats.org/officeDocument/2006/relationships/hyperlink" Target="http://career.lndo.site/noc_image/2263-NOC-profile.png" TargetMode="External"/><Relationship Id="rId276" Type="http://schemas.openxmlformats.org/officeDocument/2006/relationships/hyperlink" Target="http://career.lndo.site/noc_image/6232-NOC-profile.png" TargetMode="External"/><Relationship Id="rId397" Type="http://schemas.openxmlformats.org/officeDocument/2006/relationships/hyperlink" Target="http://career.lndo.site/noc_image/7531-NOC-profile.png" TargetMode="External"/><Relationship Id="rId40" Type="http://schemas.openxmlformats.org/officeDocument/2006/relationships/hyperlink" Target="http://career.lndo.site/noc_image/0712-NOC-profile.png" TargetMode="External"/><Relationship Id="rId42" Type="http://schemas.openxmlformats.org/officeDocument/2006/relationships/hyperlink" Target="http://career.lndo.site/noc_image/0731-NOC-profile.png" TargetMode="External"/><Relationship Id="rId41" Type="http://schemas.openxmlformats.org/officeDocument/2006/relationships/hyperlink" Target="http://career.lndo.site/noc_image/0714-NOC-profile.png" TargetMode="External"/><Relationship Id="rId44" Type="http://schemas.openxmlformats.org/officeDocument/2006/relationships/hyperlink" Target="http://career.lndo.site/noc_image/0821-NOC-profile.png" TargetMode="External"/><Relationship Id="rId43" Type="http://schemas.openxmlformats.org/officeDocument/2006/relationships/hyperlink" Target="http://career.lndo.site/noc_image/0811-NOC-profile.png" TargetMode="External"/><Relationship Id="rId46" Type="http://schemas.openxmlformats.org/officeDocument/2006/relationships/hyperlink" Target="http://career.lndo.site/noc_image/0823-NOC-profile.png" TargetMode="External"/><Relationship Id="rId45" Type="http://schemas.openxmlformats.org/officeDocument/2006/relationships/hyperlink" Target="http://career.lndo.site/noc_image/0822-NOC-profile.png" TargetMode="External"/><Relationship Id="rId501" Type="http://schemas.openxmlformats.org/officeDocument/2006/relationships/drawing" Target="../drawings/drawing10.xml"/><Relationship Id="rId500" Type="http://schemas.openxmlformats.org/officeDocument/2006/relationships/hyperlink" Target="http://career.lndo.site/noc_image/9619-NOC-profile.png" TargetMode="External"/><Relationship Id="rId48" Type="http://schemas.openxmlformats.org/officeDocument/2006/relationships/hyperlink" Target="http://career.lndo.site/noc_image/0912-NOC-profile.png" TargetMode="External"/><Relationship Id="rId47" Type="http://schemas.openxmlformats.org/officeDocument/2006/relationships/hyperlink" Target="http://career.lndo.site/noc_image/0911-NOC-profile.png" TargetMode="External"/><Relationship Id="rId49" Type="http://schemas.openxmlformats.org/officeDocument/2006/relationships/hyperlink" Target="http://career.lndo.site/noc_image/1111-NOC-profile.png" TargetMode="External"/><Relationship Id="rId31" Type="http://schemas.openxmlformats.org/officeDocument/2006/relationships/hyperlink" Target="http://career.lndo.site/noc_image/0511-NOC-profile.png" TargetMode="External"/><Relationship Id="rId30" Type="http://schemas.openxmlformats.org/officeDocument/2006/relationships/hyperlink" Target="http://career.lndo.site/noc_image/0433-NOC-profile.png" TargetMode="External"/><Relationship Id="rId33" Type="http://schemas.openxmlformats.org/officeDocument/2006/relationships/hyperlink" Target="http://career.lndo.site/noc_image/0513-NOC-profile.png" TargetMode="External"/><Relationship Id="rId32" Type="http://schemas.openxmlformats.org/officeDocument/2006/relationships/hyperlink" Target="http://career.lndo.site/noc_image/0512-NOC-profile.png" TargetMode="External"/><Relationship Id="rId35" Type="http://schemas.openxmlformats.org/officeDocument/2006/relationships/hyperlink" Target="http://career.lndo.site/noc_image/0621-NOC-profile.png" TargetMode="External"/><Relationship Id="rId34" Type="http://schemas.openxmlformats.org/officeDocument/2006/relationships/hyperlink" Target="http://career.lndo.site/noc_image/0601-NOC-profile.png" TargetMode="External"/><Relationship Id="rId37" Type="http://schemas.openxmlformats.org/officeDocument/2006/relationships/hyperlink" Target="http://career.lndo.site/noc_image/0632-NOC-profile.png" TargetMode="External"/><Relationship Id="rId36" Type="http://schemas.openxmlformats.org/officeDocument/2006/relationships/hyperlink" Target="http://career.lndo.site/noc_image/0631-NOC-profile.png" TargetMode="External"/><Relationship Id="rId39" Type="http://schemas.openxmlformats.org/officeDocument/2006/relationships/hyperlink" Target="http://career.lndo.site/noc_image/0711-NOC-profile.png" TargetMode="External"/><Relationship Id="rId38" Type="http://schemas.openxmlformats.org/officeDocument/2006/relationships/hyperlink" Target="http://career.lndo.site/noc_image/0651-NOC-profile.png" TargetMode="External"/><Relationship Id="rId20" Type="http://schemas.openxmlformats.org/officeDocument/2006/relationships/hyperlink" Target="http://career.lndo.site/noc_image/0311-NOC-profile.png" TargetMode="External"/><Relationship Id="rId22" Type="http://schemas.openxmlformats.org/officeDocument/2006/relationships/hyperlink" Target="http://career.lndo.site/noc_image/0412-NOC-profile.png" TargetMode="External"/><Relationship Id="rId21" Type="http://schemas.openxmlformats.org/officeDocument/2006/relationships/hyperlink" Target="http://career.lndo.site/noc_image/0411-NOC-profile.png" TargetMode="External"/><Relationship Id="rId24" Type="http://schemas.openxmlformats.org/officeDocument/2006/relationships/hyperlink" Target="http://career.lndo.site/noc_image/0414-NOC-profile.png" TargetMode="External"/><Relationship Id="rId23" Type="http://schemas.openxmlformats.org/officeDocument/2006/relationships/hyperlink" Target="http://career.lndo.site/noc_image/0413-NOC-profile.png" TargetMode="External"/><Relationship Id="rId409" Type="http://schemas.openxmlformats.org/officeDocument/2006/relationships/hyperlink" Target="http://career.lndo.site/noc_image/8231-NOC-profile.png" TargetMode="External"/><Relationship Id="rId404" Type="http://schemas.openxmlformats.org/officeDocument/2006/relationships/hyperlink" Target="http://career.lndo.site/noc_image/7621-NOC-profile.png" TargetMode="External"/><Relationship Id="rId403" Type="http://schemas.openxmlformats.org/officeDocument/2006/relationships/hyperlink" Target="http://career.lndo.site/noc_image/7612-NOC-profile.png" TargetMode="External"/><Relationship Id="rId402" Type="http://schemas.openxmlformats.org/officeDocument/2006/relationships/hyperlink" Target="http://career.lndo.site/noc_image/7611-NOC-profile.png" TargetMode="External"/><Relationship Id="rId401" Type="http://schemas.openxmlformats.org/officeDocument/2006/relationships/hyperlink" Target="http://career.lndo.site/noc_image/7535-NOC-profile.png" TargetMode="External"/><Relationship Id="rId408" Type="http://schemas.openxmlformats.org/officeDocument/2006/relationships/hyperlink" Target="http://career.lndo.site/noc_image/8222-NOC-profile.png" TargetMode="External"/><Relationship Id="rId407" Type="http://schemas.openxmlformats.org/officeDocument/2006/relationships/hyperlink" Target="http://career.lndo.site/noc_image/8221-NOC-profile.png" TargetMode="External"/><Relationship Id="rId406" Type="http://schemas.openxmlformats.org/officeDocument/2006/relationships/hyperlink" Target="http://career.lndo.site/noc_image/8211-NOC-profile.png" TargetMode="External"/><Relationship Id="rId405" Type="http://schemas.openxmlformats.org/officeDocument/2006/relationships/hyperlink" Target="http://career.lndo.site/noc_image/7622-NOC-profile.png" TargetMode="External"/><Relationship Id="rId26" Type="http://schemas.openxmlformats.org/officeDocument/2006/relationships/hyperlink" Target="http://career.lndo.site/noc_image/0422-NOC-profile.png" TargetMode="External"/><Relationship Id="rId25" Type="http://schemas.openxmlformats.org/officeDocument/2006/relationships/hyperlink" Target="http://career.lndo.site/noc_image/0421-NOC-profile.png" TargetMode="External"/><Relationship Id="rId28" Type="http://schemas.openxmlformats.org/officeDocument/2006/relationships/hyperlink" Target="http://career.lndo.site/noc_image/0431-NOC-profile.png" TargetMode="External"/><Relationship Id="rId27" Type="http://schemas.openxmlformats.org/officeDocument/2006/relationships/hyperlink" Target="http://career.lndo.site/noc_image/0423-NOC-profile.png" TargetMode="External"/><Relationship Id="rId400" Type="http://schemas.openxmlformats.org/officeDocument/2006/relationships/hyperlink" Target="http://career.lndo.site/noc_image/7534-NOC-profile.png" TargetMode="External"/><Relationship Id="rId29" Type="http://schemas.openxmlformats.org/officeDocument/2006/relationships/hyperlink" Target="http://career.lndo.site/noc_image/0432-NOC-profile.png" TargetMode="External"/><Relationship Id="rId11" Type="http://schemas.openxmlformats.org/officeDocument/2006/relationships/hyperlink" Target="http://career.lndo.site/noc_image/0121-NOC-profile.png" TargetMode="External"/><Relationship Id="rId10" Type="http://schemas.openxmlformats.org/officeDocument/2006/relationships/hyperlink" Target="http://career.lndo.site/noc_image/0114-NOC-profile.png" TargetMode="External"/><Relationship Id="rId13" Type="http://schemas.openxmlformats.org/officeDocument/2006/relationships/hyperlink" Target="http://career.lndo.site/noc_image/0124-NOC-profile.png" TargetMode="External"/><Relationship Id="rId12" Type="http://schemas.openxmlformats.org/officeDocument/2006/relationships/hyperlink" Target="http://career.lndo.site/noc_image/0122-NOC-profile.png" TargetMode="External"/><Relationship Id="rId15" Type="http://schemas.openxmlformats.org/officeDocument/2006/relationships/hyperlink" Target="http://career.lndo.site/noc_image/0131-NOC-profile.png" TargetMode="External"/><Relationship Id="rId14" Type="http://schemas.openxmlformats.org/officeDocument/2006/relationships/hyperlink" Target="http://career.lndo.site/noc_image/0125-NOC-profile.png" TargetMode="External"/><Relationship Id="rId17" Type="http://schemas.openxmlformats.org/officeDocument/2006/relationships/hyperlink" Target="http://career.lndo.site/noc_image/0211-NOC-profile.png" TargetMode="External"/><Relationship Id="rId16" Type="http://schemas.openxmlformats.org/officeDocument/2006/relationships/hyperlink" Target="http://career.lndo.site/noc_image/0132-NOC-profile.png" TargetMode="External"/><Relationship Id="rId19" Type="http://schemas.openxmlformats.org/officeDocument/2006/relationships/hyperlink" Target="http://career.lndo.site/noc_image/0213-NOC-profile.png" TargetMode="External"/><Relationship Id="rId18" Type="http://schemas.openxmlformats.org/officeDocument/2006/relationships/hyperlink" Target="http://career.lndo.site/noc_image/0212-NOC-profile.png" TargetMode="External"/><Relationship Id="rId84" Type="http://schemas.openxmlformats.org/officeDocument/2006/relationships/hyperlink" Target="http://career.lndo.site/noc_image/1416-NOC-profile.png" TargetMode="External"/><Relationship Id="rId83" Type="http://schemas.openxmlformats.org/officeDocument/2006/relationships/hyperlink" Target="http://career.lndo.site/noc_image/1415-NOC-profile.png" TargetMode="External"/><Relationship Id="rId86" Type="http://schemas.openxmlformats.org/officeDocument/2006/relationships/hyperlink" Target="http://career.lndo.site/noc_image/1423-NOC-profile.png" TargetMode="External"/><Relationship Id="rId85" Type="http://schemas.openxmlformats.org/officeDocument/2006/relationships/hyperlink" Target="http://career.lndo.site/noc_image/1422-NOC-profile.png" TargetMode="External"/><Relationship Id="rId88" Type="http://schemas.openxmlformats.org/officeDocument/2006/relationships/hyperlink" Target="http://career.lndo.site/noc_image/1432-NOC-profile.png" TargetMode="External"/><Relationship Id="rId87" Type="http://schemas.openxmlformats.org/officeDocument/2006/relationships/hyperlink" Target="http://career.lndo.site/noc_image/1431-NOC-profile.png" TargetMode="External"/><Relationship Id="rId89" Type="http://schemas.openxmlformats.org/officeDocument/2006/relationships/hyperlink" Target="http://career.lndo.site/noc_image/1434-NOC-profile.png" TargetMode="External"/><Relationship Id="rId80" Type="http://schemas.openxmlformats.org/officeDocument/2006/relationships/hyperlink" Target="http://career.lndo.site/noc_image/1315-NOC-profile.png" TargetMode="External"/><Relationship Id="rId82" Type="http://schemas.openxmlformats.org/officeDocument/2006/relationships/hyperlink" Target="http://career.lndo.site/noc_image/1414-NOC-profile.png" TargetMode="External"/><Relationship Id="rId81" Type="http://schemas.openxmlformats.org/officeDocument/2006/relationships/hyperlink" Target="http://career.lndo.site/noc_image/1411-NOC-profile.png" TargetMode="External"/><Relationship Id="rId73" Type="http://schemas.openxmlformats.org/officeDocument/2006/relationships/hyperlink" Target="http://career.lndo.site/noc_image/1252-NOC-profile.png" TargetMode="External"/><Relationship Id="rId72" Type="http://schemas.openxmlformats.org/officeDocument/2006/relationships/hyperlink" Target="http://career.lndo.site/noc_image/1251-NOC-profile.png" TargetMode="External"/><Relationship Id="rId75" Type="http://schemas.openxmlformats.org/officeDocument/2006/relationships/hyperlink" Target="http://career.lndo.site/noc_image/1254-NOC-profile.png" TargetMode="External"/><Relationship Id="rId74" Type="http://schemas.openxmlformats.org/officeDocument/2006/relationships/hyperlink" Target="http://career.lndo.site/noc_image/1253-NOC-profile.png" TargetMode="External"/><Relationship Id="rId77" Type="http://schemas.openxmlformats.org/officeDocument/2006/relationships/hyperlink" Target="http://career.lndo.site/noc_image/1312-NOC-profile.png" TargetMode="External"/><Relationship Id="rId76" Type="http://schemas.openxmlformats.org/officeDocument/2006/relationships/hyperlink" Target="http://career.lndo.site/noc_image/1311-NOC-profile.png" TargetMode="External"/><Relationship Id="rId79" Type="http://schemas.openxmlformats.org/officeDocument/2006/relationships/hyperlink" Target="http://career.lndo.site/noc_image/1314-NOC-profile.png" TargetMode="External"/><Relationship Id="rId78" Type="http://schemas.openxmlformats.org/officeDocument/2006/relationships/hyperlink" Target="http://career.lndo.site/noc_image/1313-NOC-profile.png" TargetMode="External"/><Relationship Id="rId71" Type="http://schemas.openxmlformats.org/officeDocument/2006/relationships/hyperlink" Target="http://career.lndo.site/noc_image/1243-NOC-profile.png" TargetMode="External"/><Relationship Id="rId70" Type="http://schemas.openxmlformats.org/officeDocument/2006/relationships/hyperlink" Target="http://career.lndo.site/noc_image/1242-NOC-profile.png" TargetMode="External"/><Relationship Id="rId62" Type="http://schemas.openxmlformats.org/officeDocument/2006/relationships/hyperlink" Target="http://career.lndo.site/noc_image/1222-NOC-profile.png" TargetMode="External"/><Relationship Id="rId61" Type="http://schemas.openxmlformats.org/officeDocument/2006/relationships/hyperlink" Target="http://career.lndo.site/noc_image/1221-NOC-profile.png" TargetMode="External"/><Relationship Id="rId64" Type="http://schemas.openxmlformats.org/officeDocument/2006/relationships/hyperlink" Target="http://career.lndo.site/noc_image/1224-NOC-profile.png" TargetMode="External"/><Relationship Id="rId63" Type="http://schemas.openxmlformats.org/officeDocument/2006/relationships/hyperlink" Target="http://career.lndo.site/noc_image/1223-NOC-profile.png" TargetMode="External"/><Relationship Id="rId66" Type="http://schemas.openxmlformats.org/officeDocument/2006/relationships/hyperlink" Target="http://career.lndo.site/noc_image/1226-NOC-profile.png" TargetMode="External"/><Relationship Id="rId65" Type="http://schemas.openxmlformats.org/officeDocument/2006/relationships/hyperlink" Target="http://career.lndo.site/noc_image/1225-NOC-profile.png" TargetMode="External"/><Relationship Id="rId68" Type="http://schemas.openxmlformats.org/officeDocument/2006/relationships/hyperlink" Target="http://career.lndo.site/noc_image/1228-NOC-profile.png" TargetMode="External"/><Relationship Id="rId67" Type="http://schemas.openxmlformats.org/officeDocument/2006/relationships/hyperlink" Target="http://career.lndo.site/noc_image/1227-NOC-profile.png" TargetMode="External"/><Relationship Id="rId60" Type="http://schemas.openxmlformats.org/officeDocument/2006/relationships/hyperlink" Target="http://career.lndo.site/noc_image/1215-NOC-profile.png" TargetMode="External"/><Relationship Id="rId69" Type="http://schemas.openxmlformats.org/officeDocument/2006/relationships/hyperlink" Target="http://career.lndo.site/noc_image/1241-NOC-profile.png" TargetMode="External"/><Relationship Id="rId51" Type="http://schemas.openxmlformats.org/officeDocument/2006/relationships/hyperlink" Target="http://career.lndo.site/noc_image/1113-NOC-profile.png" TargetMode="External"/><Relationship Id="rId50" Type="http://schemas.openxmlformats.org/officeDocument/2006/relationships/hyperlink" Target="http://career.lndo.site/noc_image/1112-NOC-profile.png" TargetMode="External"/><Relationship Id="rId53" Type="http://schemas.openxmlformats.org/officeDocument/2006/relationships/hyperlink" Target="http://career.lndo.site/noc_image/1121-NOC-profile.png" TargetMode="External"/><Relationship Id="rId52" Type="http://schemas.openxmlformats.org/officeDocument/2006/relationships/hyperlink" Target="http://career.lndo.site/noc_image/1114-NOC-profile.png" TargetMode="External"/><Relationship Id="rId55" Type="http://schemas.openxmlformats.org/officeDocument/2006/relationships/hyperlink" Target="http://career.lndo.site/noc_image/1123-NOC-profile.png" TargetMode="External"/><Relationship Id="rId54" Type="http://schemas.openxmlformats.org/officeDocument/2006/relationships/hyperlink" Target="http://career.lndo.site/noc_image/1122-NOC-profile.png" TargetMode="External"/><Relationship Id="rId57" Type="http://schemas.openxmlformats.org/officeDocument/2006/relationships/hyperlink" Target="http://career.lndo.site/noc_image/1212-NOC-profile.png" TargetMode="External"/><Relationship Id="rId56" Type="http://schemas.openxmlformats.org/officeDocument/2006/relationships/hyperlink" Target="http://career.lndo.site/noc_image/1211-NOC-profile.png" TargetMode="External"/><Relationship Id="rId59" Type="http://schemas.openxmlformats.org/officeDocument/2006/relationships/hyperlink" Target="http://career.lndo.site/noc_image/1214-NOC-profile.png" TargetMode="External"/><Relationship Id="rId58" Type="http://schemas.openxmlformats.org/officeDocument/2006/relationships/hyperlink" Target="http://career.lndo.site/noc_image/1213-NOC-profile.png" TargetMode="External"/><Relationship Id="rId107" Type="http://schemas.openxmlformats.org/officeDocument/2006/relationships/hyperlink" Target="http://career.lndo.site/noc_image/2115-NOC-profile.png" TargetMode="External"/><Relationship Id="rId228" Type="http://schemas.openxmlformats.org/officeDocument/2006/relationships/hyperlink" Target="http://career.lndo.site/noc_image/4216-NOC-profile.png" TargetMode="External"/><Relationship Id="rId349" Type="http://schemas.openxmlformats.org/officeDocument/2006/relationships/hyperlink" Target="http://career.lndo.site/noc_image/7272-NOC-profile.png" TargetMode="External"/><Relationship Id="rId106" Type="http://schemas.openxmlformats.org/officeDocument/2006/relationships/hyperlink" Target="http://career.lndo.site/noc_image/2114-NOC-profile.png" TargetMode="External"/><Relationship Id="rId227" Type="http://schemas.openxmlformats.org/officeDocument/2006/relationships/hyperlink" Target="http://career.lndo.site/noc_image/4215-NOC-profile.png" TargetMode="External"/><Relationship Id="rId348" Type="http://schemas.openxmlformats.org/officeDocument/2006/relationships/hyperlink" Target="http://career.lndo.site/noc_image/7271-NOC-profile.png" TargetMode="External"/><Relationship Id="rId469" Type="http://schemas.openxmlformats.org/officeDocument/2006/relationships/hyperlink" Target="http://career.lndo.site/noc_image/9447-NOC-profile.png" TargetMode="External"/><Relationship Id="rId105" Type="http://schemas.openxmlformats.org/officeDocument/2006/relationships/hyperlink" Target="http://career.lndo.site/noc_image/2113-NOC-profile.png" TargetMode="External"/><Relationship Id="rId226" Type="http://schemas.openxmlformats.org/officeDocument/2006/relationships/hyperlink" Target="http://career.lndo.site/noc_image/4214-NOC-profile.png" TargetMode="External"/><Relationship Id="rId347" Type="http://schemas.openxmlformats.org/officeDocument/2006/relationships/hyperlink" Target="http://career.lndo.site/noc_image/7253-NOC-profile.png" TargetMode="External"/><Relationship Id="rId468" Type="http://schemas.openxmlformats.org/officeDocument/2006/relationships/hyperlink" Target="http://career.lndo.site/noc_image/9446-NOC-profile.png" TargetMode="External"/><Relationship Id="rId104" Type="http://schemas.openxmlformats.org/officeDocument/2006/relationships/hyperlink" Target="http://career.lndo.site/noc_image/2112-NOC-profile.png" TargetMode="External"/><Relationship Id="rId225" Type="http://schemas.openxmlformats.org/officeDocument/2006/relationships/hyperlink" Target="http://career.lndo.site/noc_image/4212-NOC-profile.png" TargetMode="External"/><Relationship Id="rId346" Type="http://schemas.openxmlformats.org/officeDocument/2006/relationships/hyperlink" Target="http://career.lndo.site/noc_image/7252-NOC-profile.png" TargetMode="External"/><Relationship Id="rId467" Type="http://schemas.openxmlformats.org/officeDocument/2006/relationships/hyperlink" Target="http://career.lndo.site/noc_image/9445-NOC-profile.png" TargetMode="External"/><Relationship Id="rId109" Type="http://schemas.openxmlformats.org/officeDocument/2006/relationships/hyperlink" Target="http://career.lndo.site/noc_image/2122-NOC-profile.png" TargetMode="External"/><Relationship Id="rId108" Type="http://schemas.openxmlformats.org/officeDocument/2006/relationships/hyperlink" Target="http://career.lndo.site/noc_image/2121-NOC-profile.png" TargetMode="External"/><Relationship Id="rId229" Type="http://schemas.openxmlformats.org/officeDocument/2006/relationships/hyperlink" Target="http://career.lndo.site/noc_image/4217-NOC-profile.png" TargetMode="External"/><Relationship Id="rId220" Type="http://schemas.openxmlformats.org/officeDocument/2006/relationships/hyperlink" Target="http://career.lndo.site/noc_image/4166-NOC-profile.png" TargetMode="External"/><Relationship Id="rId341" Type="http://schemas.openxmlformats.org/officeDocument/2006/relationships/hyperlink" Target="http://career.lndo.site/noc_image/7244-NOC-profile.png" TargetMode="External"/><Relationship Id="rId462" Type="http://schemas.openxmlformats.org/officeDocument/2006/relationships/hyperlink" Target="http://career.lndo.site/noc_image/9435-NOC-profile.png" TargetMode="External"/><Relationship Id="rId340" Type="http://schemas.openxmlformats.org/officeDocument/2006/relationships/hyperlink" Target="http://career.lndo.site/noc_image/7243-NOC-profile.png" TargetMode="External"/><Relationship Id="rId461" Type="http://schemas.openxmlformats.org/officeDocument/2006/relationships/hyperlink" Target="http://career.lndo.site/noc_image/9434-NOC-profile.png" TargetMode="External"/><Relationship Id="rId460" Type="http://schemas.openxmlformats.org/officeDocument/2006/relationships/hyperlink" Target="http://career.lndo.site/noc_image/9433-NOC-profile.png" TargetMode="External"/><Relationship Id="rId103" Type="http://schemas.openxmlformats.org/officeDocument/2006/relationships/hyperlink" Target="http://career.lndo.site/noc_image/2111-NOC-profile.png" TargetMode="External"/><Relationship Id="rId224" Type="http://schemas.openxmlformats.org/officeDocument/2006/relationships/hyperlink" Target="http://career.lndo.site/noc_image/4211-NOC-profile.png" TargetMode="External"/><Relationship Id="rId345" Type="http://schemas.openxmlformats.org/officeDocument/2006/relationships/hyperlink" Target="http://career.lndo.site/noc_image/7251-NOC-profile.png" TargetMode="External"/><Relationship Id="rId466" Type="http://schemas.openxmlformats.org/officeDocument/2006/relationships/hyperlink" Target="http://career.lndo.site/noc_image/9442-NOC-profile.png" TargetMode="External"/><Relationship Id="rId102" Type="http://schemas.openxmlformats.org/officeDocument/2006/relationships/hyperlink" Target="http://career.lndo.site/noc_image/1526-NOC-profile.png" TargetMode="External"/><Relationship Id="rId223" Type="http://schemas.openxmlformats.org/officeDocument/2006/relationships/hyperlink" Target="http://career.lndo.site/noc_image/4169-NOC-profile.png" TargetMode="External"/><Relationship Id="rId344" Type="http://schemas.openxmlformats.org/officeDocument/2006/relationships/hyperlink" Target="http://career.lndo.site/noc_image/7247-NOC-profile.png" TargetMode="External"/><Relationship Id="rId465" Type="http://schemas.openxmlformats.org/officeDocument/2006/relationships/hyperlink" Target="http://career.lndo.site/noc_image/9441-NOC-profile.png" TargetMode="External"/><Relationship Id="rId101" Type="http://schemas.openxmlformats.org/officeDocument/2006/relationships/hyperlink" Target="http://career.lndo.site/noc_image/1525-NOC-profile.png" TargetMode="External"/><Relationship Id="rId222" Type="http://schemas.openxmlformats.org/officeDocument/2006/relationships/hyperlink" Target="http://career.lndo.site/noc_image/4168-NOC-profile.png" TargetMode="External"/><Relationship Id="rId343" Type="http://schemas.openxmlformats.org/officeDocument/2006/relationships/hyperlink" Target="http://career.lndo.site/noc_image/7246-NOC-profile.png" TargetMode="External"/><Relationship Id="rId464" Type="http://schemas.openxmlformats.org/officeDocument/2006/relationships/hyperlink" Target="http://career.lndo.site/noc_image/9437-NOC-profile.png" TargetMode="External"/><Relationship Id="rId100" Type="http://schemas.openxmlformats.org/officeDocument/2006/relationships/hyperlink" Target="http://career.lndo.site/noc_image/1524-NOC-profile.png" TargetMode="External"/><Relationship Id="rId221" Type="http://schemas.openxmlformats.org/officeDocument/2006/relationships/hyperlink" Target="http://career.lndo.site/noc_image/4167-NOC-profile.png" TargetMode="External"/><Relationship Id="rId342" Type="http://schemas.openxmlformats.org/officeDocument/2006/relationships/hyperlink" Target="http://career.lndo.site/noc_image/7245-NOC-profile.png" TargetMode="External"/><Relationship Id="rId463" Type="http://schemas.openxmlformats.org/officeDocument/2006/relationships/hyperlink" Target="http://career.lndo.site/noc_image/9436-NOC-profile.png" TargetMode="External"/><Relationship Id="rId217" Type="http://schemas.openxmlformats.org/officeDocument/2006/relationships/hyperlink" Target="http://career.lndo.site/noc_image/4163-NOC-profile.png" TargetMode="External"/><Relationship Id="rId338" Type="http://schemas.openxmlformats.org/officeDocument/2006/relationships/hyperlink" Target="http://career.lndo.site/noc_image/7241-NOC-profile.png" TargetMode="External"/><Relationship Id="rId459" Type="http://schemas.openxmlformats.org/officeDocument/2006/relationships/hyperlink" Target="http://career.lndo.site/noc_image/9432-NOC-profile.png" TargetMode="External"/><Relationship Id="rId216" Type="http://schemas.openxmlformats.org/officeDocument/2006/relationships/hyperlink" Target="http://career.lndo.site/noc_image/4162-NOC-profile.png" TargetMode="External"/><Relationship Id="rId337" Type="http://schemas.openxmlformats.org/officeDocument/2006/relationships/hyperlink" Target="http://career.lndo.site/noc_image/7237-NOC-profile.png" TargetMode="External"/><Relationship Id="rId458" Type="http://schemas.openxmlformats.org/officeDocument/2006/relationships/hyperlink" Target="http://career.lndo.site/noc_image/9431-NOC-profile.png" TargetMode="External"/><Relationship Id="rId215" Type="http://schemas.openxmlformats.org/officeDocument/2006/relationships/hyperlink" Target="http://career.lndo.site/noc_image/4161-NOC-profile.png" TargetMode="External"/><Relationship Id="rId336" Type="http://schemas.openxmlformats.org/officeDocument/2006/relationships/hyperlink" Target="http://career.lndo.site/noc_image/7236-NOC-profile.png" TargetMode="External"/><Relationship Id="rId457" Type="http://schemas.openxmlformats.org/officeDocument/2006/relationships/hyperlink" Target="http://career.lndo.site/noc_image/9423-NOC-profile.png" TargetMode="External"/><Relationship Id="rId214" Type="http://schemas.openxmlformats.org/officeDocument/2006/relationships/hyperlink" Target="http://career.lndo.site/noc_image/4156-NOC-profile.png" TargetMode="External"/><Relationship Id="rId335" Type="http://schemas.openxmlformats.org/officeDocument/2006/relationships/hyperlink" Target="http://career.lndo.site/noc_image/7235-NOC-profile.png" TargetMode="External"/><Relationship Id="rId456" Type="http://schemas.openxmlformats.org/officeDocument/2006/relationships/hyperlink" Target="http://career.lndo.site/noc_image/9422-NOC-profile.png" TargetMode="External"/><Relationship Id="rId219" Type="http://schemas.openxmlformats.org/officeDocument/2006/relationships/hyperlink" Target="http://career.lndo.site/noc_image/4165-NOC-profile.png" TargetMode="External"/><Relationship Id="rId218" Type="http://schemas.openxmlformats.org/officeDocument/2006/relationships/hyperlink" Target="http://career.lndo.site/noc_image/4164-NOC-profile.png" TargetMode="External"/><Relationship Id="rId339" Type="http://schemas.openxmlformats.org/officeDocument/2006/relationships/hyperlink" Target="http://career.lndo.site/noc_image/7242-NOC-profile.png" TargetMode="External"/><Relationship Id="rId330" Type="http://schemas.openxmlformats.org/officeDocument/2006/relationships/hyperlink" Target="http://career.lndo.site/noc_image/7205-NOC-profile.png" TargetMode="External"/><Relationship Id="rId451" Type="http://schemas.openxmlformats.org/officeDocument/2006/relationships/hyperlink" Target="http://career.lndo.site/noc_image/9415-NOC-profile.png" TargetMode="External"/><Relationship Id="rId450" Type="http://schemas.openxmlformats.org/officeDocument/2006/relationships/hyperlink" Target="http://career.lndo.site/noc_image/9414-NOC-profile.png" TargetMode="External"/><Relationship Id="rId213" Type="http://schemas.openxmlformats.org/officeDocument/2006/relationships/hyperlink" Target="http://career.lndo.site/noc_image/4155-NOC-profile.png" TargetMode="External"/><Relationship Id="rId334" Type="http://schemas.openxmlformats.org/officeDocument/2006/relationships/hyperlink" Target="http://career.lndo.site/noc_image/7234-NOC-profile.png" TargetMode="External"/><Relationship Id="rId455" Type="http://schemas.openxmlformats.org/officeDocument/2006/relationships/hyperlink" Target="http://career.lndo.site/noc_image/9421-NOC-profile.png" TargetMode="External"/><Relationship Id="rId212" Type="http://schemas.openxmlformats.org/officeDocument/2006/relationships/hyperlink" Target="http://career.lndo.site/noc_image/4154-NOC-profile.png" TargetMode="External"/><Relationship Id="rId333" Type="http://schemas.openxmlformats.org/officeDocument/2006/relationships/hyperlink" Target="http://career.lndo.site/noc_image/7233-NOC-profile.png" TargetMode="External"/><Relationship Id="rId454" Type="http://schemas.openxmlformats.org/officeDocument/2006/relationships/hyperlink" Target="http://career.lndo.site/noc_image/9418-NOC-profile.png" TargetMode="External"/><Relationship Id="rId211" Type="http://schemas.openxmlformats.org/officeDocument/2006/relationships/hyperlink" Target="http://career.lndo.site/noc_image/4153-NOC-profile.png" TargetMode="External"/><Relationship Id="rId332" Type="http://schemas.openxmlformats.org/officeDocument/2006/relationships/hyperlink" Target="http://career.lndo.site/noc_image/7232-NOC-profile.png" TargetMode="External"/><Relationship Id="rId453" Type="http://schemas.openxmlformats.org/officeDocument/2006/relationships/hyperlink" Target="http://career.lndo.site/noc_image/9417-NOC-profile.png" TargetMode="External"/><Relationship Id="rId210" Type="http://schemas.openxmlformats.org/officeDocument/2006/relationships/hyperlink" Target="http://career.lndo.site/noc_image/4152-NOC-profile.png" TargetMode="External"/><Relationship Id="rId331" Type="http://schemas.openxmlformats.org/officeDocument/2006/relationships/hyperlink" Target="http://career.lndo.site/noc_image/7231-NOC-profile.png" TargetMode="External"/><Relationship Id="rId452" Type="http://schemas.openxmlformats.org/officeDocument/2006/relationships/hyperlink" Target="http://career.lndo.site/noc_image/9416-NOC-profile.png" TargetMode="External"/><Relationship Id="rId370" Type="http://schemas.openxmlformats.org/officeDocument/2006/relationships/hyperlink" Target="http://career.lndo.site/noc_image/7318-NOC-profile.png" TargetMode="External"/><Relationship Id="rId491" Type="http://schemas.openxmlformats.org/officeDocument/2006/relationships/hyperlink" Target="http://career.lndo.site/noc_image/9537-NOC-profile.png" TargetMode="External"/><Relationship Id="rId490" Type="http://schemas.openxmlformats.org/officeDocument/2006/relationships/hyperlink" Target="http://career.lndo.site/noc_image/9536-NOC-profile.png" TargetMode="External"/><Relationship Id="rId129" Type="http://schemas.openxmlformats.org/officeDocument/2006/relationships/hyperlink" Target="http://career.lndo.site/noc_image/2172-NOC-profile.png" TargetMode="External"/><Relationship Id="rId128" Type="http://schemas.openxmlformats.org/officeDocument/2006/relationships/hyperlink" Target="http://career.lndo.site/noc_image/2171-NOC-profile.png" TargetMode="External"/><Relationship Id="rId249" Type="http://schemas.openxmlformats.org/officeDocument/2006/relationships/hyperlink" Target="http://career.lndo.site/noc_image/5134-NOC-profile.png" TargetMode="External"/><Relationship Id="rId127" Type="http://schemas.openxmlformats.org/officeDocument/2006/relationships/hyperlink" Target="http://career.lndo.site/noc_image/2161-NOC-profile.png" TargetMode="External"/><Relationship Id="rId248" Type="http://schemas.openxmlformats.org/officeDocument/2006/relationships/hyperlink" Target="http://career.lndo.site/noc_image/5133-NOC-profile.png" TargetMode="External"/><Relationship Id="rId369" Type="http://schemas.openxmlformats.org/officeDocument/2006/relationships/hyperlink" Target="http://career.lndo.site/noc_image/7316-NOC-profile.png" TargetMode="External"/><Relationship Id="rId126" Type="http://schemas.openxmlformats.org/officeDocument/2006/relationships/hyperlink" Target="http://career.lndo.site/noc_image/2154-NOC-profile.png" TargetMode="External"/><Relationship Id="rId247" Type="http://schemas.openxmlformats.org/officeDocument/2006/relationships/hyperlink" Target="http://career.lndo.site/noc_image/5132-NOC-profile.png" TargetMode="External"/><Relationship Id="rId368" Type="http://schemas.openxmlformats.org/officeDocument/2006/relationships/hyperlink" Target="http://career.lndo.site/noc_image/7315-NOC-profile.png" TargetMode="External"/><Relationship Id="rId489" Type="http://schemas.openxmlformats.org/officeDocument/2006/relationships/hyperlink" Target="http://career.lndo.site/noc_image/9535-NOC-profile.png" TargetMode="External"/><Relationship Id="rId121" Type="http://schemas.openxmlformats.org/officeDocument/2006/relationships/hyperlink" Target="http://career.lndo.site/noc_image/2147-NOC-profile.png" TargetMode="External"/><Relationship Id="rId242" Type="http://schemas.openxmlformats.org/officeDocument/2006/relationships/hyperlink" Target="http://career.lndo.site/noc_image/5121-NOC-profile.png" TargetMode="External"/><Relationship Id="rId363" Type="http://schemas.openxmlformats.org/officeDocument/2006/relationships/hyperlink" Target="http://career.lndo.site/noc_image/7305-NOC-profile.png" TargetMode="External"/><Relationship Id="rId484" Type="http://schemas.openxmlformats.org/officeDocument/2006/relationships/hyperlink" Target="http://career.lndo.site/noc_image/9527-NOC-profile.png" TargetMode="External"/><Relationship Id="rId120" Type="http://schemas.openxmlformats.org/officeDocument/2006/relationships/hyperlink" Target="http://career.lndo.site/noc_image/2146-NOC-profile.png" TargetMode="External"/><Relationship Id="rId241" Type="http://schemas.openxmlformats.org/officeDocument/2006/relationships/hyperlink" Target="http://career.lndo.site/noc_image/5113-NOC-profile.png" TargetMode="External"/><Relationship Id="rId362" Type="http://schemas.openxmlformats.org/officeDocument/2006/relationships/hyperlink" Target="http://career.lndo.site/noc_image/7304-NOC-profile.png" TargetMode="External"/><Relationship Id="rId483" Type="http://schemas.openxmlformats.org/officeDocument/2006/relationships/hyperlink" Target="http://career.lndo.site/noc_image/9526-NOC-profile.png" TargetMode="External"/><Relationship Id="rId240" Type="http://schemas.openxmlformats.org/officeDocument/2006/relationships/hyperlink" Target="http://career.lndo.site/noc_image/5112-NOC-profile.png" TargetMode="External"/><Relationship Id="rId361" Type="http://schemas.openxmlformats.org/officeDocument/2006/relationships/hyperlink" Target="http://career.lndo.site/noc_image/7303-NOC-profile.png" TargetMode="External"/><Relationship Id="rId482" Type="http://schemas.openxmlformats.org/officeDocument/2006/relationships/hyperlink" Target="http://career.lndo.site/noc_image/9525-NOC-profile.png" TargetMode="External"/><Relationship Id="rId360" Type="http://schemas.openxmlformats.org/officeDocument/2006/relationships/hyperlink" Target="http://career.lndo.site/noc_image/7302-NOC-profile.png" TargetMode="External"/><Relationship Id="rId481" Type="http://schemas.openxmlformats.org/officeDocument/2006/relationships/hyperlink" Target="http://career.lndo.site/noc_image/9524-NOC-profile.png" TargetMode="External"/><Relationship Id="rId125" Type="http://schemas.openxmlformats.org/officeDocument/2006/relationships/hyperlink" Target="http://career.lndo.site/noc_image/2153-NOC-profile.png" TargetMode="External"/><Relationship Id="rId246" Type="http://schemas.openxmlformats.org/officeDocument/2006/relationships/hyperlink" Target="http://career.lndo.site/noc_image/5131-NOC-profile.png" TargetMode="External"/><Relationship Id="rId367" Type="http://schemas.openxmlformats.org/officeDocument/2006/relationships/hyperlink" Target="http://career.lndo.site/noc_image/7314-NOC-profile.png" TargetMode="External"/><Relationship Id="rId488" Type="http://schemas.openxmlformats.org/officeDocument/2006/relationships/hyperlink" Target="http://career.lndo.site/noc_image/9534-NOC-profile.png" TargetMode="External"/><Relationship Id="rId124" Type="http://schemas.openxmlformats.org/officeDocument/2006/relationships/hyperlink" Target="http://career.lndo.site/noc_image/2152-NOC-profile.png" TargetMode="External"/><Relationship Id="rId245" Type="http://schemas.openxmlformats.org/officeDocument/2006/relationships/hyperlink" Target="http://career.lndo.site/noc_image/5125-NOC-profile.png" TargetMode="External"/><Relationship Id="rId366" Type="http://schemas.openxmlformats.org/officeDocument/2006/relationships/hyperlink" Target="http://career.lndo.site/noc_image/7313-NOC-profile.png" TargetMode="External"/><Relationship Id="rId487" Type="http://schemas.openxmlformats.org/officeDocument/2006/relationships/hyperlink" Target="http://career.lndo.site/noc_image/9533-NOC-profile.png" TargetMode="External"/><Relationship Id="rId123" Type="http://schemas.openxmlformats.org/officeDocument/2006/relationships/hyperlink" Target="http://career.lndo.site/noc_image/2151-NOC-profile.png" TargetMode="External"/><Relationship Id="rId244" Type="http://schemas.openxmlformats.org/officeDocument/2006/relationships/hyperlink" Target="http://career.lndo.site/noc_image/5123-NOC-profile.png" TargetMode="External"/><Relationship Id="rId365" Type="http://schemas.openxmlformats.org/officeDocument/2006/relationships/hyperlink" Target="http://career.lndo.site/noc_image/7312-NOC-profile.png" TargetMode="External"/><Relationship Id="rId486" Type="http://schemas.openxmlformats.org/officeDocument/2006/relationships/hyperlink" Target="http://career.lndo.site/noc_image/9532-NOC-profile.png" TargetMode="External"/><Relationship Id="rId122" Type="http://schemas.openxmlformats.org/officeDocument/2006/relationships/hyperlink" Target="http://career.lndo.site/noc_image/2148-NOC-profile.png" TargetMode="External"/><Relationship Id="rId243" Type="http://schemas.openxmlformats.org/officeDocument/2006/relationships/hyperlink" Target="http://career.lndo.site/noc_image/5122-NOC-profile.png" TargetMode="External"/><Relationship Id="rId364" Type="http://schemas.openxmlformats.org/officeDocument/2006/relationships/hyperlink" Target="http://career.lndo.site/noc_image/7311-NOC-profile.png" TargetMode="External"/><Relationship Id="rId485" Type="http://schemas.openxmlformats.org/officeDocument/2006/relationships/hyperlink" Target="http://career.lndo.site/noc_image/9531-NOC-profile.png" TargetMode="External"/><Relationship Id="rId95" Type="http://schemas.openxmlformats.org/officeDocument/2006/relationships/hyperlink" Target="http://career.lndo.site/noc_image/1512-NOC-profile.png" TargetMode="External"/><Relationship Id="rId94" Type="http://schemas.openxmlformats.org/officeDocument/2006/relationships/hyperlink" Target="http://career.lndo.site/noc_image/1511-NOC-profile.png" TargetMode="External"/><Relationship Id="rId97" Type="http://schemas.openxmlformats.org/officeDocument/2006/relationships/hyperlink" Target="http://career.lndo.site/noc_image/1521-NOC-profile.png" TargetMode="External"/><Relationship Id="rId96" Type="http://schemas.openxmlformats.org/officeDocument/2006/relationships/hyperlink" Target="http://career.lndo.site/noc_image/1513-NOC-profile.png" TargetMode="External"/><Relationship Id="rId99" Type="http://schemas.openxmlformats.org/officeDocument/2006/relationships/hyperlink" Target="http://career.lndo.site/noc_image/1523-NOC-profile.png" TargetMode="External"/><Relationship Id="rId480" Type="http://schemas.openxmlformats.org/officeDocument/2006/relationships/hyperlink" Target="http://career.lndo.site/noc_image/9523-NOC-profile.png" TargetMode="External"/><Relationship Id="rId98" Type="http://schemas.openxmlformats.org/officeDocument/2006/relationships/hyperlink" Target="http://career.lndo.site/noc_image/1522-NOC-profile.png" TargetMode="External"/><Relationship Id="rId91" Type="http://schemas.openxmlformats.org/officeDocument/2006/relationships/hyperlink" Target="http://career.lndo.site/noc_image/1451-NOC-profile.png" TargetMode="External"/><Relationship Id="rId90" Type="http://schemas.openxmlformats.org/officeDocument/2006/relationships/hyperlink" Target="http://career.lndo.site/noc_image/1435-NOC-profile.png" TargetMode="External"/><Relationship Id="rId93" Type="http://schemas.openxmlformats.org/officeDocument/2006/relationships/hyperlink" Target="http://career.lndo.site/noc_image/1454-NOC-profile.png" TargetMode="External"/><Relationship Id="rId92" Type="http://schemas.openxmlformats.org/officeDocument/2006/relationships/hyperlink" Target="http://career.lndo.site/noc_image/1452-NOC-profile.png" TargetMode="External"/><Relationship Id="rId118" Type="http://schemas.openxmlformats.org/officeDocument/2006/relationships/hyperlink" Target="http://career.lndo.site/noc_image/2144-NOC-profile.png" TargetMode="External"/><Relationship Id="rId239" Type="http://schemas.openxmlformats.org/officeDocument/2006/relationships/hyperlink" Target="http://career.lndo.site/noc_image/5111-NOC-profile.png" TargetMode="External"/><Relationship Id="rId117" Type="http://schemas.openxmlformats.org/officeDocument/2006/relationships/hyperlink" Target="http://career.lndo.site/noc_image/2143-NOC-profile.png" TargetMode="External"/><Relationship Id="rId238" Type="http://schemas.openxmlformats.org/officeDocument/2006/relationships/hyperlink" Target="http://career.lndo.site/noc_image/4423-NOC-profile.png" TargetMode="External"/><Relationship Id="rId359" Type="http://schemas.openxmlformats.org/officeDocument/2006/relationships/hyperlink" Target="http://career.lndo.site/noc_image/7301-NOC-profile.png" TargetMode="External"/><Relationship Id="rId116" Type="http://schemas.openxmlformats.org/officeDocument/2006/relationships/hyperlink" Target="http://career.lndo.site/noc_image/2142-NOC-profile.png" TargetMode="External"/><Relationship Id="rId237" Type="http://schemas.openxmlformats.org/officeDocument/2006/relationships/hyperlink" Target="http://career.lndo.site/noc_image/4422-NOC-profile.png" TargetMode="External"/><Relationship Id="rId358" Type="http://schemas.openxmlformats.org/officeDocument/2006/relationships/hyperlink" Target="http://career.lndo.site/noc_image/7295-NOC-profile.png" TargetMode="External"/><Relationship Id="rId479" Type="http://schemas.openxmlformats.org/officeDocument/2006/relationships/hyperlink" Target="http://career.lndo.site/noc_image/9522-NOC-profile.png" TargetMode="External"/><Relationship Id="rId115" Type="http://schemas.openxmlformats.org/officeDocument/2006/relationships/hyperlink" Target="http://career.lndo.site/noc_image/2141-NOC-profile.png" TargetMode="External"/><Relationship Id="rId236" Type="http://schemas.openxmlformats.org/officeDocument/2006/relationships/hyperlink" Target="http://career.lndo.site/noc_image/4421-NOC-profile.png" TargetMode="External"/><Relationship Id="rId357" Type="http://schemas.openxmlformats.org/officeDocument/2006/relationships/hyperlink" Target="http://career.lndo.site/noc_image/7294-NOC-profile.png" TargetMode="External"/><Relationship Id="rId478" Type="http://schemas.openxmlformats.org/officeDocument/2006/relationships/hyperlink" Target="http://career.lndo.site/noc_image/9521-NOC-profile.png" TargetMode="External"/><Relationship Id="rId119" Type="http://schemas.openxmlformats.org/officeDocument/2006/relationships/hyperlink" Target="http://career.lndo.site/noc_image/2145-NOC-profile.png" TargetMode="External"/><Relationship Id="rId110" Type="http://schemas.openxmlformats.org/officeDocument/2006/relationships/hyperlink" Target="http://career.lndo.site/noc_image/2123-NOC-profile.png" TargetMode="External"/><Relationship Id="rId231" Type="http://schemas.openxmlformats.org/officeDocument/2006/relationships/hyperlink" Target="http://career.lndo.site/noc_image/4312-NOC-profile.png" TargetMode="External"/><Relationship Id="rId352" Type="http://schemas.openxmlformats.org/officeDocument/2006/relationships/hyperlink" Target="http://career.lndo.site/noc_image/7283-NOC-profile.png" TargetMode="External"/><Relationship Id="rId473" Type="http://schemas.openxmlformats.org/officeDocument/2006/relationships/hyperlink" Target="http://career.lndo.site/noc_image/9465-NOC-profile.png" TargetMode="External"/><Relationship Id="rId230" Type="http://schemas.openxmlformats.org/officeDocument/2006/relationships/hyperlink" Target="http://career.lndo.site/noc_image/4311-NOC-profile.png" TargetMode="External"/><Relationship Id="rId351" Type="http://schemas.openxmlformats.org/officeDocument/2006/relationships/hyperlink" Target="http://career.lndo.site/noc_image/7282-NOC-profile.png" TargetMode="External"/><Relationship Id="rId472" Type="http://schemas.openxmlformats.org/officeDocument/2006/relationships/hyperlink" Target="http://career.lndo.site/noc_image/9463-NOC-profile.png" TargetMode="External"/><Relationship Id="rId350" Type="http://schemas.openxmlformats.org/officeDocument/2006/relationships/hyperlink" Target="http://career.lndo.site/noc_image/7281-NOC-profile.png" TargetMode="External"/><Relationship Id="rId471" Type="http://schemas.openxmlformats.org/officeDocument/2006/relationships/hyperlink" Target="http://career.lndo.site/noc_image/9462-NOC-profile.png" TargetMode="External"/><Relationship Id="rId470" Type="http://schemas.openxmlformats.org/officeDocument/2006/relationships/hyperlink" Target="http://career.lndo.site/noc_image/9461-NOC-profile.png" TargetMode="External"/><Relationship Id="rId114" Type="http://schemas.openxmlformats.org/officeDocument/2006/relationships/hyperlink" Target="http://career.lndo.site/noc_image/2134-NOC-profile.png" TargetMode="External"/><Relationship Id="rId235" Type="http://schemas.openxmlformats.org/officeDocument/2006/relationships/hyperlink" Target="http://career.lndo.site/noc_image/4413-NOC-profile.png" TargetMode="External"/><Relationship Id="rId356" Type="http://schemas.openxmlformats.org/officeDocument/2006/relationships/hyperlink" Target="http://career.lndo.site/noc_image/7293-NOC-profile.png" TargetMode="External"/><Relationship Id="rId477" Type="http://schemas.openxmlformats.org/officeDocument/2006/relationships/hyperlink" Target="http://career.lndo.site/noc_image/9474-NOC-profile.png" TargetMode="External"/><Relationship Id="rId113" Type="http://schemas.openxmlformats.org/officeDocument/2006/relationships/hyperlink" Target="http://career.lndo.site/noc_image/2133-NOC-profile.png" TargetMode="External"/><Relationship Id="rId234" Type="http://schemas.openxmlformats.org/officeDocument/2006/relationships/hyperlink" Target="http://career.lndo.site/noc_image/4412-NOC-profile.png" TargetMode="External"/><Relationship Id="rId355" Type="http://schemas.openxmlformats.org/officeDocument/2006/relationships/hyperlink" Target="http://career.lndo.site/noc_image/7292-NOC-profile.png" TargetMode="External"/><Relationship Id="rId476" Type="http://schemas.openxmlformats.org/officeDocument/2006/relationships/hyperlink" Target="http://career.lndo.site/noc_image/9473-NOC-profile.png" TargetMode="External"/><Relationship Id="rId112" Type="http://schemas.openxmlformats.org/officeDocument/2006/relationships/hyperlink" Target="http://career.lndo.site/noc_image/2132-NOC-profile.png" TargetMode="External"/><Relationship Id="rId233" Type="http://schemas.openxmlformats.org/officeDocument/2006/relationships/hyperlink" Target="http://career.lndo.site/noc_image/4411-NOC-profile.png" TargetMode="External"/><Relationship Id="rId354" Type="http://schemas.openxmlformats.org/officeDocument/2006/relationships/hyperlink" Target="http://career.lndo.site/noc_image/7291-NOC-profile.png" TargetMode="External"/><Relationship Id="rId475" Type="http://schemas.openxmlformats.org/officeDocument/2006/relationships/hyperlink" Target="http://career.lndo.site/noc_image/9472-NOC-profile.png" TargetMode="External"/><Relationship Id="rId111" Type="http://schemas.openxmlformats.org/officeDocument/2006/relationships/hyperlink" Target="http://career.lndo.site/noc_image/2131-NOC-profile.png" TargetMode="External"/><Relationship Id="rId232" Type="http://schemas.openxmlformats.org/officeDocument/2006/relationships/hyperlink" Target="http://career.lndo.site/noc_image/4313-NOC-profile.png" TargetMode="External"/><Relationship Id="rId353" Type="http://schemas.openxmlformats.org/officeDocument/2006/relationships/hyperlink" Target="http://career.lndo.site/noc_image/7284-NOC-profile.png" TargetMode="External"/><Relationship Id="rId474" Type="http://schemas.openxmlformats.org/officeDocument/2006/relationships/hyperlink" Target="http://career.lndo.site/noc_image/9471-NOC-profile.png" TargetMode="External"/><Relationship Id="rId305" Type="http://schemas.openxmlformats.org/officeDocument/2006/relationships/hyperlink" Target="http://career.lndo.site/noc_image/6532-NOC-profile.png" TargetMode="External"/><Relationship Id="rId426" Type="http://schemas.openxmlformats.org/officeDocument/2006/relationships/hyperlink" Target="http://career.lndo.site/noc_image/8613-NOC-profile.png" TargetMode="External"/><Relationship Id="rId304" Type="http://schemas.openxmlformats.org/officeDocument/2006/relationships/hyperlink" Target="http://career.lndo.site/noc_image/6531-NOC-profile.png" TargetMode="External"/><Relationship Id="rId425" Type="http://schemas.openxmlformats.org/officeDocument/2006/relationships/hyperlink" Target="http://career.lndo.site/noc_image/8612-NOC-profile.png" TargetMode="External"/><Relationship Id="rId303" Type="http://schemas.openxmlformats.org/officeDocument/2006/relationships/hyperlink" Target="http://career.lndo.site/noc_image/6525-NOC-profile.png" TargetMode="External"/><Relationship Id="rId424" Type="http://schemas.openxmlformats.org/officeDocument/2006/relationships/hyperlink" Target="http://career.lndo.site/noc_image/8611-NOC-profile.png" TargetMode="External"/><Relationship Id="rId302" Type="http://schemas.openxmlformats.org/officeDocument/2006/relationships/hyperlink" Target="http://career.lndo.site/noc_image/6524-NOC-profile.png" TargetMode="External"/><Relationship Id="rId423" Type="http://schemas.openxmlformats.org/officeDocument/2006/relationships/hyperlink" Target="http://career.lndo.site/noc_image/8442-NOC-profile.png" TargetMode="External"/><Relationship Id="rId309" Type="http://schemas.openxmlformats.org/officeDocument/2006/relationships/hyperlink" Target="http://career.lndo.site/noc_image/6552-NOC-profile.png" TargetMode="External"/><Relationship Id="rId308" Type="http://schemas.openxmlformats.org/officeDocument/2006/relationships/hyperlink" Target="http://career.lndo.site/noc_image/6551-NOC-profile.png" TargetMode="External"/><Relationship Id="rId429" Type="http://schemas.openxmlformats.org/officeDocument/2006/relationships/hyperlink" Target="http://career.lndo.site/noc_image/8616-NOC-profile.png" TargetMode="External"/><Relationship Id="rId307" Type="http://schemas.openxmlformats.org/officeDocument/2006/relationships/hyperlink" Target="http://career.lndo.site/noc_image/6541-NOC-profile.png" TargetMode="External"/><Relationship Id="rId428" Type="http://schemas.openxmlformats.org/officeDocument/2006/relationships/hyperlink" Target="http://career.lndo.site/noc_image/8615-NOC-profile.png" TargetMode="External"/><Relationship Id="rId306" Type="http://schemas.openxmlformats.org/officeDocument/2006/relationships/hyperlink" Target="http://career.lndo.site/noc_image/6533-NOC-profile.png" TargetMode="External"/><Relationship Id="rId427" Type="http://schemas.openxmlformats.org/officeDocument/2006/relationships/hyperlink" Target="http://career.lndo.site/noc_image/8614-NOC-profile.png" TargetMode="External"/><Relationship Id="rId301" Type="http://schemas.openxmlformats.org/officeDocument/2006/relationships/hyperlink" Target="http://career.lndo.site/noc_image/6523-NOC-profile.png" TargetMode="External"/><Relationship Id="rId422" Type="http://schemas.openxmlformats.org/officeDocument/2006/relationships/hyperlink" Target="http://career.lndo.site/noc_image/8441-NOC-profile.png" TargetMode="External"/><Relationship Id="rId300" Type="http://schemas.openxmlformats.org/officeDocument/2006/relationships/hyperlink" Target="http://career.lndo.site/noc_image/6522-NOC-profile.png" TargetMode="External"/><Relationship Id="rId421" Type="http://schemas.openxmlformats.org/officeDocument/2006/relationships/hyperlink" Target="http://career.lndo.site/noc_image/8432-NOC-profile.png" TargetMode="External"/><Relationship Id="rId420" Type="http://schemas.openxmlformats.org/officeDocument/2006/relationships/hyperlink" Target="http://career.lndo.site/noc_image/8431-NOC-profile.png" TargetMode="External"/><Relationship Id="rId415" Type="http://schemas.openxmlformats.org/officeDocument/2006/relationships/hyperlink" Target="http://career.lndo.site/noc_image/8262-NOC-profile.png" TargetMode="External"/><Relationship Id="rId414" Type="http://schemas.openxmlformats.org/officeDocument/2006/relationships/hyperlink" Target="http://career.lndo.site/noc_image/8261-NOC-profile.png" TargetMode="External"/><Relationship Id="rId413" Type="http://schemas.openxmlformats.org/officeDocument/2006/relationships/hyperlink" Target="http://career.lndo.site/noc_image/8255-NOC-profile.png" TargetMode="External"/><Relationship Id="rId412" Type="http://schemas.openxmlformats.org/officeDocument/2006/relationships/hyperlink" Target="http://career.lndo.site/noc_image/8252-NOC-profile.png" TargetMode="External"/><Relationship Id="rId419" Type="http://schemas.openxmlformats.org/officeDocument/2006/relationships/hyperlink" Target="http://career.lndo.site/noc_image/8422-NOC-profile.png" TargetMode="External"/><Relationship Id="rId418" Type="http://schemas.openxmlformats.org/officeDocument/2006/relationships/hyperlink" Target="http://career.lndo.site/noc_image/8421-NOC-profile.png" TargetMode="External"/><Relationship Id="rId417" Type="http://schemas.openxmlformats.org/officeDocument/2006/relationships/hyperlink" Target="http://career.lndo.site/noc_image/8412-NOC-profile.png" TargetMode="External"/><Relationship Id="rId416" Type="http://schemas.openxmlformats.org/officeDocument/2006/relationships/hyperlink" Target="http://career.lndo.site/noc_image/8411-NOC-profile.png" TargetMode="External"/><Relationship Id="rId411" Type="http://schemas.openxmlformats.org/officeDocument/2006/relationships/hyperlink" Target="http://career.lndo.site/noc_image/8241-NOC-profile.png" TargetMode="External"/><Relationship Id="rId410" Type="http://schemas.openxmlformats.org/officeDocument/2006/relationships/hyperlink" Target="http://career.lndo.site/noc_image/8232-NOC-profile.png" TargetMode="External"/><Relationship Id="rId206" Type="http://schemas.openxmlformats.org/officeDocument/2006/relationships/hyperlink" Target="http://career.lndo.site/noc_image/4033-NOC-profile.png" TargetMode="External"/><Relationship Id="rId327" Type="http://schemas.openxmlformats.org/officeDocument/2006/relationships/hyperlink" Target="http://career.lndo.site/noc_image/7202-NOC-profile.png" TargetMode="External"/><Relationship Id="rId448" Type="http://schemas.openxmlformats.org/officeDocument/2006/relationships/hyperlink" Target="http://career.lndo.site/noc_image/9412-NOC-profile.png" TargetMode="External"/><Relationship Id="rId205" Type="http://schemas.openxmlformats.org/officeDocument/2006/relationships/hyperlink" Target="http://career.lndo.site/noc_image/4032-NOC-profile.png" TargetMode="External"/><Relationship Id="rId326" Type="http://schemas.openxmlformats.org/officeDocument/2006/relationships/hyperlink" Target="http://career.lndo.site/noc_image/7201-NOC-profile.png" TargetMode="External"/><Relationship Id="rId447" Type="http://schemas.openxmlformats.org/officeDocument/2006/relationships/hyperlink" Target="http://career.lndo.site/noc_image/9411-NOC-profile.png" TargetMode="External"/><Relationship Id="rId204" Type="http://schemas.openxmlformats.org/officeDocument/2006/relationships/hyperlink" Target="http://career.lndo.site/noc_image/4031-NOC-profile.png" TargetMode="External"/><Relationship Id="rId325" Type="http://schemas.openxmlformats.org/officeDocument/2006/relationships/hyperlink" Target="http://career.lndo.site/noc_image/6742-NOC-profile.png" TargetMode="External"/><Relationship Id="rId446" Type="http://schemas.openxmlformats.org/officeDocument/2006/relationships/hyperlink" Target="http://career.lndo.site/noc_image/9243-NOC-profile.png" TargetMode="External"/><Relationship Id="rId203" Type="http://schemas.openxmlformats.org/officeDocument/2006/relationships/hyperlink" Target="http://career.lndo.site/noc_image/4021-NOC-profile.png" TargetMode="External"/><Relationship Id="rId324" Type="http://schemas.openxmlformats.org/officeDocument/2006/relationships/hyperlink" Target="http://career.lndo.site/noc_image/6741-NOC-profile.png" TargetMode="External"/><Relationship Id="rId445" Type="http://schemas.openxmlformats.org/officeDocument/2006/relationships/hyperlink" Target="http://career.lndo.site/noc_image/9241-NOC-profile.png" TargetMode="External"/><Relationship Id="rId209" Type="http://schemas.openxmlformats.org/officeDocument/2006/relationships/hyperlink" Target="http://career.lndo.site/noc_image/4151-NOC-profile.png" TargetMode="External"/><Relationship Id="rId208" Type="http://schemas.openxmlformats.org/officeDocument/2006/relationships/hyperlink" Target="http://career.lndo.site/noc_image/4112-NOC-profile.png" TargetMode="External"/><Relationship Id="rId329" Type="http://schemas.openxmlformats.org/officeDocument/2006/relationships/hyperlink" Target="http://career.lndo.site/noc_image/7204-NOC-profile.png" TargetMode="External"/><Relationship Id="rId207" Type="http://schemas.openxmlformats.org/officeDocument/2006/relationships/hyperlink" Target="http://career.lndo.site/noc_image/4111-NOC-profile.png" TargetMode="External"/><Relationship Id="rId328" Type="http://schemas.openxmlformats.org/officeDocument/2006/relationships/hyperlink" Target="http://career.lndo.site/noc_image/7203-NOC-profile.png" TargetMode="External"/><Relationship Id="rId449" Type="http://schemas.openxmlformats.org/officeDocument/2006/relationships/hyperlink" Target="http://career.lndo.site/noc_image/9413-NOC-profile.png" TargetMode="External"/><Relationship Id="rId440" Type="http://schemas.openxmlformats.org/officeDocument/2006/relationships/hyperlink" Target="http://career.lndo.site/noc_image/9226-NOC-profile.png" TargetMode="External"/><Relationship Id="rId202" Type="http://schemas.openxmlformats.org/officeDocument/2006/relationships/hyperlink" Target="http://career.lndo.site/noc_image/4012-NOC-profile.png" TargetMode="External"/><Relationship Id="rId323" Type="http://schemas.openxmlformats.org/officeDocument/2006/relationships/hyperlink" Target="http://career.lndo.site/noc_image/6733-NOC-profile.png" TargetMode="External"/><Relationship Id="rId444" Type="http://schemas.openxmlformats.org/officeDocument/2006/relationships/hyperlink" Target="http://career.lndo.site/noc_image/9235-NOC-profile.png" TargetMode="External"/><Relationship Id="rId201" Type="http://schemas.openxmlformats.org/officeDocument/2006/relationships/hyperlink" Target="http://career.lndo.site/noc_image/4011-NOC-profile.png" TargetMode="External"/><Relationship Id="rId322" Type="http://schemas.openxmlformats.org/officeDocument/2006/relationships/hyperlink" Target="http://career.lndo.site/noc_image/6732-NOC-profile.png" TargetMode="External"/><Relationship Id="rId443" Type="http://schemas.openxmlformats.org/officeDocument/2006/relationships/hyperlink" Target="http://career.lndo.site/noc_image/9232-NOC-profile.png" TargetMode="External"/><Relationship Id="rId200" Type="http://schemas.openxmlformats.org/officeDocument/2006/relationships/hyperlink" Target="http://career.lndo.site/noc_image/3414-NOC-profile.png" TargetMode="External"/><Relationship Id="rId321" Type="http://schemas.openxmlformats.org/officeDocument/2006/relationships/hyperlink" Target="http://career.lndo.site/noc_image/6731-NOC-profile.png" TargetMode="External"/><Relationship Id="rId442" Type="http://schemas.openxmlformats.org/officeDocument/2006/relationships/hyperlink" Target="http://career.lndo.site/noc_image/9231-NOC-profile.png" TargetMode="External"/><Relationship Id="rId320" Type="http://schemas.openxmlformats.org/officeDocument/2006/relationships/hyperlink" Target="http://career.lndo.site/noc_image/6722-NOC-profile.png" TargetMode="External"/><Relationship Id="rId441" Type="http://schemas.openxmlformats.org/officeDocument/2006/relationships/hyperlink" Target="http://career.lndo.site/noc_image/9227-NOC-profile.png" TargetMode="External"/><Relationship Id="rId316" Type="http://schemas.openxmlformats.org/officeDocument/2006/relationships/hyperlink" Target="http://career.lndo.site/noc_image/6622-NOC-profile.png" TargetMode="External"/><Relationship Id="rId437" Type="http://schemas.openxmlformats.org/officeDocument/2006/relationships/hyperlink" Target="http://career.lndo.site/noc_image/9222-NOC-profile.png" TargetMode="External"/><Relationship Id="rId315" Type="http://schemas.openxmlformats.org/officeDocument/2006/relationships/hyperlink" Target="http://career.lndo.site/noc_image/6621-NOC-profile.png" TargetMode="External"/><Relationship Id="rId436" Type="http://schemas.openxmlformats.org/officeDocument/2006/relationships/hyperlink" Target="http://career.lndo.site/noc_image/9221-NOC-profile.png" TargetMode="External"/><Relationship Id="rId314" Type="http://schemas.openxmlformats.org/officeDocument/2006/relationships/hyperlink" Target="http://career.lndo.site/noc_image/6611-NOC-profile.png" TargetMode="External"/><Relationship Id="rId435" Type="http://schemas.openxmlformats.org/officeDocument/2006/relationships/hyperlink" Target="http://career.lndo.site/noc_image/9217-NOC-profile.png" TargetMode="External"/><Relationship Id="rId313" Type="http://schemas.openxmlformats.org/officeDocument/2006/relationships/hyperlink" Target="http://career.lndo.site/noc_image/6564-NOC-profile.png" TargetMode="External"/><Relationship Id="rId434" Type="http://schemas.openxmlformats.org/officeDocument/2006/relationships/hyperlink" Target="http://career.lndo.site/noc_image/9215-NOC-profile.png" TargetMode="External"/><Relationship Id="rId319" Type="http://schemas.openxmlformats.org/officeDocument/2006/relationships/hyperlink" Target="http://career.lndo.site/noc_image/6721-NOC-profile.png" TargetMode="External"/><Relationship Id="rId318" Type="http://schemas.openxmlformats.org/officeDocument/2006/relationships/hyperlink" Target="http://career.lndo.site/noc_image/6711-NOC-profile.png" TargetMode="External"/><Relationship Id="rId439" Type="http://schemas.openxmlformats.org/officeDocument/2006/relationships/hyperlink" Target="http://career.lndo.site/noc_image/9224-NOC-profile.png" TargetMode="External"/><Relationship Id="rId317" Type="http://schemas.openxmlformats.org/officeDocument/2006/relationships/hyperlink" Target="http://career.lndo.site/noc_image/6623-NOC-profile.png" TargetMode="External"/><Relationship Id="rId438" Type="http://schemas.openxmlformats.org/officeDocument/2006/relationships/hyperlink" Target="http://career.lndo.site/noc_image/9223-NOC-profile.png" TargetMode="External"/><Relationship Id="rId312" Type="http://schemas.openxmlformats.org/officeDocument/2006/relationships/hyperlink" Target="http://career.lndo.site/noc_image/6563-NOC-profile.png" TargetMode="External"/><Relationship Id="rId433" Type="http://schemas.openxmlformats.org/officeDocument/2006/relationships/hyperlink" Target="http://career.lndo.site/noc_image/9214-NOC-profile.png" TargetMode="External"/><Relationship Id="rId311" Type="http://schemas.openxmlformats.org/officeDocument/2006/relationships/hyperlink" Target="http://career.lndo.site/noc_image/6562-NOC-profile.png" TargetMode="External"/><Relationship Id="rId432" Type="http://schemas.openxmlformats.org/officeDocument/2006/relationships/hyperlink" Target="http://career.lndo.site/noc_image/9213-NOC-profile.png" TargetMode="External"/><Relationship Id="rId310" Type="http://schemas.openxmlformats.org/officeDocument/2006/relationships/hyperlink" Target="http://career.lndo.site/noc_image/6561-NOC-profile.png" TargetMode="External"/><Relationship Id="rId431" Type="http://schemas.openxmlformats.org/officeDocument/2006/relationships/hyperlink" Target="http://career.lndo.site/noc_image/9212-NOC-profile.png" TargetMode="External"/><Relationship Id="rId430" Type="http://schemas.openxmlformats.org/officeDocument/2006/relationships/hyperlink" Target="http://career.lndo.site/noc_image/9211-NOC-profile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mYvJh3HnAjB8BiukAgo29nfzEG8XhCR/view?usp=sharing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2.0"/>
    <col customWidth="1" min="3" max="3" width="3.5"/>
    <col customWidth="1" min="4" max="4" width="22.0"/>
    <col customWidth="1" min="5" max="5" width="69.0"/>
    <col customWidth="1" min="6" max="6" width="8.75"/>
    <col customWidth="1" min="7" max="7" width="4.5"/>
    <col customWidth="1" min="8" max="8" width="11.63"/>
    <col customWidth="1" min="9" max="9" width="6.75"/>
    <col customWidth="1" min="10" max="10" width="10.38"/>
    <col customWidth="1" min="11" max="11" width="1.38"/>
    <col customWidth="1" min="12" max="12" width="4.38"/>
    <col customWidth="1" min="13" max="13" width="5.38"/>
    <col customWidth="1" min="14" max="14" width="2.88"/>
    <col customWidth="1" min="15" max="15" width="4.75"/>
    <col customWidth="1" min="16" max="16" width="22.63"/>
    <col customWidth="1" min="17" max="17" width="12.75"/>
    <col customWidth="1" min="18" max="18" width="7.0"/>
    <col customWidth="1" min="19" max="19" width="4.25"/>
    <col customWidth="1" min="20" max="20" width="4.13"/>
    <col customWidth="1" min="21" max="21" width="9.63"/>
    <col customWidth="1" min="22" max="22" width="2.38"/>
    <col customWidth="1" min="23" max="24" width="2.25"/>
    <col customWidth="1" min="25" max="25" width="6.63"/>
    <col customWidth="1" min="26" max="26" width="2.88"/>
    <col customWidth="1" min="27" max="27" width="7.13"/>
    <col customWidth="1" min="28" max="28" width="14.13"/>
  </cols>
  <sheetData>
    <row r="1" ht="15.75" customHeight="1">
      <c r="A1" s="1" t="s">
        <v>0</v>
      </c>
      <c r="B1" s="2"/>
      <c r="C1" s="2"/>
      <c r="D1" s="2"/>
      <c r="E1" s="2"/>
      <c r="F1" s="1">
        <v>4.0</v>
      </c>
      <c r="G1" s="1">
        <v>3.0</v>
      </c>
      <c r="H1" s="1">
        <v>2.0</v>
      </c>
      <c r="I1" s="1">
        <v>1.0</v>
      </c>
      <c r="J1" s="1">
        <v>0.0</v>
      </c>
      <c r="K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2"/>
      <c r="AC1" s="2"/>
      <c r="AD1" s="2"/>
      <c r="AE1" s="2"/>
      <c r="AF1" s="2"/>
      <c r="AG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  <c r="AB2" s="2"/>
      <c r="AC2" s="2"/>
      <c r="AD2" s="2"/>
      <c r="AE2" s="2"/>
      <c r="AF2" s="2"/>
      <c r="AG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  <c r="AB3" s="2"/>
      <c r="AC3" s="2"/>
      <c r="AD3" s="2"/>
      <c r="AE3" s="2"/>
      <c r="AF3" s="2"/>
      <c r="AG3" s="2"/>
    </row>
    <row r="4" ht="15.75" customHeight="1">
      <c r="A4" s="4"/>
      <c r="B4" s="4"/>
      <c r="C4" s="5" t="s">
        <v>1</v>
      </c>
      <c r="D4" s="5" t="s">
        <v>2</v>
      </c>
      <c r="E4" s="5" t="s">
        <v>3</v>
      </c>
      <c r="F4" s="6" t="s">
        <v>4</v>
      </c>
      <c r="G4" s="7" t="s">
        <v>5</v>
      </c>
      <c r="H4" s="7" t="s">
        <v>6</v>
      </c>
      <c r="I4" s="7" t="s">
        <v>7</v>
      </c>
      <c r="J4" s="8" t="s">
        <v>8</v>
      </c>
      <c r="K4" s="7"/>
      <c r="L4" s="7" t="s">
        <v>9</v>
      </c>
      <c r="M4" s="7" t="s">
        <v>10</v>
      </c>
      <c r="N4" s="3"/>
      <c r="O4" s="3"/>
      <c r="P4" s="9" t="s">
        <v>11</v>
      </c>
      <c r="Q4" s="9" t="s">
        <v>12</v>
      </c>
      <c r="R4" s="9" t="s">
        <v>13</v>
      </c>
      <c r="S4" s="9" t="s">
        <v>14</v>
      </c>
      <c r="T4" s="9" t="s">
        <v>15</v>
      </c>
      <c r="U4" s="3" t="s">
        <v>16</v>
      </c>
      <c r="V4" s="4"/>
      <c r="Y4" s="10" t="s">
        <v>17</v>
      </c>
      <c r="Z4" s="3"/>
      <c r="AA4" s="3"/>
      <c r="AB4" s="3"/>
      <c r="AC4" s="3"/>
      <c r="AD4" s="3"/>
      <c r="AE4" s="3"/>
      <c r="AF4" s="3"/>
      <c r="AG4" s="3"/>
    </row>
    <row r="5" ht="15.75" customHeight="1">
      <c r="A5" s="2"/>
      <c r="B5" s="1"/>
      <c r="C5" s="11">
        <v>1.0</v>
      </c>
      <c r="D5" s="12" t="s">
        <v>18</v>
      </c>
      <c r="E5" s="13" t="s">
        <v>19</v>
      </c>
      <c r="F5" s="14">
        <v>1.0</v>
      </c>
      <c r="G5" s="15"/>
      <c r="H5" s="15"/>
      <c r="I5" s="16"/>
      <c r="J5" s="15"/>
      <c r="K5" s="2"/>
      <c r="L5" s="2">
        <f t="shared" ref="L5:L43" si="1">sum(F5:J5)</f>
        <v>1</v>
      </c>
      <c r="M5" s="2">
        <f t="shared" ref="M5:M43" si="2">F$1*F5+G$1*G5+H$1*H5+I$1*I5+J$1*J5</f>
        <v>4</v>
      </c>
      <c r="N5" s="2"/>
      <c r="O5" s="1" t="s">
        <v>20</v>
      </c>
      <c r="P5" s="17" t="str">
        <f>Masters!B6</f>
        <v>General learning ability</v>
      </c>
      <c r="Q5" s="18">
        <f t="shared" ref="Q5:Q13" si="3">sumifs(M$5:M$43,D$5:D$43,P5)</f>
        <v>9</v>
      </c>
      <c r="R5" s="18">
        <f t="shared" ref="R5:R13" si="4">countif(D$5:D$43,P5)</f>
        <v>5</v>
      </c>
      <c r="S5" s="18">
        <f t="shared" ref="S5:S13" si="5">Q5/R5</f>
        <v>1.8</v>
      </c>
      <c r="T5" s="19">
        <f t="shared" ref="T5:T13" si="6">Q5/(R5*4)</f>
        <v>0.45</v>
      </c>
      <c r="U5" s="2">
        <f t="shared" ref="U5:U13" si="7">FLOOR(T5*4,1)+1</f>
        <v>2</v>
      </c>
      <c r="V5" s="1"/>
      <c r="Y5" s="20">
        <f t="shared" ref="Y5:Y13" si="8">round(T5*4,0)+1</f>
        <v>3</v>
      </c>
      <c r="Z5" s="1">
        <v>1.0</v>
      </c>
      <c r="AA5" s="3"/>
      <c r="AB5" s="2"/>
      <c r="AC5" s="2"/>
      <c r="AD5" s="2"/>
      <c r="AE5" s="2"/>
      <c r="AF5" s="2"/>
      <c r="AG5" s="2"/>
    </row>
    <row r="6" ht="15.75" customHeight="1">
      <c r="A6" s="1"/>
      <c r="B6" s="1"/>
      <c r="C6" s="11">
        <v>2.0</v>
      </c>
      <c r="D6" s="12" t="s">
        <v>21</v>
      </c>
      <c r="E6" s="21" t="s">
        <v>22</v>
      </c>
      <c r="F6" s="14"/>
      <c r="G6" s="15">
        <v>1.0</v>
      </c>
      <c r="H6" s="15"/>
      <c r="I6" s="16"/>
      <c r="J6" s="15"/>
      <c r="K6" s="2"/>
      <c r="L6" s="2">
        <f t="shared" si="1"/>
        <v>1</v>
      </c>
      <c r="M6" s="2">
        <f t="shared" si="2"/>
        <v>3</v>
      </c>
      <c r="N6" s="2"/>
      <c r="O6" s="1" t="s">
        <v>23</v>
      </c>
      <c r="P6" s="17" t="str">
        <f>Masters!B7</f>
        <v>Verbal ability</v>
      </c>
      <c r="Q6" s="18">
        <f t="shared" si="3"/>
        <v>8</v>
      </c>
      <c r="R6" s="18">
        <f t="shared" si="4"/>
        <v>4</v>
      </c>
      <c r="S6" s="18">
        <f t="shared" si="5"/>
        <v>2</v>
      </c>
      <c r="T6" s="19">
        <f t="shared" si="6"/>
        <v>0.5</v>
      </c>
      <c r="U6" s="2">
        <f t="shared" si="7"/>
        <v>3</v>
      </c>
      <c r="V6" s="1"/>
      <c r="Y6" s="20">
        <f t="shared" si="8"/>
        <v>3</v>
      </c>
      <c r="Z6" s="1">
        <v>2.0</v>
      </c>
      <c r="AA6" s="3"/>
      <c r="AB6" s="2"/>
      <c r="AC6" s="2"/>
      <c r="AD6" s="2"/>
      <c r="AE6" s="2"/>
      <c r="AF6" s="2"/>
      <c r="AG6" s="2"/>
    </row>
    <row r="7" ht="15.75" customHeight="1">
      <c r="A7" s="2"/>
      <c r="B7" s="1"/>
      <c r="C7" s="11">
        <v>3.0</v>
      </c>
      <c r="D7" s="12" t="s">
        <v>24</v>
      </c>
      <c r="E7" s="21" t="s">
        <v>25</v>
      </c>
      <c r="F7" s="14"/>
      <c r="G7" s="15"/>
      <c r="H7" s="15">
        <v>1.0</v>
      </c>
      <c r="I7" s="15"/>
      <c r="J7" s="15"/>
      <c r="K7" s="2"/>
      <c r="L7" s="2">
        <f t="shared" si="1"/>
        <v>1</v>
      </c>
      <c r="M7" s="2">
        <f t="shared" si="2"/>
        <v>2</v>
      </c>
      <c r="N7" s="2"/>
      <c r="O7" s="1" t="s">
        <v>26</v>
      </c>
      <c r="P7" s="17" t="str">
        <f>Masters!B8</f>
        <v>Numerical ability</v>
      </c>
      <c r="Q7" s="18">
        <f t="shared" si="3"/>
        <v>13</v>
      </c>
      <c r="R7" s="18">
        <f t="shared" si="4"/>
        <v>5</v>
      </c>
      <c r="S7" s="18">
        <f t="shared" si="5"/>
        <v>2.6</v>
      </c>
      <c r="T7" s="19">
        <f t="shared" si="6"/>
        <v>0.65</v>
      </c>
      <c r="U7" s="2">
        <f t="shared" si="7"/>
        <v>3</v>
      </c>
      <c r="V7" s="1"/>
      <c r="Y7" s="20">
        <f t="shared" si="8"/>
        <v>4</v>
      </c>
      <c r="Z7" s="1">
        <v>3.0</v>
      </c>
      <c r="AA7" s="3"/>
      <c r="AB7" s="2"/>
      <c r="AC7" s="2"/>
      <c r="AD7" s="2"/>
      <c r="AE7" s="2"/>
      <c r="AF7" s="2"/>
      <c r="AG7" s="2"/>
    </row>
    <row r="8" ht="15.75" customHeight="1">
      <c r="A8" s="1"/>
      <c r="B8" s="1"/>
      <c r="C8" s="11">
        <v>4.0</v>
      </c>
      <c r="D8" s="12" t="s">
        <v>27</v>
      </c>
      <c r="E8" s="21" t="s">
        <v>28</v>
      </c>
      <c r="F8" s="14"/>
      <c r="G8" s="15"/>
      <c r="H8" s="15"/>
      <c r="I8" s="15">
        <v>1.0</v>
      </c>
      <c r="J8" s="15"/>
      <c r="K8" s="2"/>
      <c r="L8" s="2">
        <f t="shared" si="1"/>
        <v>1</v>
      </c>
      <c r="M8" s="2">
        <f t="shared" si="2"/>
        <v>1</v>
      </c>
      <c r="N8" s="2"/>
      <c r="O8" s="1" t="s">
        <v>29</v>
      </c>
      <c r="P8" s="17" t="str">
        <f>Masters!B9</f>
        <v>Spatial perception</v>
      </c>
      <c r="Q8" s="18">
        <f t="shared" si="3"/>
        <v>8</v>
      </c>
      <c r="R8" s="18">
        <f t="shared" si="4"/>
        <v>4</v>
      </c>
      <c r="S8" s="18">
        <f t="shared" si="5"/>
        <v>2</v>
      </c>
      <c r="T8" s="19">
        <f t="shared" si="6"/>
        <v>0.5</v>
      </c>
      <c r="U8" s="2">
        <f t="shared" si="7"/>
        <v>3</v>
      </c>
      <c r="V8" s="1"/>
      <c r="Y8" s="20">
        <f t="shared" si="8"/>
        <v>3</v>
      </c>
      <c r="Z8" s="1">
        <v>4.0</v>
      </c>
      <c r="AA8" s="3"/>
      <c r="AB8" s="2"/>
      <c r="AC8" s="2"/>
      <c r="AD8" s="2"/>
      <c r="AE8" s="2"/>
      <c r="AF8" s="2"/>
      <c r="AG8" s="2"/>
    </row>
    <row r="9" ht="15.75" customHeight="1">
      <c r="A9" s="2"/>
      <c r="B9" s="1"/>
      <c r="C9" s="11">
        <v>5.0</v>
      </c>
      <c r="D9" s="12" t="s">
        <v>30</v>
      </c>
      <c r="E9" s="21" t="s">
        <v>31</v>
      </c>
      <c r="F9" s="14"/>
      <c r="G9" s="15"/>
      <c r="H9" s="15"/>
      <c r="I9" s="16"/>
      <c r="J9" s="15">
        <v>1.0</v>
      </c>
      <c r="K9" s="2"/>
      <c r="L9" s="2">
        <f t="shared" si="1"/>
        <v>1</v>
      </c>
      <c r="M9" s="2">
        <f t="shared" si="2"/>
        <v>0</v>
      </c>
      <c r="N9" s="2"/>
      <c r="O9" s="1" t="s">
        <v>32</v>
      </c>
      <c r="P9" s="17" t="str">
        <f>Masters!B10</f>
        <v>Form perception</v>
      </c>
      <c r="Q9" s="18">
        <f t="shared" si="3"/>
        <v>12</v>
      </c>
      <c r="R9" s="18">
        <f t="shared" si="4"/>
        <v>4</v>
      </c>
      <c r="S9" s="18">
        <f t="shared" si="5"/>
        <v>3</v>
      </c>
      <c r="T9" s="19">
        <f t="shared" si="6"/>
        <v>0.75</v>
      </c>
      <c r="U9" s="2">
        <f t="shared" si="7"/>
        <v>4</v>
      </c>
      <c r="V9" s="1"/>
      <c r="Y9" s="20">
        <f t="shared" si="8"/>
        <v>4</v>
      </c>
      <c r="Z9" s="1">
        <v>5.0</v>
      </c>
      <c r="AA9" s="3"/>
      <c r="AB9" s="2"/>
      <c r="AC9" s="2"/>
      <c r="AD9" s="2"/>
      <c r="AE9" s="2"/>
      <c r="AF9" s="2"/>
      <c r="AG9" s="2"/>
    </row>
    <row r="10" ht="15.75" customHeight="1">
      <c r="A10" s="2"/>
      <c r="B10" s="1"/>
      <c r="C10" s="11">
        <v>6.0</v>
      </c>
      <c r="D10" s="12" t="s">
        <v>33</v>
      </c>
      <c r="E10" s="21" t="s">
        <v>34</v>
      </c>
      <c r="F10" s="14"/>
      <c r="G10" s="14"/>
      <c r="H10" s="15"/>
      <c r="I10" s="15"/>
      <c r="J10" s="15">
        <v>1.0</v>
      </c>
      <c r="K10" s="2"/>
      <c r="L10" s="2">
        <f t="shared" si="1"/>
        <v>1</v>
      </c>
      <c r="M10" s="2">
        <f t="shared" si="2"/>
        <v>0</v>
      </c>
      <c r="N10" s="2"/>
      <c r="O10" s="1" t="s">
        <v>35</v>
      </c>
      <c r="P10" s="17" t="str">
        <f>Masters!B11</f>
        <v>Clerical perception</v>
      </c>
      <c r="Q10" s="18">
        <f t="shared" si="3"/>
        <v>8</v>
      </c>
      <c r="R10" s="18">
        <f t="shared" si="4"/>
        <v>4</v>
      </c>
      <c r="S10" s="18">
        <f t="shared" si="5"/>
        <v>2</v>
      </c>
      <c r="T10" s="19">
        <f t="shared" si="6"/>
        <v>0.5</v>
      </c>
      <c r="U10" s="2">
        <f t="shared" si="7"/>
        <v>3</v>
      </c>
      <c r="V10" s="2"/>
      <c r="W10" s="2"/>
      <c r="X10" s="2"/>
      <c r="Y10" s="20">
        <f t="shared" si="8"/>
        <v>3</v>
      </c>
      <c r="Z10" s="1">
        <v>6.0</v>
      </c>
      <c r="AA10" s="3"/>
      <c r="AB10" s="2"/>
      <c r="AC10" s="2"/>
      <c r="AD10" s="2"/>
      <c r="AE10" s="2"/>
      <c r="AF10" s="2"/>
      <c r="AG10" s="2"/>
    </row>
    <row r="11" ht="15.75" customHeight="1">
      <c r="A11" s="1"/>
      <c r="B11" s="1"/>
      <c r="C11" s="11">
        <v>7.0</v>
      </c>
      <c r="D11" s="12" t="s">
        <v>36</v>
      </c>
      <c r="E11" s="21" t="s">
        <v>37</v>
      </c>
      <c r="F11" s="14"/>
      <c r="G11" s="14"/>
      <c r="H11" s="15"/>
      <c r="I11" s="15">
        <v>1.0</v>
      </c>
      <c r="J11" s="16"/>
      <c r="K11" s="2"/>
      <c r="L11" s="2">
        <f t="shared" si="1"/>
        <v>1</v>
      </c>
      <c r="M11" s="2">
        <f t="shared" si="2"/>
        <v>1</v>
      </c>
      <c r="N11" s="2"/>
      <c r="O11" s="1" t="s">
        <v>38</v>
      </c>
      <c r="P11" s="17" t="str">
        <f>Masters!B12</f>
        <v>Motor co-ordination</v>
      </c>
      <c r="Q11" s="18">
        <f t="shared" si="3"/>
        <v>8</v>
      </c>
      <c r="R11" s="18">
        <f t="shared" si="4"/>
        <v>4</v>
      </c>
      <c r="S11" s="18">
        <f t="shared" si="5"/>
        <v>2</v>
      </c>
      <c r="T11" s="19">
        <f t="shared" si="6"/>
        <v>0.5</v>
      </c>
      <c r="U11" s="2">
        <f t="shared" si="7"/>
        <v>3</v>
      </c>
      <c r="V11" s="2"/>
      <c r="W11" s="2"/>
      <c r="X11" s="2"/>
      <c r="Y11" s="20">
        <f t="shared" si="8"/>
        <v>3</v>
      </c>
      <c r="Z11" s="1">
        <v>7.0</v>
      </c>
      <c r="AA11" s="3"/>
      <c r="AB11" s="2"/>
      <c r="AC11" s="2"/>
      <c r="AD11" s="2"/>
      <c r="AE11" s="2"/>
      <c r="AF11" s="2"/>
      <c r="AG11" s="2"/>
    </row>
    <row r="12" ht="15.75" customHeight="1">
      <c r="A12" s="1"/>
      <c r="B12" s="1"/>
      <c r="C12" s="11">
        <v>8.0</v>
      </c>
      <c r="D12" s="12" t="s">
        <v>39</v>
      </c>
      <c r="E12" s="21" t="s">
        <v>40</v>
      </c>
      <c r="F12" s="14"/>
      <c r="G12" s="14"/>
      <c r="H12" s="15">
        <v>1.0</v>
      </c>
      <c r="I12" s="15"/>
      <c r="J12" s="16"/>
      <c r="K12" s="2"/>
      <c r="L12" s="2">
        <f t="shared" si="1"/>
        <v>1</v>
      </c>
      <c r="M12" s="2">
        <f t="shared" si="2"/>
        <v>2</v>
      </c>
      <c r="N12" s="2"/>
      <c r="O12" s="1" t="s">
        <v>41</v>
      </c>
      <c r="P12" s="17" t="str">
        <f>Masters!B13</f>
        <v>Finger dexterity</v>
      </c>
      <c r="Q12" s="18">
        <f t="shared" si="3"/>
        <v>10</v>
      </c>
      <c r="R12" s="18">
        <f t="shared" si="4"/>
        <v>5</v>
      </c>
      <c r="S12" s="18">
        <f t="shared" si="5"/>
        <v>2</v>
      </c>
      <c r="T12" s="19">
        <f t="shared" si="6"/>
        <v>0.5</v>
      </c>
      <c r="U12" s="2">
        <f t="shared" si="7"/>
        <v>3</v>
      </c>
      <c r="V12" s="2"/>
      <c r="W12" s="2"/>
      <c r="X12" s="2"/>
      <c r="Y12" s="20">
        <f t="shared" si="8"/>
        <v>3</v>
      </c>
      <c r="Z12" s="1">
        <v>8.0</v>
      </c>
      <c r="AA12" s="3"/>
      <c r="AB12" s="2"/>
      <c r="AC12" s="2"/>
      <c r="AD12" s="2"/>
      <c r="AE12" s="2"/>
      <c r="AF12" s="2"/>
      <c r="AG12" s="2"/>
    </row>
    <row r="13" ht="15.75" customHeight="1">
      <c r="A13" s="2"/>
      <c r="B13" s="1"/>
      <c r="C13" s="11">
        <v>9.0</v>
      </c>
      <c r="D13" s="12" t="s">
        <v>42</v>
      </c>
      <c r="E13" s="21" t="s">
        <v>43</v>
      </c>
      <c r="F13" s="14"/>
      <c r="G13" s="14">
        <v>1.0</v>
      </c>
      <c r="H13" s="15"/>
      <c r="I13" s="15"/>
      <c r="J13" s="15"/>
      <c r="K13" s="2"/>
      <c r="L13" s="2">
        <f t="shared" si="1"/>
        <v>1</v>
      </c>
      <c r="M13" s="2">
        <f t="shared" si="2"/>
        <v>3</v>
      </c>
      <c r="N13" s="2"/>
      <c r="O13" s="1" t="s">
        <v>44</v>
      </c>
      <c r="P13" s="17" t="str">
        <f>Masters!B14</f>
        <v>Manual dexterity</v>
      </c>
      <c r="Q13" s="18">
        <f t="shared" si="3"/>
        <v>10</v>
      </c>
      <c r="R13" s="18">
        <f t="shared" si="4"/>
        <v>4</v>
      </c>
      <c r="S13" s="18">
        <f t="shared" si="5"/>
        <v>2.5</v>
      </c>
      <c r="T13" s="19">
        <f t="shared" si="6"/>
        <v>0.625</v>
      </c>
      <c r="U13" s="2">
        <f t="shared" si="7"/>
        <v>3</v>
      </c>
      <c r="V13" s="2"/>
      <c r="W13" s="2"/>
      <c r="X13" s="2"/>
      <c r="Y13" s="20">
        <f t="shared" si="8"/>
        <v>4</v>
      </c>
      <c r="Z13" s="1">
        <v>9.0</v>
      </c>
      <c r="AA13" s="3"/>
      <c r="AB13" s="2"/>
      <c r="AC13" s="2"/>
      <c r="AD13" s="2"/>
      <c r="AE13" s="2"/>
      <c r="AF13" s="2"/>
      <c r="AG13" s="2"/>
    </row>
    <row r="14" ht="15.75" customHeight="1">
      <c r="A14" s="2"/>
      <c r="B14" s="1"/>
      <c r="C14" s="11">
        <v>10.0</v>
      </c>
      <c r="D14" s="12" t="s">
        <v>30</v>
      </c>
      <c r="E14" s="21" t="s">
        <v>45</v>
      </c>
      <c r="F14" s="14">
        <v>1.0</v>
      </c>
      <c r="G14" s="14"/>
      <c r="H14" s="15"/>
      <c r="I14" s="15"/>
      <c r="J14" s="15"/>
      <c r="K14" s="2"/>
      <c r="L14" s="2">
        <f t="shared" si="1"/>
        <v>1</v>
      </c>
      <c r="M14" s="2">
        <f t="shared" si="2"/>
        <v>4</v>
      </c>
      <c r="N14" s="2"/>
      <c r="O14" s="2"/>
      <c r="P14" s="17" t="str">
        <f>Masters!B15</f>
        <v/>
      </c>
      <c r="Q14" s="18"/>
      <c r="R14" s="18"/>
      <c r="S14" s="18"/>
      <c r="T14" s="18"/>
      <c r="U14" s="2"/>
      <c r="V14" s="2"/>
      <c r="W14" s="2"/>
      <c r="X14" s="2"/>
      <c r="Y14" s="2"/>
      <c r="Z14" s="1">
        <v>10.0</v>
      </c>
      <c r="AA14" s="3"/>
      <c r="AB14" s="2"/>
      <c r="AC14" s="2"/>
      <c r="AD14" s="2"/>
      <c r="AE14" s="2"/>
      <c r="AF14" s="2"/>
      <c r="AG14" s="2"/>
    </row>
    <row r="15" ht="15.75" customHeight="1">
      <c r="A15" s="1"/>
      <c r="B15" s="1"/>
      <c r="C15" s="11">
        <v>11.0</v>
      </c>
      <c r="D15" s="12" t="s">
        <v>36</v>
      </c>
      <c r="E15" s="21" t="s">
        <v>46</v>
      </c>
      <c r="F15" s="14">
        <v>1.0</v>
      </c>
      <c r="G15" s="14"/>
      <c r="H15" s="14"/>
      <c r="I15" s="15"/>
      <c r="J15" s="15"/>
      <c r="K15" s="2"/>
      <c r="L15" s="2">
        <f t="shared" si="1"/>
        <v>1</v>
      </c>
      <c r="M15" s="2">
        <f t="shared" si="2"/>
        <v>4</v>
      </c>
      <c r="N15" s="2"/>
      <c r="O15" s="2"/>
      <c r="P15" s="22" t="str">
        <f>Masters!B16</f>
        <v> </v>
      </c>
      <c r="Q15" s="23"/>
      <c r="R15" s="23"/>
      <c r="S15" s="23"/>
      <c r="T15" s="23"/>
      <c r="U15" s="23"/>
      <c r="V15" s="23"/>
      <c r="W15" s="23"/>
      <c r="X15" s="23"/>
      <c r="Y15" s="23"/>
      <c r="Z15" s="1">
        <v>11.0</v>
      </c>
      <c r="AA15" s="22"/>
      <c r="AB15" s="23"/>
      <c r="AC15" s="2"/>
      <c r="AD15" s="2"/>
      <c r="AE15" s="2"/>
      <c r="AF15" s="2"/>
      <c r="AG15" s="2"/>
    </row>
    <row r="16" ht="15.75" customHeight="1">
      <c r="A16" s="2"/>
      <c r="B16" s="1"/>
      <c r="C16" s="11">
        <v>12.0</v>
      </c>
      <c r="D16" s="12" t="s">
        <v>24</v>
      </c>
      <c r="E16" s="21" t="s">
        <v>47</v>
      </c>
      <c r="F16" s="14"/>
      <c r="G16" s="14">
        <v>1.0</v>
      </c>
      <c r="H16" s="14"/>
      <c r="I16" s="15"/>
      <c r="J16" s="15"/>
      <c r="K16" s="2"/>
      <c r="L16" s="2">
        <f t="shared" si="1"/>
        <v>1</v>
      </c>
      <c r="M16" s="2">
        <f t="shared" si="2"/>
        <v>3</v>
      </c>
      <c r="N16" s="2"/>
      <c r="O16" s="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1">
        <v>12.0</v>
      </c>
      <c r="AA16" s="22"/>
      <c r="AB16" s="22"/>
      <c r="AC16" s="2"/>
      <c r="AD16" s="2"/>
      <c r="AE16" s="2"/>
      <c r="AF16" s="2"/>
      <c r="AG16" s="2"/>
    </row>
    <row r="17" ht="15.75" customHeight="1">
      <c r="A17" s="2"/>
      <c r="B17" s="1"/>
      <c r="C17" s="11">
        <v>13.0</v>
      </c>
      <c r="D17" s="12" t="s">
        <v>33</v>
      </c>
      <c r="E17" s="21" t="s">
        <v>48</v>
      </c>
      <c r="F17" s="14"/>
      <c r="G17" s="14"/>
      <c r="H17" s="14">
        <v>1.0</v>
      </c>
      <c r="I17" s="15"/>
      <c r="J17" s="16"/>
      <c r="K17" s="2"/>
      <c r="L17" s="2">
        <f t="shared" si="1"/>
        <v>1</v>
      </c>
      <c r="M17" s="2">
        <f t="shared" si="2"/>
        <v>2</v>
      </c>
      <c r="N17" s="2"/>
      <c r="O17" s="24" t="s">
        <v>49</v>
      </c>
      <c r="P17" s="25" t="s">
        <v>50</v>
      </c>
      <c r="Q17" s="24" t="s">
        <v>51</v>
      </c>
      <c r="R17" s="25"/>
      <c r="S17" s="22"/>
      <c r="T17" s="22"/>
      <c r="U17" s="26"/>
      <c r="V17" s="22"/>
      <c r="W17" s="22"/>
      <c r="X17" s="22"/>
      <c r="Y17" s="22"/>
      <c r="Z17" s="1">
        <v>13.0</v>
      </c>
      <c r="AA17" s="22"/>
      <c r="AB17" s="22"/>
      <c r="AC17" s="2"/>
      <c r="AD17" s="2"/>
      <c r="AE17" s="2"/>
      <c r="AF17" s="2"/>
      <c r="AG17" s="2"/>
    </row>
    <row r="18" ht="15.75" customHeight="1">
      <c r="A18" s="2"/>
      <c r="B18" s="1"/>
      <c r="C18" s="11">
        <v>14.0</v>
      </c>
      <c r="D18" s="12" t="s">
        <v>18</v>
      </c>
      <c r="E18" s="21" t="s">
        <v>52</v>
      </c>
      <c r="F18" s="27"/>
      <c r="G18" s="14"/>
      <c r="H18" s="14"/>
      <c r="I18" s="15">
        <v>1.0</v>
      </c>
      <c r="J18" s="16"/>
      <c r="K18" s="2"/>
      <c r="L18" s="2">
        <f t="shared" si="1"/>
        <v>1</v>
      </c>
      <c r="M18" s="2">
        <f t="shared" si="2"/>
        <v>1</v>
      </c>
      <c r="N18" s="1">
        <v>1.0</v>
      </c>
      <c r="O18" s="28">
        <f>IFERROR(__xludf.DUMMYFUNCTION("Unique(Query('Helper-Abilities'!A8:N958,""Select A,C,N where C&lt;&gt;'' Order by N Desc, C Asc Limit 40""))"),7231.0)</f>
        <v>7231</v>
      </c>
      <c r="P18" s="25" t="str">
        <f>IFERROR(__xludf.DUMMYFUNCTION("""COMPUTED_VALUE"""),"Machinists and machining and tooling inspectors")</f>
        <v>Machinists and machining and tooling inspectors</v>
      </c>
      <c r="Q18" s="29">
        <f>IFERROR(__xludf.DUMMYFUNCTION("""COMPUTED_VALUE"""),0.9722222222222222)</f>
        <v>0.9722222222</v>
      </c>
      <c r="S18" s="30"/>
      <c r="T18" s="30"/>
      <c r="U18" s="31"/>
      <c r="V18" s="30"/>
      <c r="W18" s="30"/>
      <c r="X18" s="30"/>
      <c r="Y18" s="30"/>
      <c r="Z18" s="1">
        <v>14.0</v>
      </c>
      <c r="AA18" s="22"/>
      <c r="AB18" s="32"/>
      <c r="AC18" s="2"/>
      <c r="AD18" s="2"/>
      <c r="AE18" s="2"/>
      <c r="AF18" s="2"/>
      <c r="AG18" s="2"/>
    </row>
    <row r="19" ht="15.75" customHeight="1">
      <c r="A19" s="2"/>
      <c r="B19" s="1"/>
      <c r="C19" s="11">
        <v>15.0</v>
      </c>
      <c r="D19" s="12" t="s">
        <v>42</v>
      </c>
      <c r="E19" s="21" t="s">
        <v>53</v>
      </c>
      <c r="F19" s="14"/>
      <c r="G19" s="14"/>
      <c r="H19" s="14"/>
      <c r="I19" s="16"/>
      <c r="J19" s="15">
        <v>1.0</v>
      </c>
      <c r="K19" s="2"/>
      <c r="L19" s="2">
        <f t="shared" si="1"/>
        <v>1</v>
      </c>
      <c r="M19" s="2">
        <f t="shared" si="2"/>
        <v>0</v>
      </c>
      <c r="N19" s="1">
        <f t="shared" ref="N19:N55" si="9">IF(Countif(O$17:O18,O19)&lt;&gt;0,N18,N18+1)</f>
        <v>2</v>
      </c>
      <c r="O19" s="28">
        <f>IFERROR(__xludf.DUMMYFUNCTION("""COMPUTED_VALUE"""),9521.0)</f>
        <v>9521</v>
      </c>
      <c r="P19" s="25" t="str">
        <f>IFERROR(__xludf.DUMMYFUNCTION("""COMPUTED_VALUE"""),"Aircraft assemblers and aircraft assembly inspectors")</f>
        <v>Aircraft assemblers and aircraft assembly inspectors</v>
      </c>
      <c r="Q19" s="29">
        <f>IFERROR(__xludf.DUMMYFUNCTION("""COMPUTED_VALUE"""),0.9444444444444444)</f>
        <v>0.9444444444</v>
      </c>
      <c r="S19" s="30"/>
      <c r="T19" s="30"/>
      <c r="U19" s="31"/>
      <c r="V19" s="30"/>
      <c r="W19" s="30"/>
      <c r="X19" s="30"/>
      <c r="Y19" s="30"/>
      <c r="Z19" s="1">
        <v>15.0</v>
      </c>
      <c r="AA19" s="22"/>
      <c r="AB19" s="32"/>
      <c r="AC19" s="2"/>
      <c r="AD19" s="2"/>
      <c r="AE19" s="2"/>
      <c r="AF19" s="2"/>
      <c r="AG19" s="2"/>
    </row>
    <row r="20" ht="15.75" customHeight="1">
      <c r="A20" s="2"/>
      <c r="B20" s="1"/>
      <c r="C20" s="11">
        <v>16.0</v>
      </c>
      <c r="D20" s="12" t="s">
        <v>39</v>
      </c>
      <c r="E20" s="21" t="s">
        <v>54</v>
      </c>
      <c r="F20" s="14"/>
      <c r="G20" s="14"/>
      <c r="H20" s="14"/>
      <c r="I20" s="14"/>
      <c r="J20" s="15">
        <v>1.0</v>
      </c>
      <c r="K20" s="2"/>
      <c r="L20" s="2">
        <f t="shared" si="1"/>
        <v>1</v>
      </c>
      <c r="M20" s="2">
        <f t="shared" si="2"/>
        <v>0</v>
      </c>
      <c r="N20" s="1">
        <f t="shared" si="9"/>
        <v>3</v>
      </c>
      <c r="O20" s="28">
        <f>IFERROR(__xludf.DUMMYFUNCTION("""COMPUTED_VALUE"""),3213.0)</f>
        <v>3213</v>
      </c>
      <c r="P20" s="25" t="str">
        <f>IFERROR(__xludf.DUMMYFUNCTION("""COMPUTED_VALUE"""),"Animal health technologists and veterinary technicians")</f>
        <v>Animal health technologists and veterinary technicians</v>
      </c>
      <c r="Q20" s="29">
        <f>IFERROR(__xludf.DUMMYFUNCTION("""COMPUTED_VALUE"""),0.9444444444444444)</f>
        <v>0.9444444444</v>
      </c>
      <c r="S20" s="30"/>
      <c r="T20" s="30"/>
      <c r="U20" s="31"/>
      <c r="V20" s="30"/>
      <c r="W20" s="30"/>
      <c r="X20" s="30"/>
      <c r="Y20" s="30"/>
      <c r="Z20" s="1">
        <v>16.0</v>
      </c>
      <c r="AA20" s="22"/>
      <c r="AB20" s="32"/>
      <c r="AC20" s="2"/>
      <c r="AD20" s="2"/>
      <c r="AE20" s="2"/>
      <c r="AF20" s="2"/>
      <c r="AG20" s="2"/>
    </row>
    <row r="21" ht="15.75" customHeight="1">
      <c r="A21" s="1"/>
      <c r="B21" s="1"/>
      <c r="C21" s="11">
        <v>17.0</v>
      </c>
      <c r="D21" s="12" t="s">
        <v>21</v>
      </c>
      <c r="E21" s="21" t="s">
        <v>55</v>
      </c>
      <c r="F21" s="14"/>
      <c r="G21" s="14"/>
      <c r="H21" s="14"/>
      <c r="I21" s="14">
        <v>1.0</v>
      </c>
      <c r="J21" s="15"/>
      <c r="K21" s="2"/>
      <c r="L21" s="2">
        <f t="shared" si="1"/>
        <v>1</v>
      </c>
      <c r="M21" s="2">
        <f t="shared" si="2"/>
        <v>1</v>
      </c>
      <c r="N21" s="1">
        <f t="shared" si="9"/>
        <v>4</v>
      </c>
      <c r="O21" s="28">
        <f>IFERROR(__xludf.DUMMYFUNCTION("""COMPUTED_VALUE"""),9472.0)</f>
        <v>9472</v>
      </c>
      <c r="P21" s="25" t="str">
        <f>IFERROR(__xludf.DUMMYFUNCTION("""COMPUTED_VALUE"""),"Camera, platemaking and other prepress occupations")</f>
        <v>Camera, platemaking and other prepress occupations</v>
      </c>
      <c r="Q21" s="29">
        <f>IFERROR(__xludf.DUMMYFUNCTION("""COMPUTED_VALUE"""),0.9444444444444444)</f>
        <v>0.9444444444</v>
      </c>
      <c r="S21" s="30"/>
      <c r="T21" s="30"/>
      <c r="U21" s="31"/>
      <c r="V21" s="30"/>
      <c r="W21" s="30"/>
      <c r="X21" s="30"/>
      <c r="Y21" s="30"/>
      <c r="Z21" s="1">
        <v>17.0</v>
      </c>
      <c r="AA21" s="22"/>
      <c r="AB21" s="32"/>
      <c r="AC21" s="2"/>
      <c r="AD21" s="2"/>
      <c r="AE21" s="2"/>
      <c r="AF21" s="2"/>
      <c r="AG21" s="2"/>
    </row>
    <row r="22" ht="15.75" customHeight="1">
      <c r="A22" s="1"/>
      <c r="B22" s="1"/>
      <c r="C22" s="11">
        <v>18.0</v>
      </c>
      <c r="D22" s="12" t="s">
        <v>27</v>
      </c>
      <c r="E22" s="21" t="s">
        <v>56</v>
      </c>
      <c r="F22" s="14"/>
      <c r="G22" s="14"/>
      <c r="H22" s="14">
        <v>1.0</v>
      </c>
      <c r="I22" s="14"/>
      <c r="J22" s="16"/>
      <c r="K22" s="2"/>
      <c r="L22" s="2">
        <f t="shared" si="1"/>
        <v>1</v>
      </c>
      <c r="M22" s="2">
        <f t="shared" si="2"/>
        <v>2</v>
      </c>
      <c r="N22" s="1">
        <f t="shared" si="9"/>
        <v>5</v>
      </c>
      <c r="O22" s="28">
        <f>IFERROR(__xludf.DUMMYFUNCTION("""COMPUTED_VALUE"""),2211.0)</f>
        <v>2211</v>
      </c>
      <c r="P22" s="25" t="str">
        <f>IFERROR(__xludf.DUMMYFUNCTION("""COMPUTED_VALUE"""),"Chemical technologists and technicians")</f>
        <v>Chemical technologists and technicians</v>
      </c>
      <c r="Q22" s="29">
        <f>IFERROR(__xludf.DUMMYFUNCTION("""COMPUTED_VALUE"""),0.9444444444444444)</f>
        <v>0.9444444444</v>
      </c>
      <c r="S22" s="30"/>
      <c r="T22" s="30"/>
      <c r="U22" s="31"/>
      <c r="V22" s="30"/>
      <c r="W22" s="30"/>
      <c r="X22" s="30"/>
      <c r="Y22" s="30"/>
      <c r="Z22" s="1">
        <v>18.0</v>
      </c>
      <c r="AA22" s="22"/>
      <c r="AB22" s="32"/>
      <c r="AC22" s="2"/>
      <c r="AD22" s="2"/>
      <c r="AE22" s="2"/>
      <c r="AF22" s="2"/>
      <c r="AG22" s="2"/>
    </row>
    <row r="23" ht="15.75" customHeight="1">
      <c r="A23" s="2"/>
      <c r="B23" s="1"/>
      <c r="C23" s="11">
        <v>19.0</v>
      </c>
      <c r="D23" s="12" t="s">
        <v>27</v>
      </c>
      <c r="E23" s="21" t="s">
        <v>57</v>
      </c>
      <c r="F23" s="14"/>
      <c r="G23" s="14">
        <v>1.0</v>
      </c>
      <c r="H23" s="14"/>
      <c r="I23" s="14"/>
      <c r="J23" s="15"/>
      <c r="K23" s="2"/>
      <c r="L23" s="2">
        <f t="shared" si="1"/>
        <v>1</v>
      </c>
      <c r="M23" s="2">
        <f t="shared" si="2"/>
        <v>3</v>
      </c>
      <c r="N23" s="1">
        <f t="shared" si="9"/>
        <v>6</v>
      </c>
      <c r="O23" s="28">
        <f>IFERROR(__xludf.DUMMYFUNCTION("""COMPUTED_VALUE"""),7201.0)</f>
        <v>7201</v>
      </c>
      <c r="P23" s="25" t="str">
        <f>IFERROR(__xludf.DUMMYFUNCTION("""COMPUTED_VALUE"""),"Contractors and supervisors, machining, metal forming, shaping and erecting trades and related occupations")</f>
        <v>Contractors and supervisors, machining, metal forming, shaping and erecting trades and related occupations</v>
      </c>
      <c r="Q23" s="29">
        <f>IFERROR(__xludf.DUMMYFUNCTION("""COMPUTED_VALUE"""),0.9444444444444444)</f>
        <v>0.9444444444</v>
      </c>
      <c r="S23" s="30"/>
      <c r="T23" s="30"/>
      <c r="U23" s="31"/>
      <c r="V23" s="30"/>
      <c r="W23" s="30"/>
      <c r="X23" s="30"/>
      <c r="Y23" s="30"/>
      <c r="Z23" s="1">
        <v>19.0</v>
      </c>
      <c r="AA23" s="22"/>
      <c r="AB23" s="32"/>
      <c r="AC23" s="2"/>
      <c r="AD23" s="2"/>
      <c r="AE23" s="2"/>
      <c r="AF23" s="2"/>
      <c r="AG23" s="2"/>
    </row>
    <row r="24" ht="15.75" customHeight="1">
      <c r="A24" s="2"/>
      <c r="B24" s="1"/>
      <c r="C24" s="11">
        <v>20.0</v>
      </c>
      <c r="D24" s="12" t="s">
        <v>42</v>
      </c>
      <c r="E24" s="21" t="s">
        <v>58</v>
      </c>
      <c r="F24" s="14">
        <v>1.0</v>
      </c>
      <c r="G24" s="14"/>
      <c r="H24" s="14"/>
      <c r="I24" s="27"/>
      <c r="J24" s="15"/>
      <c r="K24" s="2"/>
      <c r="L24" s="2">
        <f t="shared" si="1"/>
        <v>1</v>
      </c>
      <c r="M24" s="2">
        <f t="shared" si="2"/>
        <v>4</v>
      </c>
      <c r="N24" s="1">
        <f t="shared" si="9"/>
        <v>7</v>
      </c>
      <c r="O24" s="28">
        <f>IFERROR(__xludf.DUMMYFUNCTION("""COMPUTED_VALUE"""),7253.0)</f>
        <v>7253</v>
      </c>
      <c r="P24" s="25" t="str">
        <f>IFERROR(__xludf.DUMMYFUNCTION("""COMPUTED_VALUE"""),"Gas fitters")</f>
        <v>Gas fitters</v>
      </c>
      <c r="Q24" s="29">
        <f>IFERROR(__xludf.DUMMYFUNCTION("""COMPUTED_VALUE"""),0.9444444444444444)</f>
        <v>0.9444444444</v>
      </c>
      <c r="S24" s="30"/>
      <c r="T24" s="30"/>
      <c r="U24" s="31"/>
      <c r="V24" s="30"/>
      <c r="W24" s="30"/>
      <c r="X24" s="30"/>
      <c r="Y24" s="30"/>
      <c r="Z24" s="1">
        <v>20.0</v>
      </c>
      <c r="AA24" s="22"/>
      <c r="AB24" s="32"/>
      <c r="AC24" s="2"/>
      <c r="AD24" s="2"/>
      <c r="AE24" s="2"/>
      <c r="AF24" s="2"/>
      <c r="AG24" s="2"/>
    </row>
    <row r="25" ht="15.75" customHeight="1">
      <c r="A25" s="2"/>
      <c r="B25" s="1"/>
      <c r="C25" s="11">
        <v>21.0</v>
      </c>
      <c r="D25" s="12" t="s">
        <v>21</v>
      </c>
      <c r="E25" s="21" t="s">
        <v>59</v>
      </c>
      <c r="F25" s="14">
        <v>1.0</v>
      </c>
      <c r="G25" s="14"/>
      <c r="H25" s="14"/>
      <c r="I25" s="27"/>
      <c r="J25" s="27"/>
      <c r="K25" s="2"/>
      <c r="L25" s="2">
        <f t="shared" si="1"/>
        <v>1</v>
      </c>
      <c r="M25" s="2">
        <f t="shared" si="2"/>
        <v>4</v>
      </c>
      <c r="N25" s="1">
        <f t="shared" si="9"/>
        <v>8</v>
      </c>
      <c r="O25" s="28">
        <f>IFERROR(__xludf.DUMMYFUNCTION("""COMPUTED_VALUE"""),2254.0)</f>
        <v>2254</v>
      </c>
      <c r="P25" s="25" t="str">
        <f>IFERROR(__xludf.DUMMYFUNCTION("""COMPUTED_VALUE"""),"Land survey technologists and technicians")</f>
        <v>Land survey technologists and technicians</v>
      </c>
      <c r="Q25" s="29">
        <f>IFERROR(__xludf.DUMMYFUNCTION("""COMPUTED_VALUE"""),0.9444444444444444)</f>
        <v>0.9444444444</v>
      </c>
      <c r="S25" s="30"/>
      <c r="T25" s="30"/>
      <c r="U25" s="31"/>
      <c r="V25" s="30"/>
      <c r="W25" s="30"/>
      <c r="X25" s="30"/>
      <c r="Y25" s="30"/>
      <c r="Z25" s="1">
        <v>21.0</v>
      </c>
      <c r="AA25" s="22"/>
      <c r="AB25" s="32"/>
      <c r="AC25" s="2"/>
      <c r="AD25" s="2"/>
      <c r="AE25" s="2"/>
      <c r="AF25" s="2"/>
      <c r="AG25" s="2"/>
    </row>
    <row r="26" ht="15.75" customHeight="1">
      <c r="A26" s="2"/>
      <c r="B26" s="1"/>
      <c r="C26" s="11">
        <v>22.0</v>
      </c>
      <c r="D26" s="12" t="s">
        <v>18</v>
      </c>
      <c r="E26" s="21" t="s">
        <v>60</v>
      </c>
      <c r="F26" s="14"/>
      <c r="G26" s="14">
        <v>1.0</v>
      </c>
      <c r="H26" s="14"/>
      <c r="I26" s="27"/>
      <c r="J26" s="27"/>
      <c r="K26" s="2"/>
      <c r="L26" s="2">
        <f t="shared" si="1"/>
        <v>1</v>
      </c>
      <c r="M26" s="2">
        <f t="shared" si="2"/>
        <v>3</v>
      </c>
      <c r="N26" s="1">
        <f t="shared" si="9"/>
        <v>8</v>
      </c>
      <c r="O26" s="28">
        <f>IFERROR(__xludf.DUMMYFUNCTION("""COMPUTED_VALUE"""),9521.0)</f>
        <v>9521</v>
      </c>
      <c r="P26" s="25" t="str">
        <f>IFERROR(__xludf.DUMMYFUNCTION("""COMPUTED_VALUE"""),"Aircraft assemblers and aircraft assembly inspectors")</f>
        <v>Aircraft assemblers and aircraft assembly inspectors</v>
      </c>
      <c r="Q26" s="29">
        <f>IFERROR(__xludf.DUMMYFUNCTION("""COMPUTED_VALUE"""),0.9166666666666666)</f>
        <v>0.9166666667</v>
      </c>
      <c r="S26" s="30"/>
      <c r="T26" s="30"/>
      <c r="U26" s="31"/>
      <c r="V26" s="30"/>
      <c r="W26" s="30"/>
      <c r="X26" s="30"/>
      <c r="Y26" s="30"/>
      <c r="Z26" s="1">
        <v>22.0</v>
      </c>
      <c r="AA26" s="22"/>
      <c r="AB26" s="32"/>
      <c r="AC26" s="2"/>
      <c r="AD26" s="2"/>
      <c r="AE26" s="2"/>
      <c r="AF26" s="2"/>
      <c r="AG26" s="2"/>
    </row>
    <row r="27" ht="15.75" customHeight="1">
      <c r="A27" s="2"/>
      <c r="B27" s="1"/>
      <c r="C27" s="11">
        <v>23.0</v>
      </c>
      <c r="D27" s="12" t="s">
        <v>39</v>
      </c>
      <c r="E27" s="21" t="s">
        <v>61</v>
      </c>
      <c r="F27" s="14"/>
      <c r="G27" s="14"/>
      <c r="H27" s="14">
        <v>1.0</v>
      </c>
      <c r="I27" s="14"/>
      <c r="J27" s="27"/>
      <c r="K27" s="2"/>
      <c r="L27" s="2">
        <f t="shared" si="1"/>
        <v>1</v>
      </c>
      <c r="M27" s="2">
        <f t="shared" si="2"/>
        <v>2</v>
      </c>
      <c r="N27" s="1">
        <f t="shared" si="9"/>
        <v>9</v>
      </c>
      <c r="O27" s="28">
        <f>IFERROR(__xludf.DUMMYFUNCTION("""COMPUTED_VALUE"""),7315.0)</f>
        <v>7315</v>
      </c>
      <c r="P27" s="25" t="str">
        <f>IFERROR(__xludf.DUMMYFUNCTION("""COMPUTED_VALUE"""),"Aircraft mechanics and aircraft inspectors")</f>
        <v>Aircraft mechanics and aircraft inspectors</v>
      </c>
      <c r="Q27" s="29">
        <f>IFERROR(__xludf.DUMMYFUNCTION("""COMPUTED_VALUE"""),0.9166666666666666)</f>
        <v>0.9166666667</v>
      </c>
      <c r="S27" s="30"/>
      <c r="T27" s="30"/>
      <c r="U27" s="31"/>
      <c r="V27" s="30"/>
      <c r="W27" s="30"/>
      <c r="X27" s="30"/>
      <c r="Y27" s="30"/>
      <c r="Z27" s="1">
        <v>23.0</v>
      </c>
      <c r="AA27" s="22"/>
      <c r="AB27" s="32"/>
      <c r="AC27" s="2"/>
      <c r="AD27" s="2"/>
      <c r="AE27" s="2"/>
      <c r="AF27" s="2"/>
      <c r="AG27" s="2"/>
    </row>
    <row r="28" ht="15.75" customHeight="1">
      <c r="A28" s="1"/>
      <c r="B28" s="1"/>
      <c r="C28" s="11">
        <v>24.0</v>
      </c>
      <c r="D28" s="12" t="s">
        <v>36</v>
      </c>
      <c r="E28" s="21" t="s">
        <v>62</v>
      </c>
      <c r="F28" s="14"/>
      <c r="G28" s="14"/>
      <c r="H28" s="14"/>
      <c r="I28" s="14">
        <v>1.0</v>
      </c>
      <c r="J28" s="27"/>
      <c r="K28" s="2"/>
      <c r="L28" s="2">
        <f t="shared" si="1"/>
        <v>1</v>
      </c>
      <c r="M28" s="2">
        <f t="shared" si="2"/>
        <v>1</v>
      </c>
      <c r="N28" s="1">
        <f t="shared" si="9"/>
        <v>10</v>
      </c>
      <c r="O28" s="28">
        <f>IFERROR(__xludf.DUMMYFUNCTION("""COMPUTED_VALUE"""),7332.0)</f>
        <v>7332</v>
      </c>
      <c r="P28" s="25" t="str">
        <f>IFERROR(__xludf.DUMMYFUNCTION("""COMPUTED_VALUE"""),"Appliance servicers and repairers")</f>
        <v>Appliance servicers and repairers</v>
      </c>
      <c r="Q28" s="29">
        <f>IFERROR(__xludf.DUMMYFUNCTION("""COMPUTED_VALUE"""),0.9166666666666666)</f>
        <v>0.9166666667</v>
      </c>
      <c r="S28" s="30"/>
      <c r="T28" s="30"/>
      <c r="U28" s="30"/>
      <c r="V28" s="30"/>
      <c r="W28" s="30"/>
      <c r="X28" s="30"/>
      <c r="Y28" s="30"/>
      <c r="Z28" s="1">
        <v>24.0</v>
      </c>
      <c r="AA28" s="22"/>
      <c r="AB28" s="32"/>
      <c r="AC28" s="2"/>
      <c r="AD28" s="2"/>
      <c r="AE28" s="2"/>
      <c r="AF28" s="2"/>
      <c r="AG28" s="2"/>
    </row>
    <row r="29" ht="15.75" customHeight="1">
      <c r="A29" s="2"/>
      <c r="B29" s="1"/>
      <c r="C29" s="11">
        <v>25.0</v>
      </c>
      <c r="D29" s="12" t="s">
        <v>30</v>
      </c>
      <c r="E29" s="21" t="s">
        <v>63</v>
      </c>
      <c r="F29" s="14"/>
      <c r="G29" s="14"/>
      <c r="H29" s="14"/>
      <c r="I29" s="27"/>
      <c r="J29" s="14">
        <v>1.0</v>
      </c>
      <c r="K29" s="2"/>
      <c r="L29" s="2">
        <f t="shared" si="1"/>
        <v>1</v>
      </c>
      <c r="M29" s="2">
        <f t="shared" si="2"/>
        <v>0</v>
      </c>
      <c r="N29" s="1">
        <f t="shared" si="9"/>
        <v>11</v>
      </c>
      <c r="O29" s="28">
        <f>IFERROR(__xludf.DUMMYFUNCTION("""COMPUTED_VALUE"""),9524.0)</f>
        <v>9524</v>
      </c>
      <c r="P29" s="25" t="str">
        <f>IFERROR(__xludf.DUMMYFUNCTION("""COMPUTED_VALUE"""),"Assemblers and inspectors, electrical appliance, apparatus and equipment manufacturing")</f>
        <v>Assemblers and inspectors, electrical appliance, apparatus and equipment manufacturing</v>
      </c>
      <c r="Q29" s="29">
        <f>IFERROR(__xludf.DUMMYFUNCTION("""COMPUTED_VALUE"""),0.9166666666666666)</f>
        <v>0.9166666667</v>
      </c>
      <c r="S29" s="30"/>
      <c r="T29" s="30"/>
      <c r="U29" s="30"/>
      <c r="V29" s="30"/>
      <c r="W29" s="30"/>
      <c r="X29" s="30"/>
      <c r="Y29" s="30"/>
      <c r="Z29" s="1">
        <v>25.0</v>
      </c>
      <c r="AA29" s="22"/>
      <c r="AB29" s="32"/>
      <c r="AC29" s="2"/>
      <c r="AD29" s="2"/>
      <c r="AE29" s="2"/>
      <c r="AF29" s="2"/>
      <c r="AG29" s="2"/>
    </row>
    <row r="30" ht="15.75" customHeight="1">
      <c r="A30" s="2"/>
      <c r="B30" s="1"/>
      <c r="C30" s="11">
        <v>26.0</v>
      </c>
      <c r="D30" s="12" t="s">
        <v>27</v>
      </c>
      <c r="E30" s="21" t="s">
        <v>64</v>
      </c>
      <c r="F30" s="14"/>
      <c r="G30" s="14"/>
      <c r="H30" s="14"/>
      <c r="I30" s="14"/>
      <c r="J30" s="14">
        <v>1.0</v>
      </c>
      <c r="K30" s="2"/>
      <c r="L30" s="2">
        <f t="shared" si="1"/>
        <v>1</v>
      </c>
      <c r="M30" s="2">
        <f t="shared" si="2"/>
        <v>0</v>
      </c>
      <c r="N30" s="1">
        <f t="shared" si="9"/>
        <v>12</v>
      </c>
      <c r="O30" s="28">
        <f>IFERROR(__xludf.DUMMYFUNCTION("""COMPUTED_VALUE"""),5225.0)</f>
        <v>5225</v>
      </c>
      <c r="P30" s="25" t="str">
        <f>IFERROR(__xludf.DUMMYFUNCTION("""COMPUTED_VALUE"""),"Audio and video recording technicians")</f>
        <v>Audio and video recording technicians</v>
      </c>
      <c r="Q30" s="29">
        <f>IFERROR(__xludf.DUMMYFUNCTION("""COMPUTED_VALUE"""),0.9166666666666666)</f>
        <v>0.9166666667</v>
      </c>
      <c r="S30" s="30"/>
      <c r="T30" s="30"/>
      <c r="U30" s="30"/>
      <c r="V30" s="30"/>
      <c r="W30" s="30"/>
      <c r="X30" s="30"/>
      <c r="Y30" s="30"/>
      <c r="Z30" s="1">
        <v>26.0</v>
      </c>
      <c r="AA30" s="22"/>
      <c r="AB30" s="32"/>
      <c r="AC30" s="2"/>
      <c r="AD30" s="2"/>
      <c r="AE30" s="2"/>
      <c r="AF30" s="2"/>
      <c r="AG30" s="2"/>
    </row>
    <row r="31" ht="15.75" customHeight="1">
      <c r="A31" s="2"/>
      <c r="B31" s="1"/>
      <c r="C31" s="11">
        <v>27.0</v>
      </c>
      <c r="D31" s="12" t="s">
        <v>18</v>
      </c>
      <c r="E31" s="21" t="s">
        <v>65</v>
      </c>
      <c r="F31" s="27"/>
      <c r="G31" s="14"/>
      <c r="H31" s="14"/>
      <c r="I31" s="14">
        <v>1.0</v>
      </c>
      <c r="J31" s="14"/>
      <c r="K31" s="2"/>
      <c r="L31" s="2">
        <f t="shared" si="1"/>
        <v>1</v>
      </c>
      <c r="M31" s="2">
        <f t="shared" si="2"/>
        <v>1</v>
      </c>
      <c r="N31" s="1">
        <f t="shared" si="9"/>
        <v>13</v>
      </c>
      <c r="O31" s="28">
        <f>IFERROR(__xludf.DUMMYFUNCTION("""COMPUTED_VALUE"""),6332.0)</f>
        <v>6332</v>
      </c>
      <c r="P31" s="25" t="str">
        <f>IFERROR(__xludf.DUMMYFUNCTION("""COMPUTED_VALUE"""),"Bakers")</f>
        <v>Bakers</v>
      </c>
      <c r="Q31" s="29">
        <f>IFERROR(__xludf.DUMMYFUNCTION("""COMPUTED_VALUE"""),0.9166666666666666)</f>
        <v>0.9166666667</v>
      </c>
      <c r="S31" s="30"/>
      <c r="T31" s="30"/>
      <c r="U31" s="30"/>
      <c r="V31" s="30"/>
      <c r="W31" s="30"/>
      <c r="X31" s="30"/>
      <c r="Y31" s="30"/>
      <c r="Z31" s="1">
        <v>27.0</v>
      </c>
      <c r="AA31" s="22"/>
      <c r="AB31" s="32"/>
      <c r="AC31" s="2"/>
      <c r="AD31" s="2"/>
      <c r="AE31" s="2"/>
      <c r="AF31" s="2"/>
      <c r="AG31" s="2"/>
    </row>
    <row r="32" ht="15.75" customHeight="1">
      <c r="A32" s="2"/>
      <c r="B32" s="1"/>
      <c r="C32" s="11">
        <v>28.0</v>
      </c>
      <c r="D32" s="12" t="s">
        <v>24</v>
      </c>
      <c r="E32" s="21" t="s">
        <v>66</v>
      </c>
      <c r="F32" s="14"/>
      <c r="G32" s="14"/>
      <c r="H32" s="14">
        <v>1.0</v>
      </c>
      <c r="I32" s="14"/>
      <c r="J32" s="14"/>
      <c r="K32" s="2"/>
      <c r="L32" s="2">
        <f t="shared" si="1"/>
        <v>1</v>
      </c>
      <c r="M32" s="2">
        <f t="shared" si="2"/>
        <v>2</v>
      </c>
      <c r="N32" s="1">
        <f t="shared" si="9"/>
        <v>14</v>
      </c>
      <c r="O32" s="28">
        <f>IFERROR(__xludf.DUMMYFUNCTION("""COMPUTED_VALUE"""),2221.0)</f>
        <v>2221</v>
      </c>
      <c r="P32" s="25" t="str">
        <f>IFERROR(__xludf.DUMMYFUNCTION("""COMPUTED_VALUE"""),"Biological technologists and technicians")</f>
        <v>Biological technologists and technicians</v>
      </c>
      <c r="Q32" s="29">
        <f>IFERROR(__xludf.DUMMYFUNCTION("""COMPUTED_VALUE"""),0.9166666666666666)</f>
        <v>0.9166666667</v>
      </c>
      <c r="S32" s="30"/>
      <c r="T32" s="30"/>
      <c r="U32" s="30"/>
      <c r="V32" s="30"/>
      <c r="W32" s="30"/>
      <c r="X32" s="30"/>
      <c r="Y32" s="30"/>
      <c r="Z32" s="1">
        <v>28.0</v>
      </c>
      <c r="AA32" s="22"/>
      <c r="AB32" s="32"/>
      <c r="AC32" s="2"/>
      <c r="AD32" s="2"/>
      <c r="AE32" s="2"/>
      <c r="AF32" s="2"/>
      <c r="AG32" s="2"/>
    </row>
    <row r="33" ht="15.75" customHeight="1">
      <c r="A33" s="2"/>
      <c r="B33" s="1"/>
      <c r="C33" s="11">
        <v>29.0</v>
      </c>
      <c r="D33" s="12" t="s">
        <v>42</v>
      </c>
      <c r="E33" s="21" t="s">
        <v>67</v>
      </c>
      <c r="F33" s="27"/>
      <c r="G33" s="14">
        <v>1.0</v>
      </c>
      <c r="H33" s="14"/>
      <c r="I33" s="14"/>
      <c r="J33" s="14"/>
      <c r="K33" s="2"/>
      <c r="L33" s="2">
        <f t="shared" si="1"/>
        <v>1</v>
      </c>
      <c r="M33" s="2">
        <f t="shared" si="2"/>
        <v>3</v>
      </c>
      <c r="N33" s="1">
        <f t="shared" si="9"/>
        <v>14</v>
      </c>
      <c r="O33" s="28">
        <f>IFERROR(__xludf.DUMMYFUNCTION("""COMPUTED_VALUE"""),9472.0)</f>
        <v>9472</v>
      </c>
      <c r="P33" s="25" t="str">
        <f>IFERROR(__xludf.DUMMYFUNCTION("""COMPUTED_VALUE"""),"Camera, platemaking and other prepress occupations")</f>
        <v>Camera, platemaking and other prepress occupations</v>
      </c>
      <c r="Q33" s="29">
        <f>IFERROR(__xludf.DUMMYFUNCTION("""COMPUTED_VALUE"""),0.9166666666666666)</f>
        <v>0.9166666667</v>
      </c>
      <c r="S33" s="30"/>
      <c r="T33" s="30"/>
      <c r="U33" s="30"/>
      <c r="V33" s="30"/>
      <c r="W33" s="30"/>
      <c r="X33" s="30"/>
      <c r="Y33" s="30"/>
      <c r="Z33" s="1">
        <v>29.0</v>
      </c>
      <c r="AA33" s="22"/>
      <c r="AB33" s="32"/>
      <c r="AC33" s="2"/>
      <c r="AD33" s="2"/>
      <c r="AE33" s="2"/>
      <c r="AF33" s="2"/>
      <c r="AG33" s="2"/>
    </row>
    <row r="34" ht="15.75" customHeight="1">
      <c r="A34" s="2"/>
      <c r="B34" s="1"/>
      <c r="C34" s="11">
        <v>30.0</v>
      </c>
      <c r="D34" s="12" t="s">
        <v>33</v>
      </c>
      <c r="E34" s="21" t="s">
        <v>68</v>
      </c>
      <c r="F34" s="14">
        <v>1.0</v>
      </c>
      <c r="G34" s="14"/>
      <c r="H34" s="14"/>
      <c r="I34" s="14"/>
      <c r="J34" s="14"/>
      <c r="K34" s="2"/>
      <c r="L34" s="2">
        <f t="shared" si="1"/>
        <v>1</v>
      </c>
      <c r="M34" s="2">
        <f t="shared" si="2"/>
        <v>4</v>
      </c>
      <c r="N34" s="1">
        <f t="shared" si="9"/>
        <v>15</v>
      </c>
      <c r="O34" s="28">
        <f>IFERROR(__xludf.DUMMYFUNCTION("""COMPUTED_VALUE"""),3217.0)</f>
        <v>3217</v>
      </c>
      <c r="P34" s="25" t="str">
        <f>IFERROR(__xludf.DUMMYFUNCTION("""COMPUTED_VALUE"""),"Cardiology technologists and electrophysiological diagnostic technologists, n.e.c.")</f>
        <v>Cardiology technologists and electrophysiological diagnostic technologists, n.e.c.</v>
      </c>
      <c r="Q34" s="29">
        <f>IFERROR(__xludf.DUMMYFUNCTION("""COMPUTED_VALUE"""),0.9166666666666666)</f>
        <v>0.9166666667</v>
      </c>
      <c r="S34" s="30"/>
      <c r="T34" s="30"/>
      <c r="U34" s="30"/>
      <c r="V34" s="30"/>
      <c r="W34" s="30"/>
      <c r="X34" s="30"/>
      <c r="Y34" s="30"/>
      <c r="Z34" s="1">
        <v>30.0</v>
      </c>
      <c r="AA34" s="22"/>
      <c r="AB34" s="32"/>
      <c r="AC34" s="2"/>
      <c r="AD34" s="2"/>
      <c r="AE34" s="2"/>
      <c r="AF34" s="2"/>
      <c r="AG34" s="2"/>
    </row>
    <row r="35" ht="15.75" customHeight="1">
      <c r="A35" s="2"/>
      <c r="B35" s="1"/>
      <c r="C35" s="11">
        <v>31.0</v>
      </c>
      <c r="D35" s="12" t="s">
        <v>27</v>
      </c>
      <c r="E35" s="21" t="s">
        <v>69</v>
      </c>
      <c r="F35" s="14">
        <v>1.0</v>
      </c>
      <c r="G35" s="14"/>
      <c r="H35" s="14"/>
      <c r="I35" s="14"/>
      <c r="J35" s="27"/>
      <c r="K35" s="2"/>
      <c r="L35" s="2">
        <f t="shared" si="1"/>
        <v>1</v>
      </c>
      <c r="M35" s="2">
        <f t="shared" si="2"/>
        <v>4</v>
      </c>
      <c r="N35" s="1">
        <f t="shared" si="9"/>
        <v>16</v>
      </c>
      <c r="O35" s="28">
        <f>IFERROR(__xludf.DUMMYFUNCTION("""COMPUTED_VALUE"""),7271.0)</f>
        <v>7271</v>
      </c>
      <c r="P35" s="25" t="str">
        <f>IFERROR(__xludf.DUMMYFUNCTION("""COMPUTED_VALUE"""),"Carpenters")</f>
        <v>Carpenters</v>
      </c>
      <c r="Q35" s="29">
        <f>IFERROR(__xludf.DUMMYFUNCTION("""COMPUTED_VALUE"""),0.9166666666666666)</f>
        <v>0.9166666667</v>
      </c>
      <c r="S35" s="30"/>
      <c r="T35" s="30"/>
      <c r="U35" s="30"/>
      <c r="V35" s="30"/>
      <c r="W35" s="30"/>
      <c r="X35" s="30"/>
      <c r="Y35" s="30"/>
      <c r="Z35" s="1">
        <v>31.0</v>
      </c>
      <c r="AA35" s="22"/>
      <c r="AB35" s="32"/>
      <c r="AC35" s="2"/>
      <c r="AD35" s="2"/>
      <c r="AE35" s="2"/>
      <c r="AF35" s="2"/>
      <c r="AG35" s="2"/>
    </row>
    <row r="36" ht="15.75" customHeight="1">
      <c r="A36" s="2"/>
      <c r="B36" s="1"/>
      <c r="C36" s="11">
        <v>32.0</v>
      </c>
      <c r="D36" s="12" t="s">
        <v>42</v>
      </c>
      <c r="E36" s="21" t="s">
        <v>70</v>
      </c>
      <c r="F36" s="14"/>
      <c r="G36" s="14">
        <v>1.0</v>
      </c>
      <c r="H36" s="14"/>
      <c r="I36" s="14"/>
      <c r="J36" s="14"/>
      <c r="K36" s="2"/>
      <c r="L36" s="2">
        <f t="shared" si="1"/>
        <v>1</v>
      </c>
      <c r="M36" s="2">
        <f t="shared" si="2"/>
        <v>3</v>
      </c>
      <c r="N36" s="1">
        <f t="shared" si="9"/>
        <v>17</v>
      </c>
      <c r="O36" s="28">
        <f>IFERROR(__xludf.DUMMYFUNCTION("""COMPUTED_VALUE"""),7311.0)</f>
        <v>7311</v>
      </c>
      <c r="P36" s="25" t="str">
        <f>IFERROR(__xludf.DUMMYFUNCTION("""COMPUTED_VALUE"""),"Construction millwrights and industrial mechanics")</f>
        <v>Construction millwrights and industrial mechanics</v>
      </c>
      <c r="Q36" s="29">
        <f>IFERROR(__xludf.DUMMYFUNCTION("""COMPUTED_VALUE"""),0.9166666666666666)</f>
        <v>0.9166666667</v>
      </c>
      <c r="S36" s="30"/>
      <c r="T36" s="30"/>
      <c r="U36" s="30"/>
      <c r="V36" s="30"/>
      <c r="W36" s="30"/>
      <c r="X36" s="30"/>
      <c r="Y36" s="30"/>
      <c r="Z36" s="1">
        <v>32.0</v>
      </c>
      <c r="AA36" s="22"/>
      <c r="AB36" s="32"/>
      <c r="AC36" s="2"/>
      <c r="AD36" s="2"/>
      <c r="AE36" s="2"/>
      <c r="AF36" s="2"/>
      <c r="AG36" s="2"/>
    </row>
    <row r="37" ht="15.75" customHeight="1">
      <c r="A37" s="1"/>
      <c r="B37" s="1"/>
      <c r="C37" s="11">
        <v>33.0</v>
      </c>
      <c r="D37" s="12" t="s">
        <v>33</v>
      </c>
      <c r="E37" s="21" t="s">
        <v>71</v>
      </c>
      <c r="F37" s="27"/>
      <c r="G37" s="14"/>
      <c r="H37" s="14">
        <v>1.0</v>
      </c>
      <c r="I37" s="14"/>
      <c r="J37" s="14"/>
      <c r="K37" s="2"/>
      <c r="L37" s="2">
        <f t="shared" si="1"/>
        <v>1</v>
      </c>
      <c r="M37" s="2">
        <f t="shared" si="2"/>
        <v>2</v>
      </c>
      <c r="N37" s="1">
        <f t="shared" si="9"/>
        <v>18</v>
      </c>
      <c r="O37" s="28">
        <f>IFERROR(__xludf.DUMMYFUNCTION("""COMPUTED_VALUE"""),7204.0)</f>
        <v>7204</v>
      </c>
      <c r="P37" s="25" t="str">
        <f>IFERROR(__xludf.DUMMYFUNCTION("""COMPUTED_VALUE"""),"Contractors and supervisors, carpentry trades")</f>
        <v>Contractors and supervisors, carpentry trades</v>
      </c>
      <c r="Q37" s="29">
        <f>IFERROR(__xludf.DUMMYFUNCTION("""COMPUTED_VALUE"""),0.9166666666666666)</f>
        <v>0.9166666667</v>
      </c>
      <c r="S37" s="30"/>
      <c r="T37" s="30"/>
      <c r="U37" s="30"/>
      <c r="V37" s="30"/>
      <c r="W37" s="30"/>
      <c r="X37" s="30"/>
      <c r="Y37" s="30"/>
      <c r="Z37" s="1">
        <v>33.0</v>
      </c>
      <c r="AA37" s="22"/>
      <c r="AB37" s="32"/>
      <c r="AC37" s="2"/>
      <c r="AD37" s="2"/>
      <c r="AE37" s="2"/>
      <c r="AF37" s="2"/>
      <c r="AG37" s="2"/>
    </row>
    <row r="38" ht="15.75" customHeight="1">
      <c r="A38" s="2"/>
      <c r="B38" s="1"/>
      <c r="C38" s="11">
        <v>34.0</v>
      </c>
      <c r="D38" s="12" t="s">
        <v>24</v>
      </c>
      <c r="E38" s="21" t="s">
        <v>72</v>
      </c>
      <c r="F38" s="27"/>
      <c r="G38" s="14"/>
      <c r="H38" s="14"/>
      <c r="I38" s="14">
        <v>1.0</v>
      </c>
      <c r="J38" s="14"/>
      <c r="K38" s="2"/>
      <c r="L38" s="2">
        <f t="shared" si="1"/>
        <v>1</v>
      </c>
      <c r="M38" s="2">
        <f t="shared" si="2"/>
        <v>1</v>
      </c>
      <c r="N38" s="1">
        <f t="shared" si="9"/>
        <v>19</v>
      </c>
      <c r="O38" s="28">
        <f>IFERROR(__xludf.DUMMYFUNCTION("""COMPUTED_VALUE"""),7202.0)</f>
        <v>7202</v>
      </c>
      <c r="P38" s="25" t="str">
        <f>IFERROR(__xludf.DUMMYFUNCTION("""COMPUTED_VALUE"""),"Contractors and supervisors, electrical trades and telecommunications occupations")</f>
        <v>Contractors and supervisors, electrical trades and telecommunications occupations</v>
      </c>
      <c r="Q38" s="29">
        <f>IFERROR(__xludf.DUMMYFUNCTION("""COMPUTED_VALUE"""),0.9166666666666666)</f>
        <v>0.9166666667</v>
      </c>
      <c r="S38" s="30"/>
      <c r="T38" s="30"/>
      <c r="U38" s="30"/>
      <c r="V38" s="30"/>
      <c r="W38" s="30"/>
      <c r="X38" s="30"/>
      <c r="Y38" s="30"/>
      <c r="Z38" s="1">
        <v>34.0</v>
      </c>
      <c r="AA38" s="22"/>
      <c r="AB38" s="32"/>
      <c r="AC38" s="2"/>
      <c r="AD38" s="2"/>
      <c r="AE38" s="2"/>
      <c r="AF38" s="2"/>
      <c r="AG38" s="2"/>
    </row>
    <row r="39" ht="15.75" customHeight="1">
      <c r="A39" s="1"/>
      <c r="B39" s="1"/>
      <c r="C39" s="11">
        <v>35.0</v>
      </c>
      <c r="D39" s="12" t="s">
        <v>18</v>
      </c>
      <c r="E39" s="21" t="s">
        <v>73</v>
      </c>
      <c r="F39" s="14"/>
      <c r="G39" s="14"/>
      <c r="H39" s="14"/>
      <c r="I39" s="14"/>
      <c r="J39" s="14">
        <v>1.0</v>
      </c>
      <c r="K39" s="2"/>
      <c r="L39" s="2">
        <f t="shared" si="1"/>
        <v>1</v>
      </c>
      <c r="M39" s="2">
        <f t="shared" si="2"/>
        <v>0</v>
      </c>
      <c r="N39" s="1">
        <f t="shared" si="9"/>
        <v>20</v>
      </c>
      <c r="O39" s="28">
        <f>IFERROR(__xludf.DUMMYFUNCTION("""COMPUTED_VALUE"""),7302.0)</f>
        <v>7302</v>
      </c>
      <c r="P39" s="25" t="str">
        <f>IFERROR(__xludf.DUMMYFUNCTION("""COMPUTED_VALUE"""),"Contractors and supervisors, heavy equipment operator crews")</f>
        <v>Contractors and supervisors, heavy equipment operator crews</v>
      </c>
      <c r="Q39" s="29">
        <f>IFERROR(__xludf.DUMMYFUNCTION("""COMPUTED_VALUE"""),0.9166666666666666)</f>
        <v>0.9166666667</v>
      </c>
      <c r="S39" s="30"/>
      <c r="T39" s="30"/>
      <c r="U39" s="30"/>
      <c r="V39" s="30"/>
      <c r="W39" s="30"/>
      <c r="X39" s="30"/>
      <c r="Y39" s="30"/>
      <c r="Z39" s="1">
        <v>35.0</v>
      </c>
      <c r="AA39" s="22"/>
      <c r="AB39" s="32"/>
      <c r="AC39" s="2"/>
      <c r="AD39" s="2"/>
      <c r="AE39" s="2"/>
      <c r="AF39" s="2"/>
      <c r="AG39" s="2"/>
    </row>
    <row r="40" ht="15.75" customHeight="1">
      <c r="A40" s="2"/>
      <c r="B40" s="1"/>
      <c r="C40" s="11">
        <v>36.0</v>
      </c>
      <c r="D40" s="12" t="s">
        <v>39</v>
      </c>
      <c r="E40" s="21" t="s">
        <v>74</v>
      </c>
      <c r="F40" s="14">
        <v>1.0</v>
      </c>
      <c r="G40" s="14"/>
      <c r="H40" s="14"/>
      <c r="I40" s="14"/>
      <c r="J40" s="27"/>
      <c r="K40" s="2"/>
      <c r="L40" s="2">
        <f t="shared" si="1"/>
        <v>1</v>
      </c>
      <c r="M40" s="2">
        <f t="shared" si="2"/>
        <v>4</v>
      </c>
      <c r="N40" s="1">
        <f t="shared" si="9"/>
        <v>20</v>
      </c>
      <c r="O40" s="28">
        <f>IFERROR(__xludf.DUMMYFUNCTION("""COMPUTED_VALUE"""),7201.0)</f>
        <v>7201</v>
      </c>
      <c r="P40" s="25" t="str">
        <f>IFERROR(__xludf.DUMMYFUNCTION("""COMPUTED_VALUE"""),"Contractors and supervisors, machining, metal forming, shaping and erecting trades and related occupations")</f>
        <v>Contractors and supervisors, machining, metal forming, shaping and erecting trades and related occupations</v>
      </c>
      <c r="Q40" s="29">
        <f>IFERROR(__xludf.DUMMYFUNCTION("""COMPUTED_VALUE"""),0.9166666666666666)</f>
        <v>0.9166666667</v>
      </c>
      <c r="S40" s="30"/>
      <c r="T40" s="30"/>
      <c r="U40" s="30"/>
      <c r="V40" s="30"/>
      <c r="W40" s="30"/>
      <c r="X40" s="30"/>
      <c r="Y40" s="30"/>
      <c r="Z40" s="1">
        <v>36.0</v>
      </c>
      <c r="AA40" s="22"/>
      <c r="AB40" s="32"/>
      <c r="AC40" s="2"/>
      <c r="AD40" s="2"/>
      <c r="AE40" s="2"/>
      <c r="AF40" s="2"/>
      <c r="AG40" s="2"/>
    </row>
    <row r="41" ht="15.75" customHeight="1">
      <c r="A41" s="2"/>
      <c r="B41" s="1"/>
      <c r="C41" s="11">
        <v>37.0</v>
      </c>
      <c r="D41" s="12" t="s">
        <v>36</v>
      </c>
      <c r="E41" s="21" t="s">
        <v>75</v>
      </c>
      <c r="F41" s="14">
        <v>1.0</v>
      </c>
      <c r="G41" s="14"/>
      <c r="H41" s="14"/>
      <c r="I41" s="14"/>
      <c r="J41" s="27"/>
      <c r="K41" s="2"/>
      <c r="L41" s="2">
        <f t="shared" si="1"/>
        <v>1</v>
      </c>
      <c r="M41" s="2">
        <f t="shared" si="2"/>
        <v>4</v>
      </c>
      <c r="N41" s="1">
        <f t="shared" si="9"/>
        <v>21</v>
      </c>
      <c r="O41" s="28">
        <f>IFERROR(__xludf.DUMMYFUNCTION("""COMPUTED_VALUE"""),7301.0)</f>
        <v>7301</v>
      </c>
      <c r="P41" s="25" t="str">
        <f>IFERROR(__xludf.DUMMYFUNCTION("""COMPUTED_VALUE"""),"Contractors and supervisors, mechanic trades")</f>
        <v>Contractors and supervisors, mechanic trades</v>
      </c>
      <c r="Q41" s="29">
        <f>IFERROR(__xludf.DUMMYFUNCTION("""COMPUTED_VALUE"""),0.9166666666666666)</f>
        <v>0.9166666667</v>
      </c>
      <c r="S41" s="30"/>
      <c r="T41" s="30"/>
      <c r="U41" s="30"/>
      <c r="V41" s="30"/>
      <c r="W41" s="30"/>
      <c r="X41" s="30"/>
      <c r="Y41" s="30"/>
      <c r="Z41" s="1">
        <v>37.0</v>
      </c>
      <c r="AA41" s="22"/>
      <c r="AB41" s="32"/>
      <c r="AC41" s="2"/>
      <c r="AD41" s="2"/>
      <c r="AE41" s="2"/>
      <c r="AF41" s="2"/>
      <c r="AG41" s="2"/>
    </row>
    <row r="42" ht="15.75" customHeight="1">
      <c r="A42" s="2"/>
      <c r="B42" s="1"/>
      <c r="C42" s="11">
        <v>38.0</v>
      </c>
      <c r="D42" s="13" t="s">
        <v>30</v>
      </c>
      <c r="E42" s="21" t="s">
        <v>76</v>
      </c>
      <c r="F42" s="14">
        <v>1.0</v>
      </c>
      <c r="G42" s="14"/>
      <c r="H42" s="14"/>
      <c r="I42" s="14"/>
      <c r="J42" s="27"/>
      <c r="K42" s="2"/>
      <c r="L42" s="2">
        <f t="shared" si="1"/>
        <v>1</v>
      </c>
      <c r="M42" s="2">
        <f t="shared" si="2"/>
        <v>4</v>
      </c>
      <c r="N42" s="1">
        <f t="shared" si="9"/>
        <v>22</v>
      </c>
      <c r="O42" s="28">
        <f>IFERROR(__xludf.DUMMYFUNCTION("""COMPUTED_VALUE"""),7205.0)</f>
        <v>7205</v>
      </c>
      <c r="P42" s="25" t="str">
        <f>IFERROR(__xludf.DUMMYFUNCTION("""COMPUTED_VALUE"""),"Contractors and supervisors, other construction trades, installers, repairers and servicers")</f>
        <v>Contractors and supervisors, other construction trades, installers, repairers and servicers</v>
      </c>
      <c r="Q42" s="29">
        <f>IFERROR(__xludf.DUMMYFUNCTION("""COMPUTED_VALUE"""),0.9166666666666666)</f>
        <v>0.9166666667</v>
      </c>
      <c r="S42" s="30"/>
      <c r="T42" s="30"/>
      <c r="U42" s="30"/>
      <c r="V42" s="30"/>
      <c r="W42" s="30"/>
      <c r="X42" s="30"/>
      <c r="Y42" s="30"/>
      <c r="Z42" s="1">
        <v>38.0</v>
      </c>
      <c r="AA42" s="22"/>
      <c r="AB42" s="32"/>
      <c r="AC42" s="2"/>
      <c r="AD42" s="2"/>
      <c r="AE42" s="2"/>
      <c r="AF42" s="2"/>
      <c r="AG42" s="2"/>
    </row>
    <row r="43" ht="15.75" customHeight="1">
      <c r="A43" s="2"/>
      <c r="B43" s="1"/>
      <c r="C43" s="11">
        <v>39.0</v>
      </c>
      <c r="D43" s="12" t="s">
        <v>21</v>
      </c>
      <c r="E43" s="21" t="s">
        <v>77</v>
      </c>
      <c r="F43" s="14">
        <v>1.0</v>
      </c>
      <c r="G43" s="14"/>
      <c r="H43" s="14"/>
      <c r="I43" s="14"/>
      <c r="J43" s="14"/>
      <c r="K43" s="2"/>
      <c r="L43" s="2">
        <f t="shared" si="1"/>
        <v>1</v>
      </c>
      <c r="M43" s="2">
        <f t="shared" si="2"/>
        <v>4</v>
      </c>
      <c r="N43" s="1">
        <f t="shared" si="9"/>
        <v>23</v>
      </c>
      <c r="O43" s="28">
        <f>IFERROR(__xludf.DUMMYFUNCTION("""COMPUTED_VALUE"""),7203.0)</f>
        <v>7203</v>
      </c>
      <c r="P43" s="25" t="str">
        <f>IFERROR(__xludf.DUMMYFUNCTION("""COMPUTED_VALUE"""),"Contractors and supervisors, pipefitting trades")</f>
        <v>Contractors and supervisors, pipefitting trades</v>
      </c>
      <c r="Q43" s="29">
        <f>IFERROR(__xludf.DUMMYFUNCTION("""COMPUTED_VALUE"""),0.9166666666666666)</f>
        <v>0.9166666667</v>
      </c>
      <c r="S43" s="30"/>
      <c r="T43" s="30"/>
      <c r="U43" s="30"/>
      <c r="V43" s="30"/>
      <c r="W43" s="30"/>
      <c r="X43" s="30"/>
      <c r="Y43" s="30"/>
      <c r="Z43" s="1">
        <v>39.0</v>
      </c>
      <c r="AA43" s="22"/>
      <c r="AB43" s="32"/>
      <c r="AC43" s="2"/>
      <c r="AD43" s="2"/>
      <c r="AE43" s="2"/>
      <c r="AF43" s="2"/>
      <c r="AG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">
        <f t="shared" si="9"/>
        <v>24</v>
      </c>
      <c r="O44" s="28">
        <f>IFERROR(__xludf.DUMMYFUNCTION("""COMPUTED_VALUE"""),3222.0)</f>
        <v>3222</v>
      </c>
      <c r="P44" s="25" t="str">
        <f>IFERROR(__xludf.DUMMYFUNCTION("""COMPUTED_VALUE"""),"Dental hygienists and dental therapists")</f>
        <v>Dental hygienists and dental therapists</v>
      </c>
      <c r="Q44" s="29">
        <f>IFERROR(__xludf.DUMMYFUNCTION("""COMPUTED_VALUE"""),0.9166666666666666)</f>
        <v>0.9166666667</v>
      </c>
      <c r="S44" s="30"/>
      <c r="T44" s="30"/>
      <c r="U44" s="30"/>
      <c r="V44" s="30"/>
      <c r="W44" s="30"/>
      <c r="X44" s="30"/>
      <c r="Y44" s="30"/>
      <c r="Z44" s="1">
        <v>40.0</v>
      </c>
      <c r="AA44" s="22"/>
      <c r="AB44" s="32"/>
      <c r="AC44" s="2"/>
      <c r="AD44" s="2"/>
      <c r="AE44" s="2"/>
      <c r="AF44" s="2"/>
      <c r="AG44" s="2"/>
    </row>
    <row r="45" ht="15.75" customHeight="1">
      <c r="A45" s="2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">
        <f t="shared" si="9"/>
        <v>25</v>
      </c>
      <c r="O45" s="28">
        <f>IFERROR(__xludf.DUMMYFUNCTION("""COMPUTED_VALUE"""),1423.0)</f>
        <v>1423</v>
      </c>
      <c r="P45" s="25" t="str">
        <f>IFERROR(__xludf.DUMMYFUNCTION("""COMPUTED_VALUE"""),"Desktop publishing operators and related occupations")</f>
        <v>Desktop publishing operators and related occupations</v>
      </c>
      <c r="Q45" s="29">
        <f>IFERROR(__xludf.DUMMYFUNCTION("""COMPUTED_VALUE"""),0.9166666666666666)</f>
        <v>0.9166666667</v>
      </c>
      <c r="S45" s="30"/>
      <c r="T45" s="30"/>
      <c r="U45" s="30"/>
      <c r="V45" s="30"/>
      <c r="W45" s="30"/>
      <c r="X45" s="30"/>
      <c r="Y45" s="30"/>
      <c r="Z45" s="30"/>
      <c r="AA45" s="22"/>
      <c r="AB45" s="32"/>
      <c r="AC45" s="2"/>
      <c r="AD45" s="2"/>
      <c r="AE45" s="2"/>
      <c r="AF45" s="2"/>
      <c r="AG45" s="2"/>
    </row>
    <row r="46" ht="15.75" customHeight="1">
      <c r="A46" s="2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">
        <f t="shared" si="9"/>
        <v>26</v>
      </c>
      <c r="O46" s="28">
        <f>IFERROR(__xludf.DUMMYFUNCTION("""COMPUTED_VALUE"""),2241.0)</f>
        <v>2241</v>
      </c>
      <c r="P46" s="25" t="str">
        <f>IFERROR(__xludf.DUMMYFUNCTION("""COMPUTED_VALUE"""),"Electrical and electronics engineering technologists and technicians")</f>
        <v>Electrical and electronics engineering technologists and technicians</v>
      </c>
      <c r="Q46" s="29">
        <f>IFERROR(__xludf.DUMMYFUNCTION("""COMPUTED_VALUE"""),0.9166666666666666)</f>
        <v>0.9166666667</v>
      </c>
      <c r="S46" s="30"/>
      <c r="T46" s="30"/>
      <c r="U46" s="30"/>
      <c r="V46" s="30"/>
      <c r="W46" s="30"/>
      <c r="X46" s="30"/>
      <c r="Y46" s="30"/>
      <c r="Z46" s="30"/>
      <c r="AA46" s="22"/>
      <c r="AB46" s="32"/>
      <c r="AC46" s="2"/>
      <c r="AD46" s="2"/>
      <c r="AE46" s="2"/>
      <c r="AF46" s="2"/>
      <c r="AG46" s="2"/>
    </row>
    <row r="47" ht="15.75" customHeight="1">
      <c r="A47" s="2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">
        <f t="shared" si="9"/>
        <v>27</v>
      </c>
      <c r="O47" s="28">
        <f>IFERROR(__xludf.DUMMYFUNCTION("""COMPUTED_VALUE"""),7241.0)</f>
        <v>7241</v>
      </c>
      <c r="P47" s="25" t="str">
        <f>IFERROR(__xludf.DUMMYFUNCTION("""COMPUTED_VALUE"""),"Electricians (except industrial and power system)")</f>
        <v>Electricians (except industrial and power system)</v>
      </c>
      <c r="Q47" s="29">
        <f>IFERROR(__xludf.DUMMYFUNCTION("""COMPUTED_VALUE"""),0.9166666666666666)</f>
        <v>0.9166666667</v>
      </c>
      <c r="S47" s="30"/>
      <c r="T47" s="30"/>
      <c r="U47" s="30"/>
      <c r="V47" s="30"/>
      <c r="W47" s="30"/>
      <c r="X47" s="30"/>
      <c r="Y47" s="30"/>
      <c r="Z47" s="30"/>
      <c r="AA47" s="22"/>
      <c r="AB47" s="32"/>
      <c r="AC47" s="2"/>
      <c r="AD47" s="2"/>
      <c r="AE47" s="2"/>
      <c r="AF47" s="2"/>
      <c r="AG47" s="2"/>
    </row>
    <row r="48" ht="15.75" customHeight="1">
      <c r="A48" s="2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">
        <f t="shared" si="9"/>
        <v>28</v>
      </c>
      <c r="O48" s="28">
        <f>IFERROR(__xludf.DUMMYFUNCTION("""COMPUTED_VALUE"""),4413.0)</f>
        <v>4413</v>
      </c>
      <c r="P48" s="25" t="str">
        <f>IFERROR(__xludf.DUMMYFUNCTION("""COMPUTED_VALUE"""),"Elementary and secondary school teacher assistants")</f>
        <v>Elementary and secondary school teacher assistants</v>
      </c>
      <c r="Q48" s="29">
        <f>IFERROR(__xludf.DUMMYFUNCTION("""COMPUTED_VALUE"""),0.9166666666666666)</f>
        <v>0.9166666667</v>
      </c>
      <c r="S48" s="30"/>
      <c r="T48" s="30"/>
      <c r="U48" s="30"/>
      <c r="V48" s="30"/>
      <c r="W48" s="30"/>
      <c r="X48" s="30"/>
      <c r="Y48" s="30"/>
      <c r="Z48" s="30"/>
      <c r="AA48" s="22"/>
      <c r="AB48" s="32"/>
      <c r="AC48" s="2"/>
      <c r="AD48" s="2"/>
      <c r="AE48" s="2"/>
      <c r="AF48" s="2"/>
      <c r="AG48" s="2"/>
    </row>
    <row r="49" ht="15.75" customHeight="1">
      <c r="A49" s="2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">
        <f t="shared" si="9"/>
        <v>29</v>
      </c>
      <c r="O49" s="28">
        <f>IFERROR(__xludf.DUMMYFUNCTION("""COMPUTED_VALUE"""),2223.0)</f>
        <v>2223</v>
      </c>
      <c r="P49" s="25" t="str">
        <f>IFERROR(__xludf.DUMMYFUNCTION("""COMPUTED_VALUE"""),"Forestry technologists and technicians")</f>
        <v>Forestry technologists and technicians</v>
      </c>
      <c r="Q49" s="29">
        <f>IFERROR(__xludf.DUMMYFUNCTION("""COMPUTED_VALUE"""),0.9166666666666666)</f>
        <v>0.9166666667</v>
      </c>
      <c r="S49" s="30"/>
      <c r="T49" s="30"/>
      <c r="U49" s="30"/>
      <c r="V49" s="30"/>
      <c r="W49" s="30"/>
      <c r="X49" s="30"/>
      <c r="Y49" s="30"/>
      <c r="Z49" s="30"/>
      <c r="AA49" s="22"/>
      <c r="AB49" s="32"/>
      <c r="AC49" s="2"/>
      <c r="AD49" s="2"/>
      <c r="AE49" s="2"/>
      <c r="AF49" s="2"/>
      <c r="AG49" s="2"/>
    </row>
    <row r="50" ht="15.75" customHeight="1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">
        <f t="shared" si="9"/>
        <v>30</v>
      </c>
      <c r="O50" s="28"/>
      <c r="P50" s="25"/>
      <c r="Q50" s="29"/>
      <c r="S50" s="30"/>
      <c r="T50" s="30"/>
      <c r="U50" s="30"/>
      <c r="V50" s="30"/>
      <c r="W50" s="30"/>
      <c r="X50" s="30"/>
      <c r="Y50" s="30"/>
      <c r="Z50" s="30"/>
      <c r="AA50" s="22"/>
      <c r="AB50" s="32"/>
      <c r="AC50" s="2"/>
      <c r="AD50" s="2"/>
      <c r="AE50" s="2"/>
      <c r="AF50" s="2"/>
      <c r="AG50" s="2"/>
    </row>
    <row r="51" ht="15.75" customHeight="1">
      <c r="A51" s="2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">
        <f t="shared" si="9"/>
        <v>31</v>
      </c>
      <c r="O51" s="28"/>
      <c r="P51" s="25"/>
      <c r="Q51" s="29"/>
      <c r="S51" s="30"/>
      <c r="T51" s="30"/>
      <c r="U51" s="30"/>
      <c r="V51" s="30"/>
      <c r="W51" s="30"/>
      <c r="X51" s="30"/>
      <c r="Y51" s="30"/>
      <c r="Z51" s="30"/>
      <c r="AA51" s="22"/>
      <c r="AB51" s="32"/>
      <c r="AC51" s="2"/>
      <c r="AD51" s="2"/>
      <c r="AE51" s="2"/>
      <c r="AF51" s="2"/>
      <c r="AG51" s="2"/>
    </row>
    <row r="52" ht="15.75" customHeight="1">
      <c r="A52" s="2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">
        <f t="shared" si="9"/>
        <v>32</v>
      </c>
      <c r="O52" s="28"/>
      <c r="P52" s="25"/>
      <c r="Q52" s="29"/>
      <c r="S52" s="30"/>
      <c r="T52" s="30"/>
      <c r="U52" s="30"/>
      <c r="V52" s="30"/>
      <c r="W52" s="30"/>
      <c r="X52" s="30"/>
      <c r="Y52" s="30"/>
      <c r="Z52" s="30"/>
      <c r="AA52" s="22"/>
      <c r="AB52" s="32"/>
      <c r="AC52" s="2"/>
      <c r="AD52" s="2"/>
      <c r="AE52" s="2"/>
      <c r="AF52" s="2"/>
      <c r="AG52" s="2"/>
    </row>
    <row r="53" ht="15.75" customHeight="1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">
        <f t="shared" si="9"/>
        <v>33</v>
      </c>
      <c r="O53" s="28"/>
      <c r="P53" s="25"/>
      <c r="Q53" s="29"/>
      <c r="S53" s="30"/>
      <c r="T53" s="30"/>
      <c r="U53" s="30"/>
      <c r="V53" s="30"/>
      <c r="W53" s="30"/>
      <c r="X53" s="30"/>
      <c r="Y53" s="30"/>
      <c r="Z53" s="30"/>
      <c r="AA53" s="22"/>
      <c r="AB53" s="32"/>
      <c r="AC53" s="2"/>
      <c r="AD53" s="2"/>
      <c r="AE53" s="2"/>
      <c r="AF53" s="2"/>
      <c r="AG53" s="2"/>
    </row>
    <row r="54" ht="15.75" customHeight="1">
      <c r="A54" s="2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">
        <f t="shared" si="9"/>
        <v>34</v>
      </c>
      <c r="O54" s="28"/>
      <c r="P54" s="25"/>
      <c r="Q54" s="29"/>
      <c r="S54" s="30"/>
      <c r="T54" s="30"/>
      <c r="U54" s="30"/>
      <c r="V54" s="30"/>
      <c r="W54" s="30"/>
      <c r="X54" s="30"/>
      <c r="Y54" s="30"/>
      <c r="Z54" s="30"/>
      <c r="AA54" s="22"/>
      <c r="AB54" s="32"/>
      <c r="AC54" s="2"/>
      <c r="AD54" s="2"/>
      <c r="AE54" s="2"/>
      <c r="AF54" s="2"/>
      <c r="AG54" s="2"/>
    </row>
    <row r="55" ht="15.75" customHeight="1">
      <c r="A55" s="2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">
        <f t="shared" si="9"/>
        <v>35</v>
      </c>
      <c r="O55" s="28"/>
      <c r="P55" s="25"/>
      <c r="Q55" s="29"/>
      <c r="S55" s="30"/>
      <c r="T55" s="30"/>
      <c r="U55" s="30"/>
      <c r="V55" s="30"/>
      <c r="W55" s="30"/>
      <c r="X55" s="30"/>
      <c r="Y55" s="30"/>
      <c r="Z55" s="30"/>
      <c r="AA55" s="22"/>
      <c r="AB55" s="32"/>
      <c r="AC55" s="2"/>
      <c r="AD55" s="2"/>
      <c r="AE55" s="2"/>
      <c r="AF55" s="2"/>
      <c r="AG55" s="2"/>
    </row>
    <row r="56" ht="15.75" customHeight="1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3"/>
      <c r="P56" s="22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22"/>
      <c r="AB56" s="32"/>
      <c r="AC56" s="2"/>
      <c r="AD56" s="2"/>
      <c r="AE56" s="2"/>
      <c r="AF56" s="2"/>
      <c r="AG56" s="2"/>
    </row>
    <row r="57" ht="15.75" customHeight="1">
      <c r="A57" s="2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3"/>
      <c r="P57" s="22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22"/>
      <c r="AB57" s="32"/>
      <c r="AC57" s="2"/>
      <c r="AD57" s="2"/>
      <c r="AE57" s="2"/>
      <c r="AF57" s="2"/>
      <c r="AG57" s="2"/>
    </row>
    <row r="58" ht="15.75" customHeight="1">
      <c r="A58" s="2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3"/>
      <c r="P58" s="22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22"/>
      <c r="AB58" s="32"/>
      <c r="AC58" s="2"/>
      <c r="AD58" s="2"/>
      <c r="AE58" s="2"/>
      <c r="AF58" s="2"/>
      <c r="AG58" s="2"/>
    </row>
    <row r="59" ht="15.75" customHeight="1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3"/>
      <c r="P59" s="22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22"/>
      <c r="AB59" s="32"/>
      <c r="AC59" s="2"/>
      <c r="AD59" s="2"/>
      <c r="AE59" s="2"/>
      <c r="AF59" s="2"/>
      <c r="AG59" s="2"/>
    </row>
    <row r="60" ht="15.75" customHeight="1">
      <c r="A60" s="2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3"/>
      <c r="P60" s="22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22"/>
      <c r="AB60" s="32"/>
      <c r="AC60" s="2"/>
      <c r="AD60" s="2"/>
      <c r="AE60" s="2"/>
      <c r="AF60" s="2"/>
      <c r="AG60" s="2"/>
    </row>
    <row r="61" ht="15.75" customHeight="1">
      <c r="A61" s="2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3"/>
      <c r="P61" s="22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22"/>
      <c r="AB61" s="32"/>
      <c r="AC61" s="2"/>
      <c r="AD61" s="2"/>
      <c r="AE61" s="2"/>
      <c r="AF61" s="2"/>
      <c r="AG61" s="2"/>
    </row>
    <row r="62" ht="15.75" customHeight="1">
      <c r="A62" s="2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3"/>
      <c r="P62" s="22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22"/>
      <c r="AB62" s="32"/>
      <c r="AC62" s="2"/>
      <c r="AD62" s="2"/>
      <c r="AE62" s="2"/>
      <c r="AF62" s="2"/>
      <c r="AG62" s="2"/>
    </row>
    <row r="63" ht="15.75" customHeight="1">
      <c r="A63" s="2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3"/>
      <c r="P63" s="22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22"/>
      <c r="AB63" s="32"/>
      <c r="AC63" s="2"/>
      <c r="AD63" s="2"/>
      <c r="AE63" s="2"/>
      <c r="AF63" s="2"/>
      <c r="AG63" s="2"/>
    </row>
    <row r="64" ht="15.75" customHeight="1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3"/>
      <c r="P64" s="22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22"/>
      <c r="AB64" s="32"/>
      <c r="AC64" s="2"/>
      <c r="AD64" s="2"/>
      <c r="AE64" s="2"/>
      <c r="AF64" s="2"/>
      <c r="AG64" s="2"/>
    </row>
    <row r="65" ht="15.75" customHeight="1">
      <c r="A65" s="2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3"/>
      <c r="P65" s="22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22"/>
      <c r="AB65" s="32"/>
      <c r="AC65" s="2"/>
      <c r="AD65" s="2"/>
      <c r="AE65" s="2"/>
      <c r="AF65" s="2"/>
      <c r="AG65" s="2"/>
    </row>
    <row r="66" ht="15.75" customHeight="1">
      <c r="A66" s="2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3"/>
      <c r="P66" s="22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22"/>
      <c r="AB66" s="32"/>
      <c r="AC66" s="2"/>
      <c r="AD66" s="2"/>
      <c r="AE66" s="2"/>
      <c r="AF66" s="2"/>
      <c r="AG66" s="2"/>
    </row>
    <row r="67" ht="15.75" customHeight="1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3"/>
      <c r="P67" s="22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22"/>
      <c r="AB67" s="32"/>
      <c r="AC67" s="2"/>
      <c r="AD67" s="2"/>
      <c r="AE67" s="2"/>
      <c r="AF67" s="2"/>
      <c r="AG67" s="2"/>
    </row>
    <row r="68" ht="15.75" customHeight="1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3"/>
      <c r="P68" s="22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22"/>
      <c r="AB68" s="32"/>
      <c r="AC68" s="2"/>
      <c r="AD68" s="2"/>
      <c r="AE68" s="2"/>
      <c r="AF68" s="2"/>
      <c r="AG68" s="2"/>
    </row>
    <row r="69" ht="15.75" customHeight="1">
      <c r="A69" s="2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3"/>
      <c r="P69" s="22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22"/>
      <c r="AB69" s="32"/>
      <c r="AC69" s="2"/>
      <c r="AD69" s="2"/>
      <c r="AE69" s="2"/>
      <c r="AF69" s="2"/>
      <c r="AG69" s="2"/>
    </row>
    <row r="70" ht="15.75" customHeight="1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3"/>
      <c r="P70" s="22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22"/>
      <c r="AB70" s="32"/>
      <c r="AC70" s="2"/>
      <c r="AD70" s="2"/>
      <c r="AE70" s="2"/>
      <c r="AF70" s="2"/>
      <c r="AG70" s="2"/>
    </row>
    <row r="71" ht="15.75" customHeight="1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3"/>
      <c r="P71" s="22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22"/>
      <c r="AB71" s="32"/>
      <c r="AC71" s="2"/>
      <c r="AD71" s="2"/>
      <c r="AE71" s="2"/>
      <c r="AF71" s="2"/>
      <c r="AG71" s="2"/>
    </row>
    <row r="72" ht="15.75" customHeight="1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3"/>
      <c r="P72" s="22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22"/>
      <c r="AB72" s="32"/>
      <c r="AC72" s="2"/>
      <c r="AD72" s="2"/>
      <c r="AE72" s="2"/>
      <c r="AF72" s="2"/>
      <c r="AG72" s="2"/>
    </row>
    <row r="73" ht="15.75" customHeight="1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3"/>
      <c r="P73" s="22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22"/>
      <c r="AB73" s="32"/>
      <c r="AC73" s="2"/>
      <c r="AD73" s="2"/>
      <c r="AE73" s="2"/>
      <c r="AF73" s="2"/>
      <c r="AG73" s="2"/>
    </row>
    <row r="74" ht="15.75" customHeight="1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3"/>
      <c r="P74" s="22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22"/>
      <c r="AB74" s="32"/>
      <c r="AC74" s="2"/>
      <c r="AD74" s="2"/>
      <c r="AE74" s="2"/>
      <c r="AF74" s="2"/>
      <c r="AG74" s="2"/>
    </row>
    <row r="75" ht="15.75" customHeight="1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3"/>
      <c r="P75" s="22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22"/>
      <c r="AB75" s="32"/>
      <c r="AC75" s="2"/>
      <c r="AD75" s="2"/>
      <c r="AE75" s="2"/>
      <c r="AF75" s="2"/>
      <c r="AG75" s="2"/>
    </row>
    <row r="76" ht="15.75" customHeight="1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3"/>
      <c r="P76" s="22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22"/>
      <c r="AB76" s="32"/>
      <c r="AC76" s="2"/>
      <c r="AD76" s="2"/>
      <c r="AE76" s="2"/>
      <c r="AF76" s="2"/>
      <c r="AG76" s="2"/>
    </row>
    <row r="77" ht="15.75" customHeight="1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3"/>
      <c r="P77" s="22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22"/>
      <c r="AB77" s="32"/>
      <c r="AC77" s="2"/>
      <c r="AD77" s="2"/>
      <c r="AE77" s="2"/>
      <c r="AF77" s="2"/>
      <c r="AG77" s="2"/>
    </row>
    <row r="78" ht="15.75" customHeight="1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3"/>
      <c r="P78" s="22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22"/>
      <c r="AB78" s="32"/>
      <c r="AC78" s="2"/>
      <c r="AD78" s="2"/>
      <c r="AE78" s="2"/>
      <c r="AF78" s="2"/>
      <c r="AG78" s="2"/>
    </row>
    <row r="79" ht="15.7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3"/>
      <c r="P79" s="22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22"/>
      <c r="AB79" s="32"/>
      <c r="AC79" s="2"/>
      <c r="AD79" s="2"/>
      <c r="AE79" s="2"/>
      <c r="AF79" s="2"/>
      <c r="AG79" s="2"/>
    </row>
    <row r="80" ht="15.75" customHeight="1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3"/>
      <c r="P80" s="22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22"/>
      <c r="AB80" s="32"/>
      <c r="AC80" s="2"/>
      <c r="AD80" s="2"/>
      <c r="AE80" s="2"/>
      <c r="AF80" s="2"/>
      <c r="AG80" s="2"/>
    </row>
    <row r="81" ht="15.75" customHeight="1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3"/>
      <c r="P81" s="22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22"/>
      <c r="AB81" s="32"/>
      <c r="AC81" s="2"/>
      <c r="AD81" s="2"/>
      <c r="AE81" s="2"/>
      <c r="AF81" s="2"/>
      <c r="AG81" s="2"/>
    </row>
    <row r="82" ht="15.75" customHeight="1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3"/>
      <c r="P82" s="22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22"/>
      <c r="AB82" s="32"/>
      <c r="AC82" s="2"/>
      <c r="AD82" s="2"/>
      <c r="AE82" s="2"/>
      <c r="AF82" s="2"/>
      <c r="AG82" s="2"/>
    </row>
    <row r="83" ht="15.75" customHeight="1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3"/>
      <c r="P83" s="22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22"/>
      <c r="AB83" s="32"/>
      <c r="AC83" s="2"/>
      <c r="AD83" s="2"/>
      <c r="AE83" s="2"/>
      <c r="AF83" s="2"/>
      <c r="AG83" s="2"/>
    </row>
    <row r="84" ht="15.75" customHeight="1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3"/>
      <c r="P84" s="22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22"/>
      <c r="AB84" s="32"/>
      <c r="AC84" s="2"/>
      <c r="AD84" s="2"/>
      <c r="AE84" s="2"/>
      <c r="AF84" s="2"/>
      <c r="AG84" s="2"/>
    </row>
    <row r="85" ht="15.75" customHeight="1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3"/>
      <c r="P85" s="22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22"/>
      <c r="AB85" s="32"/>
      <c r="AC85" s="2"/>
      <c r="AD85" s="2"/>
      <c r="AE85" s="2"/>
      <c r="AF85" s="2"/>
      <c r="AG85" s="2"/>
    </row>
    <row r="86" ht="15.7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3"/>
      <c r="P86" s="22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22"/>
      <c r="AB86" s="32"/>
      <c r="AC86" s="2"/>
      <c r="AD86" s="2"/>
      <c r="AE86" s="2"/>
      <c r="AF86" s="2"/>
      <c r="AG86" s="2"/>
    </row>
    <row r="87" ht="15.7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3"/>
      <c r="P87" s="22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22"/>
      <c r="AB87" s="32"/>
      <c r="AC87" s="2"/>
      <c r="AD87" s="2"/>
      <c r="AE87" s="2"/>
      <c r="AF87" s="2"/>
      <c r="AG87" s="2"/>
    </row>
    <row r="88" ht="15.7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3"/>
      <c r="P88" s="22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22"/>
      <c r="AB88" s="32"/>
      <c r="AC88" s="2"/>
      <c r="AD88" s="2"/>
      <c r="AE88" s="2"/>
      <c r="AF88" s="2"/>
      <c r="AG88" s="2"/>
    </row>
    <row r="89" ht="15.7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3"/>
      <c r="P89" s="22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22"/>
      <c r="AB89" s="32"/>
      <c r="AC89" s="2"/>
      <c r="AD89" s="2"/>
      <c r="AE89" s="2"/>
      <c r="AF89" s="2"/>
      <c r="AG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3"/>
      <c r="P90" s="22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22"/>
      <c r="AB90" s="32"/>
      <c r="AC90" s="2"/>
      <c r="AD90" s="2"/>
      <c r="AE90" s="2"/>
      <c r="AF90" s="2"/>
      <c r="AG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3"/>
      <c r="P91" s="22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22"/>
      <c r="AB91" s="32"/>
      <c r="AC91" s="2"/>
      <c r="AD91" s="2"/>
      <c r="AE91" s="2"/>
      <c r="AF91" s="2"/>
      <c r="AG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3"/>
      <c r="P92" s="22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22"/>
      <c r="AB92" s="32"/>
      <c r="AC92" s="2"/>
      <c r="AD92" s="2"/>
      <c r="AE92" s="2"/>
      <c r="AF92" s="2"/>
      <c r="AG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3"/>
      <c r="P93" s="22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22"/>
      <c r="AB93" s="32"/>
      <c r="AC93" s="2"/>
      <c r="AD93" s="2"/>
      <c r="AE93" s="2"/>
      <c r="AF93" s="2"/>
      <c r="AG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3"/>
      <c r="P94" s="22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22"/>
      <c r="AB94" s="32"/>
      <c r="AC94" s="2"/>
      <c r="AD94" s="2"/>
      <c r="AE94" s="2"/>
      <c r="AF94" s="2"/>
      <c r="AG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3"/>
      <c r="P95" s="22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22"/>
      <c r="AB95" s="32"/>
      <c r="AC95" s="2"/>
      <c r="AD95" s="2"/>
      <c r="AE95" s="2"/>
      <c r="AF95" s="2"/>
      <c r="AG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3"/>
      <c r="P96" s="22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22"/>
      <c r="AB96" s="32"/>
      <c r="AC96" s="2"/>
      <c r="AD96" s="2"/>
      <c r="AE96" s="2"/>
      <c r="AF96" s="2"/>
      <c r="AG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3"/>
      <c r="P97" s="22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22"/>
      <c r="AB97" s="32"/>
      <c r="AC97" s="2"/>
      <c r="AD97" s="2"/>
      <c r="AE97" s="2"/>
      <c r="AF97" s="2"/>
      <c r="AG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3"/>
      <c r="P98" s="22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22"/>
      <c r="AB98" s="32"/>
      <c r="AC98" s="2"/>
      <c r="AD98" s="2"/>
      <c r="AE98" s="2"/>
      <c r="AF98" s="2"/>
      <c r="AG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3"/>
      <c r="P99" s="22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22"/>
      <c r="AB99" s="32"/>
      <c r="AC99" s="2"/>
      <c r="AD99" s="2"/>
      <c r="AE99" s="2"/>
      <c r="AF99" s="2"/>
      <c r="AG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3"/>
      <c r="P100" s="22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22"/>
      <c r="AB100" s="32"/>
      <c r="AC100" s="2"/>
      <c r="AD100" s="2"/>
      <c r="AE100" s="2"/>
      <c r="AF100" s="2"/>
      <c r="AG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3"/>
      <c r="P101" s="22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22"/>
      <c r="AB101" s="32"/>
      <c r="AC101" s="2"/>
      <c r="AD101" s="2"/>
      <c r="AE101" s="2"/>
      <c r="AF101" s="2"/>
      <c r="AG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3"/>
      <c r="P102" s="22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22"/>
      <c r="AB102" s="32"/>
      <c r="AC102" s="2"/>
      <c r="AD102" s="2"/>
      <c r="AE102" s="2"/>
      <c r="AF102" s="2"/>
      <c r="AG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3"/>
      <c r="P103" s="22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22"/>
      <c r="AB103" s="32"/>
      <c r="AC103" s="2"/>
      <c r="AD103" s="2"/>
      <c r="AE103" s="2"/>
      <c r="AF103" s="2"/>
      <c r="AG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3"/>
      <c r="P104" s="22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22"/>
      <c r="AB104" s="32"/>
      <c r="AC104" s="2"/>
      <c r="AD104" s="2"/>
      <c r="AE104" s="2"/>
      <c r="AF104" s="2"/>
      <c r="AG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3"/>
      <c r="P105" s="22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22"/>
      <c r="AB105" s="32"/>
      <c r="AC105" s="2"/>
      <c r="AD105" s="2"/>
      <c r="AE105" s="2"/>
      <c r="AF105" s="2"/>
      <c r="AG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3"/>
      <c r="P106" s="22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22"/>
      <c r="AB106" s="32"/>
      <c r="AC106" s="2"/>
      <c r="AD106" s="2"/>
      <c r="AE106" s="2"/>
      <c r="AF106" s="2"/>
      <c r="AG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3"/>
      <c r="P107" s="22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22"/>
      <c r="AB107" s="32"/>
      <c r="AC107" s="2"/>
      <c r="AD107" s="2"/>
      <c r="AE107" s="2"/>
      <c r="AF107" s="2"/>
      <c r="AG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3"/>
      <c r="P108" s="22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22"/>
      <c r="AB108" s="32"/>
      <c r="AC108" s="2"/>
      <c r="AD108" s="2"/>
      <c r="AE108" s="2"/>
      <c r="AF108" s="2"/>
      <c r="AG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3"/>
      <c r="P109" s="22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22"/>
      <c r="AB109" s="32"/>
      <c r="AC109" s="2"/>
      <c r="AD109" s="2"/>
      <c r="AE109" s="2"/>
      <c r="AF109" s="2"/>
      <c r="AG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3"/>
      <c r="P110" s="22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22"/>
      <c r="AB110" s="32"/>
      <c r="AC110" s="2"/>
      <c r="AD110" s="2"/>
      <c r="AE110" s="2"/>
      <c r="AF110" s="2"/>
      <c r="AG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3"/>
      <c r="P111" s="22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22"/>
      <c r="AB111" s="32"/>
      <c r="AC111" s="2"/>
      <c r="AD111" s="2"/>
      <c r="AE111" s="2"/>
      <c r="AF111" s="2"/>
      <c r="AG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3"/>
      <c r="P112" s="22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22"/>
      <c r="AB112" s="32"/>
      <c r="AC112" s="2"/>
      <c r="AD112" s="2"/>
      <c r="AE112" s="2"/>
      <c r="AF112" s="2"/>
      <c r="AG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3"/>
      <c r="P113" s="22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22"/>
      <c r="AB113" s="32"/>
      <c r="AC113" s="2"/>
      <c r="AD113" s="2"/>
      <c r="AE113" s="2"/>
      <c r="AF113" s="2"/>
      <c r="AG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3"/>
      <c r="P114" s="22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22"/>
      <c r="AB114" s="32"/>
      <c r="AC114" s="2"/>
      <c r="AD114" s="2"/>
      <c r="AE114" s="2"/>
      <c r="AF114" s="2"/>
      <c r="AG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3"/>
      <c r="P115" s="22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22"/>
      <c r="AB115" s="32"/>
      <c r="AC115" s="2"/>
      <c r="AD115" s="2"/>
      <c r="AE115" s="2"/>
      <c r="AF115" s="2"/>
      <c r="AG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3"/>
      <c r="P116" s="22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22"/>
      <c r="AB116" s="32"/>
      <c r="AC116" s="2"/>
      <c r="AD116" s="2"/>
      <c r="AE116" s="2"/>
      <c r="AF116" s="2"/>
      <c r="AG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3"/>
      <c r="P117" s="22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22"/>
      <c r="AB117" s="32"/>
      <c r="AC117" s="2"/>
      <c r="AD117" s="2"/>
      <c r="AE117" s="2"/>
      <c r="AF117" s="2"/>
      <c r="AG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3"/>
      <c r="P118" s="22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22"/>
      <c r="AB118" s="32"/>
      <c r="AC118" s="2"/>
      <c r="AD118" s="2"/>
      <c r="AE118" s="2"/>
      <c r="AF118" s="2"/>
      <c r="AG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3"/>
      <c r="P119" s="22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22"/>
      <c r="AB119" s="32"/>
      <c r="AC119" s="2"/>
      <c r="AD119" s="2"/>
      <c r="AE119" s="2"/>
      <c r="AF119" s="2"/>
      <c r="AG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3"/>
      <c r="P120" s="22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22"/>
      <c r="AB120" s="32"/>
      <c r="AC120" s="2"/>
      <c r="AD120" s="2"/>
      <c r="AE120" s="2"/>
      <c r="AF120" s="2"/>
      <c r="AG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3"/>
      <c r="P121" s="22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22"/>
      <c r="AB121" s="32"/>
      <c r="AC121" s="2"/>
      <c r="AD121" s="2"/>
      <c r="AE121" s="2"/>
      <c r="AF121" s="2"/>
      <c r="AG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3"/>
      <c r="P122" s="22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22"/>
      <c r="AB122" s="32"/>
      <c r="AC122" s="2"/>
      <c r="AD122" s="2"/>
      <c r="AE122" s="2"/>
      <c r="AF122" s="2"/>
      <c r="AG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3"/>
      <c r="P123" s="22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22"/>
      <c r="AB123" s="32"/>
      <c r="AC123" s="2"/>
      <c r="AD123" s="2"/>
      <c r="AE123" s="2"/>
      <c r="AF123" s="2"/>
      <c r="AG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3"/>
      <c r="P124" s="22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22"/>
      <c r="AB124" s="32"/>
      <c r="AC124" s="2"/>
      <c r="AD124" s="2"/>
      <c r="AE124" s="2"/>
      <c r="AF124" s="2"/>
      <c r="AG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3"/>
      <c r="P125" s="22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22"/>
      <c r="AB125" s="32"/>
      <c r="AC125" s="2"/>
      <c r="AD125" s="2"/>
      <c r="AE125" s="2"/>
      <c r="AF125" s="2"/>
      <c r="AG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3"/>
      <c r="P126" s="22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22"/>
      <c r="AB126" s="32"/>
      <c r="AC126" s="2"/>
      <c r="AD126" s="2"/>
      <c r="AE126" s="2"/>
      <c r="AF126" s="2"/>
      <c r="AG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3"/>
      <c r="P127" s="22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22"/>
      <c r="AB127" s="32"/>
      <c r="AC127" s="2"/>
      <c r="AD127" s="2"/>
      <c r="AE127" s="2"/>
      <c r="AF127" s="2"/>
      <c r="AG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3"/>
      <c r="P128" s="22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22"/>
      <c r="AB128" s="32"/>
      <c r="AC128" s="2"/>
      <c r="AD128" s="2"/>
      <c r="AE128" s="2"/>
      <c r="AF128" s="2"/>
      <c r="AG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3"/>
      <c r="P129" s="22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22"/>
      <c r="AB129" s="32"/>
      <c r="AC129" s="2"/>
      <c r="AD129" s="2"/>
      <c r="AE129" s="2"/>
      <c r="AF129" s="2"/>
      <c r="AG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3"/>
      <c r="P130" s="22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22"/>
      <c r="AB130" s="32"/>
      <c r="AC130" s="2"/>
      <c r="AD130" s="2"/>
      <c r="AE130" s="2"/>
      <c r="AF130" s="2"/>
      <c r="AG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3"/>
      <c r="P131" s="22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22"/>
      <c r="AB131" s="32"/>
      <c r="AC131" s="2"/>
      <c r="AD131" s="2"/>
      <c r="AE131" s="2"/>
      <c r="AF131" s="2"/>
      <c r="AG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3"/>
      <c r="P132" s="22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22"/>
      <c r="AB132" s="32"/>
      <c r="AC132" s="2"/>
      <c r="AD132" s="2"/>
      <c r="AE132" s="2"/>
      <c r="AF132" s="2"/>
      <c r="AG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3"/>
      <c r="P133" s="22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22"/>
      <c r="AB133" s="32"/>
      <c r="AC133" s="2"/>
      <c r="AD133" s="2"/>
      <c r="AE133" s="2"/>
      <c r="AF133" s="2"/>
      <c r="AG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3"/>
      <c r="P134" s="22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22"/>
      <c r="AB134" s="32"/>
      <c r="AC134" s="2"/>
      <c r="AD134" s="2"/>
      <c r="AE134" s="2"/>
      <c r="AF134" s="2"/>
      <c r="AG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3"/>
      <c r="P135" s="22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22"/>
      <c r="AB135" s="32"/>
      <c r="AC135" s="2"/>
      <c r="AD135" s="2"/>
      <c r="AE135" s="2"/>
      <c r="AF135" s="2"/>
      <c r="AG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3"/>
      <c r="P136" s="22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22"/>
      <c r="AB136" s="32"/>
      <c r="AC136" s="2"/>
      <c r="AD136" s="2"/>
      <c r="AE136" s="2"/>
      <c r="AF136" s="2"/>
      <c r="AG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3"/>
      <c r="P137" s="22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22"/>
      <c r="AB137" s="32"/>
      <c r="AC137" s="2"/>
      <c r="AD137" s="2"/>
      <c r="AE137" s="2"/>
      <c r="AF137" s="2"/>
      <c r="AG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3"/>
      <c r="P138" s="22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22"/>
      <c r="AB138" s="32"/>
      <c r="AC138" s="2"/>
      <c r="AD138" s="2"/>
      <c r="AE138" s="2"/>
      <c r="AF138" s="2"/>
      <c r="AG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3"/>
      <c r="P139" s="22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22"/>
      <c r="AB139" s="32"/>
      <c r="AC139" s="2"/>
      <c r="AD139" s="2"/>
      <c r="AE139" s="2"/>
      <c r="AF139" s="2"/>
      <c r="AG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3"/>
      <c r="P140" s="22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22"/>
      <c r="AB140" s="32"/>
      <c r="AC140" s="2"/>
      <c r="AD140" s="2"/>
      <c r="AE140" s="2"/>
      <c r="AF140" s="2"/>
      <c r="AG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3"/>
      <c r="P141" s="22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22"/>
      <c r="AB141" s="32"/>
      <c r="AC141" s="2"/>
      <c r="AD141" s="2"/>
      <c r="AE141" s="2"/>
      <c r="AF141" s="2"/>
      <c r="AG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3"/>
      <c r="P142" s="22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22"/>
      <c r="AB142" s="32"/>
      <c r="AC142" s="2"/>
      <c r="AD142" s="2"/>
      <c r="AE142" s="2"/>
      <c r="AF142" s="2"/>
      <c r="AG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3"/>
      <c r="P143" s="22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22"/>
      <c r="AB143" s="32"/>
      <c r="AC143" s="2"/>
      <c r="AD143" s="2"/>
      <c r="AE143" s="2"/>
      <c r="AF143" s="2"/>
      <c r="AG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3"/>
      <c r="P144" s="22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22"/>
      <c r="AB144" s="32"/>
      <c r="AC144" s="2"/>
      <c r="AD144" s="2"/>
      <c r="AE144" s="2"/>
      <c r="AF144" s="2"/>
      <c r="AG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3"/>
      <c r="P145" s="22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22"/>
      <c r="AB145" s="32"/>
      <c r="AC145" s="2"/>
      <c r="AD145" s="2"/>
      <c r="AE145" s="2"/>
      <c r="AF145" s="2"/>
      <c r="AG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3"/>
      <c r="P146" s="22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22"/>
      <c r="AB146" s="32"/>
      <c r="AC146" s="2"/>
      <c r="AD146" s="2"/>
      <c r="AE146" s="2"/>
      <c r="AF146" s="2"/>
      <c r="AG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3"/>
      <c r="P147" s="22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22"/>
      <c r="AB147" s="32"/>
      <c r="AC147" s="2"/>
      <c r="AD147" s="2"/>
      <c r="AE147" s="2"/>
      <c r="AF147" s="2"/>
      <c r="AG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3"/>
      <c r="P148" s="22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22"/>
      <c r="AB148" s="32"/>
      <c r="AC148" s="2"/>
      <c r="AD148" s="2"/>
      <c r="AE148" s="2"/>
      <c r="AF148" s="2"/>
      <c r="AG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3"/>
      <c r="P149" s="22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22"/>
      <c r="AB149" s="32"/>
      <c r="AC149" s="2"/>
      <c r="AD149" s="2"/>
      <c r="AE149" s="2"/>
      <c r="AF149" s="2"/>
      <c r="AG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3"/>
      <c r="P150" s="22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22"/>
      <c r="AB150" s="32"/>
      <c r="AC150" s="2"/>
      <c r="AD150" s="2"/>
      <c r="AE150" s="2"/>
      <c r="AF150" s="2"/>
      <c r="AG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3"/>
      <c r="P151" s="22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22"/>
      <c r="AB151" s="32"/>
      <c r="AC151" s="2"/>
      <c r="AD151" s="2"/>
      <c r="AE151" s="2"/>
      <c r="AF151" s="2"/>
      <c r="AG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3"/>
      <c r="P152" s="22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22"/>
      <c r="AB152" s="32"/>
      <c r="AC152" s="2"/>
      <c r="AD152" s="2"/>
      <c r="AE152" s="2"/>
      <c r="AF152" s="2"/>
      <c r="AG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3"/>
      <c r="P153" s="22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22"/>
      <c r="AB153" s="32"/>
      <c r="AC153" s="2"/>
      <c r="AD153" s="2"/>
      <c r="AE153" s="2"/>
      <c r="AF153" s="2"/>
      <c r="AG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3"/>
      <c r="P154" s="22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22"/>
      <c r="AB154" s="32"/>
      <c r="AC154" s="2"/>
      <c r="AD154" s="2"/>
      <c r="AE154" s="2"/>
      <c r="AF154" s="2"/>
      <c r="AG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3"/>
      <c r="P155" s="22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22"/>
      <c r="AB155" s="32"/>
      <c r="AC155" s="2"/>
      <c r="AD155" s="2"/>
      <c r="AE155" s="2"/>
      <c r="AF155" s="2"/>
      <c r="AG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3"/>
      <c r="P156" s="22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22"/>
      <c r="AB156" s="32"/>
      <c r="AC156" s="2"/>
      <c r="AD156" s="2"/>
      <c r="AE156" s="2"/>
      <c r="AF156" s="2"/>
      <c r="AG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3"/>
      <c r="P157" s="22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22"/>
      <c r="AB157" s="32"/>
      <c r="AC157" s="2"/>
      <c r="AD157" s="2"/>
      <c r="AE157" s="2"/>
      <c r="AF157" s="2"/>
      <c r="AG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3"/>
      <c r="P158" s="22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22"/>
      <c r="AB158" s="32"/>
      <c r="AC158" s="2"/>
      <c r="AD158" s="2"/>
      <c r="AE158" s="2"/>
      <c r="AF158" s="2"/>
      <c r="AG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3"/>
      <c r="P159" s="22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22"/>
      <c r="AB159" s="32"/>
      <c r="AC159" s="2"/>
      <c r="AD159" s="2"/>
      <c r="AE159" s="2"/>
      <c r="AF159" s="2"/>
      <c r="AG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3"/>
      <c r="P160" s="22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22"/>
      <c r="AB160" s="32"/>
      <c r="AC160" s="2"/>
      <c r="AD160" s="2"/>
      <c r="AE160" s="2"/>
      <c r="AF160" s="2"/>
      <c r="AG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3"/>
      <c r="P161" s="22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22"/>
      <c r="AB161" s="32"/>
      <c r="AC161" s="2"/>
      <c r="AD161" s="2"/>
      <c r="AE161" s="2"/>
      <c r="AF161" s="2"/>
      <c r="AG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3"/>
      <c r="P162" s="22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22"/>
      <c r="AB162" s="32"/>
      <c r="AC162" s="2"/>
      <c r="AD162" s="2"/>
      <c r="AE162" s="2"/>
      <c r="AF162" s="2"/>
      <c r="AG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3"/>
      <c r="P163" s="22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22"/>
      <c r="AB163" s="32"/>
      <c r="AC163" s="2"/>
      <c r="AD163" s="2"/>
      <c r="AE163" s="2"/>
      <c r="AF163" s="2"/>
      <c r="AG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3"/>
      <c r="P164" s="22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22"/>
      <c r="AB164" s="32"/>
      <c r="AC164" s="2"/>
      <c r="AD164" s="2"/>
      <c r="AE164" s="2"/>
      <c r="AF164" s="2"/>
      <c r="AG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3"/>
      <c r="P165" s="22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22"/>
      <c r="AB165" s="32"/>
      <c r="AC165" s="2"/>
      <c r="AD165" s="2"/>
      <c r="AE165" s="2"/>
      <c r="AF165" s="2"/>
      <c r="AG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3"/>
      <c r="P166" s="22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22"/>
      <c r="AB166" s="32"/>
      <c r="AC166" s="2"/>
      <c r="AD166" s="2"/>
      <c r="AE166" s="2"/>
      <c r="AF166" s="2"/>
      <c r="AG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3"/>
      <c r="P167" s="22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22"/>
      <c r="AB167" s="32"/>
      <c r="AC167" s="2"/>
      <c r="AD167" s="2"/>
      <c r="AE167" s="2"/>
      <c r="AF167" s="2"/>
      <c r="AG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3"/>
      <c r="P168" s="22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22"/>
      <c r="AB168" s="32"/>
      <c r="AC168" s="2"/>
      <c r="AD168" s="2"/>
      <c r="AE168" s="2"/>
      <c r="AF168" s="2"/>
      <c r="AG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3"/>
      <c r="P169" s="22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22"/>
      <c r="AB169" s="32"/>
      <c r="AC169" s="2"/>
      <c r="AD169" s="2"/>
      <c r="AE169" s="2"/>
      <c r="AF169" s="2"/>
      <c r="AG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3"/>
      <c r="P170" s="22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22"/>
      <c r="AB170" s="32"/>
      <c r="AC170" s="2"/>
      <c r="AD170" s="2"/>
      <c r="AE170" s="2"/>
      <c r="AF170" s="2"/>
      <c r="AG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3"/>
      <c r="P171" s="22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22"/>
      <c r="AB171" s="32"/>
      <c r="AC171" s="2"/>
      <c r="AD171" s="2"/>
      <c r="AE171" s="2"/>
      <c r="AF171" s="2"/>
      <c r="AG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3"/>
      <c r="P172" s="22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22"/>
      <c r="AB172" s="32"/>
      <c r="AC172" s="2"/>
      <c r="AD172" s="2"/>
      <c r="AE172" s="2"/>
      <c r="AF172" s="2"/>
      <c r="AG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3"/>
      <c r="P173" s="22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22"/>
      <c r="AB173" s="32"/>
      <c r="AC173" s="2"/>
      <c r="AD173" s="2"/>
      <c r="AE173" s="2"/>
      <c r="AF173" s="2"/>
      <c r="AG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3"/>
      <c r="P174" s="22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22"/>
      <c r="AB174" s="32"/>
      <c r="AC174" s="2"/>
      <c r="AD174" s="2"/>
      <c r="AE174" s="2"/>
      <c r="AF174" s="2"/>
      <c r="AG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3"/>
      <c r="P175" s="22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22"/>
      <c r="AB175" s="32"/>
      <c r="AC175" s="2"/>
      <c r="AD175" s="2"/>
      <c r="AE175" s="2"/>
      <c r="AF175" s="2"/>
      <c r="AG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3"/>
      <c r="P176" s="22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22"/>
      <c r="AB176" s="32"/>
      <c r="AC176" s="2"/>
      <c r="AD176" s="2"/>
      <c r="AE176" s="2"/>
      <c r="AF176" s="2"/>
      <c r="AG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3"/>
      <c r="P177" s="22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22"/>
      <c r="AB177" s="32"/>
      <c r="AC177" s="2"/>
      <c r="AD177" s="2"/>
      <c r="AE177" s="2"/>
      <c r="AF177" s="2"/>
      <c r="AG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3"/>
      <c r="P178" s="22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22"/>
      <c r="AB178" s="32"/>
      <c r="AC178" s="2"/>
      <c r="AD178" s="2"/>
      <c r="AE178" s="2"/>
      <c r="AF178" s="2"/>
      <c r="AG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3"/>
      <c r="P179" s="22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22"/>
      <c r="AB179" s="32"/>
      <c r="AC179" s="2"/>
      <c r="AD179" s="2"/>
      <c r="AE179" s="2"/>
      <c r="AF179" s="2"/>
      <c r="AG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3"/>
      <c r="P180" s="22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22"/>
      <c r="AB180" s="32"/>
      <c r="AC180" s="2"/>
      <c r="AD180" s="2"/>
      <c r="AE180" s="2"/>
      <c r="AF180" s="2"/>
      <c r="AG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3"/>
      <c r="P181" s="22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22"/>
      <c r="AB181" s="32"/>
      <c r="AC181" s="2"/>
      <c r="AD181" s="2"/>
      <c r="AE181" s="2"/>
      <c r="AF181" s="2"/>
      <c r="AG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3"/>
      <c r="P182" s="22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22"/>
      <c r="AB182" s="32"/>
      <c r="AC182" s="2"/>
      <c r="AD182" s="2"/>
      <c r="AE182" s="2"/>
      <c r="AF182" s="2"/>
      <c r="AG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3"/>
      <c r="P183" s="22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22"/>
      <c r="AB183" s="32"/>
      <c r="AC183" s="2"/>
      <c r="AD183" s="2"/>
      <c r="AE183" s="2"/>
      <c r="AF183" s="2"/>
      <c r="AG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3"/>
      <c r="P184" s="22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22"/>
      <c r="AB184" s="32"/>
      <c r="AC184" s="2"/>
      <c r="AD184" s="2"/>
      <c r="AE184" s="2"/>
      <c r="AF184" s="2"/>
      <c r="AG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3"/>
      <c r="P185" s="22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22"/>
      <c r="AB185" s="32"/>
      <c r="AC185" s="2"/>
      <c r="AD185" s="2"/>
      <c r="AE185" s="2"/>
      <c r="AF185" s="2"/>
      <c r="AG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3"/>
      <c r="P186" s="22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22"/>
      <c r="AB186" s="32"/>
      <c r="AC186" s="2"/>
      <c r="AD186" s="2"/>
      <c r="AE186" s="2"/>
      <c r="AF186" s="2"/>
      <c r="AG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3"/>
      <c r="P187" s="22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22"/>
      <c r="AB187" s="32"/>
      <c r="AC187" s="2"/>
      <c r="AD187" s="2"/>
      <c r="AE187" s="2"/>
      <c r="AF187" s="2"/>
      <c r="AG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3"/>
      <c r="P188" s="22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22"/>
      <c r="AB188" s="32"/>
      <c r="AC188" s="2"/>
      <c r="AD188" s="2"/>
      <c r="AE188" s="2"/>
      <c r="AF188" s="2"/>
      <c r="AG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3"/>
      <c r="P189" s="22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22"/>
      <c r="AB189" s="32"/>
      <c r="AC189" s="2"/>
      <c r="AD189" s="2"/>
      <c r="AE189" s="2"/>
      <c r="AF189" s="2"/>
      <c r="AG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3"/>
      <c r="P190" s="22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22"/>
      <c r="AB190" s="32"/>
      <c r="AC190" s="2"/>
      <c r="AD190" s="2"/>
      <c r="AE190" s="2"/>
      <c r="AF190" s="2"/>
      <c r="AG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3"/>
      <c r="P191" s="22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22"/>
      <c r="AB191" s="32"/>
      <c r="AC191" s="2"/>
      <c r="AD191" s="2"/>
      <c r="AE191" s="2"/>
      <c r="AF191" s="2"/>
      <c r="AG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3"/>
      <c r="P192" s="22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22"/>
      <c r="AB192" s="32"/>
      <c r="AC192" s="2"/>
      <c r="AD192" s="2"/>
      <c r="AE192" s="2"/>
      <c r="AF192" s="2"/>
      <c r="AG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3"/>
      <c r="P193" s="22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22"/>
      <c r="AB193" s="32"/>
      <c r="AC193" s="2"/>
      <c r="AD193" s="2"/>
      <c r="AE193" s="2"/>
      <c r="AF193" s="2"/>
      <c r="AG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3"/>
      <c r="P194" s="22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22"/>
      <c r="AB194" s="32"/>
      <c r="AC194" s="2"/>
      <c r="AD194" s="2"/>
      <c r="AE194" s="2"/>
      <c r="AF194" s="2"/>
      <c r="AG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3"/>
      <c r="P195" s="22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22"/>
      <c r="AB195" s="32"/>
      <c r="AC195" s="2"/>
      <c r="AD195" s="2"/>
      <c r="AE195" s="2"/>
      <c r="AF195" s="2"/>
      <c r="AG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3"/>
      <c r="P196" s="22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22"/>
      <c r="AB196" s="32"/>
      <c r="AC196" s="2"/>
      <c r="AD196" s="2"/>
      <c r="AE196" s="2"/>
      <c r="AF196" s="2"/>
      <c r="AG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3"/>
      <c r="P197" s="22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22"/>
      <c r="AB197" s="32"/>
      <c r="AC197" s="2"/>
      <c r="AD197" s="2"/>
      <c r="AE197" s="2"/>
      <c r="AF197" s="2"/>
      <c r="AG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3"/>
      <c r="P198" s="22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22"/>
      <c r="AB198" s="32"/>
      <c r="AC198" s="2"/>
      <c r="AD198" s="2"/>
      <c r="AE198" s="2"/>
      <c r="AF198" s="2"/>
      <c r="AG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3"/>
      <c r="P199" s="22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22"/>
      <c r="AB199" s="32"/>
      <c r="AC199" s="2"/>
      <c r="AD199" s="2"/>
      <c r="AE199" s="2"/>
      <c r="AF199" s="2"/>
      <c r="AG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3"/>
      <c r="P200" s="22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22"/>
      <c r="AB200" s="32"/>
      <c r="AC200" s="2"/>
      <c r="AD200" s="2"/>
      <c r="AE200" s="2"/>
      <c r="AF200" s="2"/>
      <c r="AG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3"/>
      <c r="P201" s="22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22"/>
      <c r="AB201" s="32"/>
      <c r="AC201" s="2"/>
      <c r="AD201" s="2"/>
      <c r="AE201" s="2"/>
      <c r="AF201" s="2"/>
      <c r="AG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3"/>
      <c r="P202" s="22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22"/>
      <c r="AB202" s="32"/>
      <c r="AC202" s="2"/>
      <c r="AD202" s="2"/>
      <c r="AE202" s="2"/>
      <c r="AF202" s="2"/>
      <c r="AG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3"/>
      <c r="P203" s="22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22"/>
      <c r="AB203" s="32"/>
      <c r="AC203" s="2"/>
      <c r="AD203" s="2"/>
      <c r="AE203" s="2"/>
      <c r="AF203" s="2"/>
      <c r="AG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3"/>
      <c r="P204" s="22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22"/>
      <c r="AB204" s="32"/>
      <c r="AC204" s="2"/>
      <c r="AD204" s="2"/>
      <c r="AE204" s="2"/>
      <c r="AF204" s="2"/>
      <c r="AG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3"/>
      <c r="P205" s="22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22"/>
      <c r="AB205" s="32"/>
      <c r="AC205" s="2"/>
      <c r="AD205" s="2"/>
      <c r="AE205" s="2"/>
      <c r="AF205" s="2"/>
      <c r="AG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3"/>
      <c r="P206" s="22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22"/>
      <c r="AB206" s="32"/>
      <c r="AC206" s="2"/>
      <c r="AD206" s="2"/>
      <c r="AE206" s="2"/>
      <c r="AF206" s="2"/>
      <c r="AG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3"/>
      <c r="P207" s="22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22"/>
      <c r="AB207" s="32"/>
      <c r="AC207" s="2"/>
      <c r="AD207" s="2"/>
      <c r="AE207" s="2"/>
      <c r="AF207" s="2"/>
      <c r="AG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3"/>
      <c r="P208" s="22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22"/>
      <c r="AB208" s="32"/>
      <c r="AC208" s="2"/>
      <c r="AD208" s="2"/>
      <c r="AE208" s="2"/>
      <c r="AF208" s="2"/>
      <c r="AG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3"/>
      <c r="P209" s="22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22"/>
      <c r="AB209" s="32"/>
      <c r="AC209" s="2"/>
      <c r="AD209" s="2"/>
      <c r="AE209" s="2"/>
      <c r="AF209" s="2"/>
      <c r="AG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3"/>
      <c r="P210" s="22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22"/>
      <c r="AB210" s="32"/>
      <c r="AC210" s="2"/>
      <c r="AD210" s="2"/>
      <c r="AE210" s="2"/>
      <c r="AF210" s="2"/>
      <c r="AG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3"/>
      <c r="P211" s="22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22"/>
      <c r="AB211" s="32"/>
      <c r="AC211" s="2"/>
      <c r="AD211" s="2"/>
      <c r="AE211" s="2"/>
      <c r="AF211" s="2"/>
      <c r="AG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3"/>
      <c r="P212" s="22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22"/>
      <c r="AB212" s="32"/>
      <c r="AC212" s="2"/>
      <c r="AD212" s="2"/>
      <c r="AE212" s="2"/>
      <c r="AF212" s="2"/>
      <c r="AG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3"/>
      <c r="P213" s="22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22"/>
      <c r="AB213" s="32"/>
      <c r="AC213" s="2"/>
      <c r="AD213" s="2"/>
      <c r="AE213" s="2"/>
      <c r="AF213" s="2"/>
      <c r="AG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3"/>
      <c r="P214" s="22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22"/>
      <c r="AB214" s="32"/>
      <c r="AC214" s="2"/>
      <c r="AD214" s="2"/>
      <c r="AE214" s="2"/>
      <c r="AF214" s="2"/>
      <c r="AG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3"/>
      <c r="P215" s="22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22"/>
      <c r="AB215" s="32"/>
      <c r="AC215" s="2"/>
      <c r="AD215" s="2"/>
      <c r="AE215" s="2"/>
      <c r="AF215" s="2"/>
      <c r="AG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3"/>
      <c r="P216" s="22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22"/>
      <c r="AB216" s="32"/>
      <c r="AC216" s="2"/>
      <c r="AD216" s="2"/>
      <c r="AE216" s="2"/>
      <c r="AF216" s="2"/>
      <c r="AG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3"/>
      <c r="P217" s="22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22"/>
      <c r="AB217" s="32"/>
      <c r="AC217" s="2"/>
      <c r="AD217" s="2"/>
      <c r="AE217" s="2"/>
      <c r="AF217" s="2"/>
      <c r="AG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3"/>
      <c r="P218" s="22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22"/>
      <c r="AB218" s="32"/>
      <c r="AC218" s="2"/>
      <c r="AD218" s="2"/>
      <c r="AE218" s="2"/>
      <c r="AF218" s="2"/>
      <c r="AG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3"/>
      <c r="P219" s="22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22"/>
      <c r="AB219" s="32"/>
      <c r="AC219" s="2"/>
      <c r="AD219" s="2"/>
      <c r="AE219" s="2"/>
      <c r="AF219" s="2"/>
      <c r="AG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3"/>
      <c r="P220" s="22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22"/>
      <c r="AB220" s="32"/>
      <c r="AC220" s="2"/>
      <c r="AD220" s="2"/>
      <c r="AE220" s="2"/>
      <c r="AF220" s="2"/>
      <c r="AG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3"/>
      <c r="P221" s="22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22"/>
      <c r="AB221" s="32"/>
      <c r="AC221" s="2"/>
      <c r="AD221" s="2"/>
      <c r="AE221" s="2"/>
      <c r="AF221" s="2"/>
      <c r="AG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3"/>
      <c r="P222" s="22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22"/>
      <c r="AB222" s="32"/>
      <c r="AC222" s="2"/>
      <c r="AD222" s="2"/>
      <c r="AE222" s="2"/>
      <c r="AF222" s="2"/>
      <c r="AG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3"/>
      <c r="P223" s="22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22"/>
      <c r="AB223" s="32"/>
      <c r="AC223" s="2"/>
      <c r="AD223" s="2"/>
      <c r="AE223" s="2"/>
      <c r="AF223" s="2"/>
      <c r="AG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3"/>
      <c r="P224" s="22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22"/>
      <c r="AB224" s="32"/>
      <c r="AC224" s="2"/>
      <c r="AD224" s="2"/>
      <c r="AE224" s="2"/>
      <c r="AF224" s="2"/>
      <c r="AG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3"/>
      <c r="P225" s="22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22"/>
      <c r="AB225" s="32"/>
      <c r="AC225" s="2"/>
      <c r="AD225" s="2"/>
      <c r="AE225" s="2"/>
      <c r="AF225" s="2"/>
      <c r="AG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3"/>
      <c r="P226" s="22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22"/>
      <c r="AB226" s="32"/>
      <c r="AC226" s="2"/>
      <c r="AD226" s="2"/>
      <c r="AE226" s="2"/>
      <c r="AF226" s="2"/>
      <c r="AG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3"/>
      <c r="P227" s="22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22"/>
      <c r="AB227" s="32"/>
      <c r="AC227" s="2"/>
      <c r="AD227" s="2"/>
      <c r="AE227" s="2"/>
      <c r="AF227" s="2"/>
      <c r="AG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3"/>
      <c r="P228" s="22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22"/>
      <c r="AB228" s="32"/>
      <c r="AC228" s="2"/>
      <c r="AD228" s="2"/>
      <c r="AE228" s="2"/>
      <c r="AF228" s="2"/>
      <c r="AG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3"/>
      <c r="P229" s="22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22"/>
      <c r="AB229" s="32"/>
      <c r="AC229" s="2"/>
      <c r="AD229" s="2"/>
      <c r="AE229" s="2"/>
      <c r="AF229" s="2"/>
      <c r="AG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3"/>
      <c r="P230" s="22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22"/>
      <c r="AB230" s="32"/>
      <c r="AC230" s="2"/>
      <c r="AD230" s="2"/>
      <c r="AE230" s="2"/>
      <c r="AF230" s="2"/>
      <c r="AG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3"/>
      <c r="P231" s="22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22"/>
      <c r="AB231" s="32"/>
      <c r="AC231" s="2"/>
      <c r="AD231" s="2"/>
      <c r="AE231" s="2"/>
      <c r="AF231" s="2"/>
      <c r="AG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3"/>
      <c r="P232" s="22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22"/>
      <c r="AB232" s="32"/>
      <c r="AC232" s="2"/>
      <c r="AD232" s="2"/>
      <c r="AE232" s="2"/>
      <c r="AF232" s="2"/>
      <c r="AG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3"/>
      <c r="P233" s="22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22"/>
      <c r="AB233" s="32"/>
      <c r="AC233" s="2"/>
      <c r="AD233" s="2"/>
      <c r="AE233" s="2"/>
      <c r="AF233" s="2"/>
      <c r="AG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3"/>
      <c r="P234" s="22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22"/>
      <c r="AB234" s="32"/>
      <c r="AC234" s="2"/>
      <c r="AD234" s="2"/>
      <c r="AE234" s="2"/>
      <c r="AF234" s="2"/>
      <c r="AG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3"/>
      <c r="P235" s="22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22"/>
      <c r="AB235" s="32"/>
      <c r="AC235" s="2"/>
      <c r="AD235" s="2"/>
      <c r="AE235" s="2"/>
      <c r="AF235" s="2"/>
      <c r="AG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3"/>
      <c r="P236" s="22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22"/>
      <c r="AB236" s="32"/>
      <c r="AC236" s="2"/>
      <c r="AD236" s="2"/>
      <c r="AE236" s="2"/>
      <c r="AF236" s="2"/>
      <c r="AG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3"/>
      <c r="P237" s="22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22"/>
      <c r="AB237" s="32"/>
      <c r="AC237" s="2"/>
      <c r="AD237" s="2"/>
      <c r="AE237" s="2"/>
      <c r="AF237" s="2"/>
      <c r="AG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3"/>
      <c r="P238" s="22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22"/>
      <c r="AB238" s="32"/>
      <c r="AC238" s="2"/>
      <c r="AD238" s="2"/>
      <c r="AE238" s="2"/>
      <c r="AF238" s="2"/>
      <c r="AG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3"/>
      <c r="P239" s="22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22"/>
      <c r="AB239" s="32"/>
      <c r="AC239" s="2"/>
      <c r="AD239" s="2"/>
      <c r="AE239" s="2"/>
      <c r="AF239" s="2"/>
      <c r="AG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3"/>
      <c r="P240" s="22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22"/>
      <c r="AB240" s="32"/>
      <c r="AC240" s="2"/>
      <c r="AD240" s="2"/>
      <c r="AE240" s="2"/>
      <c r="AF240" s="2"/>
      <c r="AG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3"/>
      <c r="P241" s="22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22"/>
      <c r="AB241" s="32"/>
      <c r="AC241" s="2"/>
      <c r="AD241" s="2"/>
      <c r="AE241" s="2"/>
      <c r="AF241" s="2"/>
      <c r="AG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3"/>
      <c r="P242" s="22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22"/>
      <c r="AB242" s="32"/>
      <c r="AC242" s="2"/>
      <c r="AD242" s="2"/>
      <c r="AE242" s="2"/>
      <c r="AF242" s="2"/>
      <c r="AG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3"/>
      <c r="P243" s="22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22"/>
      <c r="AB243" s="32"/>
      <c r="AC243" s="2"/>
      <c r="AD243" s="2"/>
      <c r="AE243" s="2"/>
      <c r="AF243" s="2"/>
      <c r="AG243" s="2"/>
    </row>
    <row r="244" ht="15.75" customHeight="1">
      <c r="O244" s="33"/>
      <c r="P244" s="22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22"/>
      <c r="AB244" s="32"/>
    </row>
    <row r="245" ht="15.75" customHeight="1">
      <c r="O245" s="33"/>
      <c r="P245" s="22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22"/>
      <c r="AB245" s="32"/>
    </row>
    <row r="246" ht="15.75" customHeight="1">
      <c r="O246" s="33"/>
      <c r="P246" s="22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22"/>
      <c r="AB246" s="32"/>
    </row>
    <row r="247" ht="15.75" customHeight="1">
      <c r="O247" s="33"/>
      <c r="P247" s="22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22"/>
      <c r="AB247" s="32"/>
    </row>
    <row r="248" ht="15.75" customHeight="1">
      <c r="O248" s="33"/>
      <c r="P248" s="22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22"/>
      <c r="AB248" s="32"/>
    </row>
    <row r="249" ht="15.75" customHeight="1">
      <c r="O249" s="33"/>
      <c r="P249" s="22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22"/>
      <c r="AB249" s="32"/>
    </row>
    <row r="250" ht="15.75" customHeight="1">
      <c r="O250" s="33"/>
      <c r="P250" s="22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22"/>
      <c r="AB250" s="32"/>
    </row>
    <row r="251" ht="15.75" customHeight="1">
      <c r="O251" s="33"/>
      <c r="P251" s="22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22"/>
      <c r="AB251" s="32"/>
    </row>
    <row r="252" ht="15.75" customHeight="1">
      <c r="O252" s="33"/>
      <c r="P252" s="22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22"/>
      <c r="AB252" s="32"/>
    </row>
    <row r="253" ht="15.75" customHeight="1">
      <c r="O253" s="33"/>
      <c r="P253" s="22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22"/>
      <c r="AB253" s="32"/>
    </row>
    <row r="254" ht="15.75" customHeight="1">
      <c r="O254" s="33"/>
      <c r="P254" s="22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22"/>
      <c r="AB254" s="32"/>
    </row>
    <row r="255" ht="15.75" customHeight="1">
      <c r="O255" s="33"/>
      <c r="P255" s="22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22"/>
      <c r="AB255" s="32"/>
    </row>
    <row r="256" ht="15.75" customHeight="1">
      <c r="O256" s="33"/>
      <c r="P256" s="22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22"/>
      <c r="AB256" s="32"/>
    </row>
    <row r="257" ht="15.75" customHeight="1">
      <c r="O257" s="33"/>
      <c r="P257" s="22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22"/>
      <c r="AB257" s="32"/>
    </row>
    <row r="258" ht="15.75" customHeight="1">
      <c r="O258" s="33"/>
      <c r="P258" s="22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22"/>
      <c r="AB258" s="32"/>
    </row>
    <row r="259" ht="15.75" customHeight="1">
      <c r="O259" s="33"/>
      <c r="P259" s="22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22"/>
      <c r="AB259" s="32"/>
    </row>
    <row r="260" ht="15.75" customHeight="1">
      <c r="O260" s="33"/>
      <c r="P260" s="22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22"/>
      <c r="AB260" s="32"/>
    </row>
    <row r="261" ht="15.75" customHeight="1">
      <c r="O261" s="33"/>
      <c r="P261" s="22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22"/>
      <c r="AB261" s="32"/>
    </row>
    <row r="262" ht="15.75" customHeight="1">
      <c r="O262" s="33"/>
      <c r="P262" s="22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22"/>
      <c r="AB262" s="32"/>
    </row>
    <row r="263" ht="15.75" customHeight="1">
      <c r="O263" s="33"/>
      <c r="P263" s="22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22"/>
      <c r="AB263" s="32"/>
    </row>
    <row r="264" ht="15.75" customHeight="1">
      <c r="O264" s="33"/>
      <c r="P264" s="22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22"/>
      <c r="AB264" s="32"/>
    </row>
    <row r="265" ht="15.75" customHeight="1">
      <c r="O265" s="33"/>
      <c r="P265" s="22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22"/>
      <c r="AB265" s="32"/>
    </row>
    <row r="266" ht="15.75" customHeight="1">
      <c r="O266" s="33"/>
      <c r="P266" s="22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22"/>
      <c r="AB266" s="32"/>
    </row>
    <row r="267" ht="15.75" customHeight="1">
      <c r="O267" s="33"/>
      <c r="P267" s="22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22"/>
      <c r="AB267" s="32"/>
    </row>
    <row r="268" ht="15.75" customHeight="1">
      <c r="O268" s="33"/>
      <c r="P268" s="22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22"/>
      <c r="AB268" s="32"/>
    </row>
    <row r="269" ht="15.75" customHeight="1">
      <c r="O269" s="33"/>
      <c r="P269" s="22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22"/>
      <c r="AB269" s="32"/>
    </row>
    <row r="270" ht="15.75" customHeight="1">
      <c r="O270" s="33"/>
      <c r="P270" s="22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22"/>
      <c r="AB270" s="32"/>
    </row>
    <row r="271" ht="15.75" customHeight="1">
      <c r="O271" s="33"/>
      <c r="P271" s="22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22"/>
      <c r="AB271" s="32"/>
    </row>
    <row r="272" ht="15.75" customHeight="1">
      <c r="O272" s="33"/>
      <c r="P272" s="22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22"/>
      <c r="AB272" s="32"/>
    </row>
    <row r="273" ht="15.75" customHeight="1">
      <c r="O273" s="33"/>
      <c r="P273" s="22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22"/>
      <c r="AB273" s="32"/>
    </row>
    <row r="274" ht="15.75" customHeight="1">
      <c r="O274" s="33"/>
      <c r="P274" s="22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22"/>
      <c r="AB274" s="32"/>
    </row>
    <row r="275" ht="15.75" customHeight="1">
      <c r="O275" s="33"/>
      <c r="P275" s="22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22"/>
      <c r="AB275" s="32"/>
    </row>
    <row r="276" ht="15.75" customHeight="1">
      <c r="O276" s="33"/>
      <c r="P276" s="22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22"/>
      <c r="AB276" s="32"/>
    </row>
    <row r="277" ht="15.75" customHeight="1">
      <c r="O277" s="33"/>
      <c r="P277" s="22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22"/>
      <c r="AB277" s="32"/>
    </row>
    <row r="278" ht="15.75" customHeight="1">
      <c r="O278" s="33"/>
      <c r="P278" s="22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22"/>
      <c r="AB278" s="32"/>
    </row>
    <row r="279" ht="15.75" customHeight="1">
      <c r="O279" s="33"/>
      <c r="P279" s="22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22"/>
      <c r="AB279" s="32"/>
    </row>
    <row r="280" ht="15.75" customHeight="1">
      <c r="O280" s="33"/>
      <c r="P280" s="22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22"/>
      <c r="AB280" s="32"/>
    </row>
    <row r="281" ht="15.75" customHeight="1">
      <c r="O281" s="33"/>
      <c r="P281" s="22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22"/>
      <c r="AB281" s="32"/>
    </row>
    <row r="282" ht="15.75" customHeight="1">
      <c r="O282" s="33"/>
      <c r="P282" s="22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22"/>
      <c r="AB282" s="32"/>
    </row>
    <row r="283" ht="15.75" customHeight="1">
      <c r="O283" s="33"/>
      <c r="P283" s="22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22"/>
      <c r="AB283" s="32"/>
    </row>
    <row r="284" ht="15.75" customHeight="1">
      <c r="O284" s="33"/>
      <c r="P284" s="22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22"/>
      <c r="AB284" s="32"/>
    </row>
    <row r="285" ht="15.75" customHeight="1">
      <c r="O285" s="33"/>
      <c r="P285" s="22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22"/>
      <c r="AB285" s="32"/>
    </row>
    <row r="286" ht="15.75" customHeight="1">
      <c r="O286" s="33"/>
      <c r="P286" s="22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22"/>
      <c r="AB286" s="32"/>
    </row>
    <row r="287" ht="15.75" customHeight="1">
      <c r="O287" s="33"/>
      <c r="P287" s="22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22"/>
      <c r="AB287" s="32"/>
    </row>
    <row r="288" ht="15.75" customHeight="1">
      <c r="O288" s="33"/>
      <c r="P288" s="22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22"/>
      <c r="AB288" s="32"/>
    </row>
    <row r="289" ht="15.75" customHeight="1">
      <c r="O289" s="33"/>
      <c r="P289" s="22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22"/>
      <c r="AB289" s="32"/>
    </row>
    <row r="290" ht="15.75" customHeight="1">
      <c r="O290" s="33"/>
      <c r="P290" s="22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22"/>
      <c r="AB290" s="32"/>
    </row>
    <row r="291" ht="15.75" customHeight="1">
      <c r="O291" s="33"/>
      <c r="P291" s="22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22"/>
      <c r="AB291" s="32"/>
    </row>
    <row r="292" ht="15.75" customHeight="1">
      <c r="O292" s="33"/>
      <c r="P292" s="22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22"/>
      <c r="AB292" s="32"/>
    </row>
    <row r="293" ht="15.75" customHeight="1">
      <c r="O293" s="33"/>
      <c r="P293" s="22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22"/>
      <c r="AB293" s="32"/>
    </row>
    <row r="294" ht="15.75" customHeight="1">
      <c r="O294" s="33"/>
      <c r="P294" s="22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22"/>
      <c r="AB294" s="32"/>
    </row>
    <row r="295" ht="15.75" customHeight="1">
      <c r="O295" s="33"/>
      <c r="P295" s="22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22"/>
      <c r="AB295" s="32"/>
    </row>
    <row r="296" ht="15.75" customHeight="1">
      <c r="O296" s="33"/>
      <c r="P296" s="22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22"/>
      <c r="AB296" s="32"/>
    </row>
    <row r="297" ht="15.75" customHeight="1">
      <c r="O297" s="33"/>
      <c r="P297" s="22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22"/>
      <c r="AB297" s="32"/>
    </row>
    <row r="298" ht="15.75" customHeight="1">
      <c r="O298" s="33"/>
      <c r="P298" s="22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22"/>
      <c r="AB298" s="32"/>
    </row>
    <row r="299" ht="15.75" customHeight="1">
      <c r="O299" s="33"/>
      <c r="P299" s="22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22"/>
      <c r="AB299" s="32"/>
    </row>
    <row r="300" ht="15.75" customHeight="1">
      <c r="O300" s="33"/>
      <c r="P300" s="22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22"/>
      <c r="AB300" s="32"/>
    </row>
    <row r="301" ht="15.75" customHeight="1">
      <c r="O301" s="33"/>
      <c r="P301" s="22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22"/>
      <c r="AB301" s="32"/>
    </row>
    <row r="302" ht="15.75" customHeight="1">
      <c r="O302" s="33"/>
      <c r="P302" s="22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22"/>
      <c r="AB302" s="32"/>
    </row>
    <row r="303" ht="15.75" customHeight="1">
      <c r="O303" s="33"/>
      <c r="P303" s="22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22"/>
      <c r="AB303" s="32"/>
    </row>
    <row r="304" ht="15.75" customHeight="1">
      <c r="O304" s="33"/>
      <c r="P304" s="22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22"/>
      <c r="AB304" s="32"/>
    </row>
    <row r="305" ht="15.75" customHeight="1">
      <c r="O305" s="33"/>
      <c r="P305" s="22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22"/>
      <c r="AB305" s="32"/>
    </row>
    <row r="306" ht="15.75" customHeight="1">
      <c r="O306" s="33"/>
      <c r="P306" s="22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22"/>
      <c r="AB306" s="32"/>
    </row>
    <row r="307" ht="15.75" customHeight="1">
      <c r="O307" s="33"/>
      <c r="P307" s="22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22"/>
      <c r="AB307" s="32"/>
    </row>
    <row r="308" ht="15.75" customHeight="1">
      <c r="O308" s="33"/>
      <c r="P308" s="22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22"/>
      <c r="AB308" s="32"/>
    </row>
    <row r="309" ht="15.75" customHeight="1">
      <c r="O309" s="33"/>
      <c r="P309" s="22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22"/>
      <c r="AB309" s="32"/>
    </row>
    <row r="310" ht="15.75" customHeight="1">
      <c r="O310" s="33"/>
      <c r="P310" s="22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22"/>
      <c r="AB310" s="32"/>
    </row>
    <row r="311" ht="15.75" customHeight="1">
      <c r="O311" s="33"/>
      <c r="P311" s="22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22"/>
      <c r="AB311" s="32"/>
    </row>
    <row r="312" ht="15.75" customHeight="1">
      <c r="O312" s="33"/>
      <c r="P312" s="22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22"/>
      <c r="AB312" s="32"/>
    </row>
    <row r="313" ht="15.75" customHeight="1">
      <c r="O313" s="33"/>
      <c r="P313" s="22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22"/>
      <c r="AB313" s="32"/>
    </row>
    <row r="314" ht="15.75" customHeight="1">
      <c r="O314" s="33"/>
      <c r="P314" s="22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22"/>
      <c r="AB314" s="32"/>
    </row>
    <row r="315" ht="15.75" customHeight="1">
      <c r="O315" s="33"/>
      <c r="P315" s="22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22"/>
      <c r="AB315" s="32"/>
    </row>
    <row r="316" ht="15.75" customHeight="1">
      <c r="O316" s="33"/>
      <c r="P316" s="22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22"/>
      <c r="AB316" s="32"/>
    </row>
    <row r="317" ht="15.75" customHeight="1">
      <c r="O317" s="33"/>
      <c r="P317" s="22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22"/>
      <c r="AB317" s="32"/>
    </row>
    <row r="318" ht="15.75" customHeight="1">
      <c r="O318" s="33"/>
      <c r="P318" s="22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22"/>
      <c r="AB318" s="32"/>
    </row>
    <row r="319" ht="15.75" customHeight="1">
      <c r="O319" s="33"/>
      <c r="P319" s="22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22"/>
      <c r="AB319" s="32"/>
    </row>
    <row r="320" ht="15.75" customHeight="1">
      <c r="O320" s="33"/>
      <c r="P320" s="22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22"/>
      <c r="AB320" s="32"/>
    </row>
    <row r="321" ht="15.75" customHeight="1">
      <c r="O321" s="33"/>
      <c r="P321" s="22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22"/>
      <c r="AB321" s="32"/>
    </row>
    <row r="322" ht="15.75" customHeight="1">
      <c r="O322" s="33"/>
      <c r="P322" s="22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22"/>
      <c r="AB322" s="32"/>
    </row>
    <row r="323" ht="15.75" customHeight="1">
      <c r="O323" s="33"/>
      <c r="P323" s="22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22"/>
      <c r="AB323" s="32"/>
    </row>
    <row r="324" ht="15.75" customHeight="1">
      <c r="O324" s="33"/>
      <c r="P324" s="22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22"/>
      <c r="AB324" s="32"/>
    </row>
    <row r="325" ht="15.75" customHeight="1">
      <c r="O325" s="33"/>
      <c r="P325" s="22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22"/>
      <c r="AB325" s="32"/>
    </row>
    <row r="326" ht="15.75" customHeight="1">
      <c r="O326" s="33"/>
      <c r="P326" s="22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22"/>
      <c r="AB326" s="32"/>
    </row>
    <row r="327" ht="15.75" customHeight="1">
      <c r="O327" s="33"/>
      <c r="P327" s="22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22"/>
      <c r="AB327" s="32"/>
    </row>
    <row r="328" ht="15.75" customHeight="1">
      <c r="O328" s="33"/>
      <c r="P328" s="22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22"/>
      <c r="AB328" s="32"/>
    </row>
    <row r="329" ht="15.75" customHeight="1">
      <c r="O329" s="33"/>
      <c r="P329" s="22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22"/>
      <c r="AB329" s="32"/>
    </row>
    <row r="330" ht="15.75" customHeight="1">
      <c r="O330" s="33"/>
      <c r="P330" s="22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22"/>
      <c r="AB330" s="32"/>
    </row>
    <row r="331" ht="15.75" customHeight="1">
      <c r="O331" s="33"/>
      <c r="P331" s="22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22"/>
      <c r="AB331" s="32"/>
    </row>
    <row r="332" ht="15.75" customHeight="1">
      <c r="O332" s="33"/>
      <c r="P332" s="22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22"/>
      <c r="AB332" s="32"/>
    </row>
    <row r="333" ht="15.75" customHeight="1">
      <c r="O333" s="33"/>
      <c r="P333" s="22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22"/>
      <c r="AB333" s="32"/>
    </row>
    <row r="334" ht="15.75" customHeight="1">
      <c r="O334" s="33"/>
      <c r="P334" s="22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22"/>
      <c r="AB334" s="32"/>
    </row>
    <row r="335" ht="15.75" customHeight="1">
      <c r="O335" s="33"/>
      <c r="P335" s="22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22"/>
      <c r="AB335" s="32"/>
    </row>
    <row r="336" ht="15.75" customHeight="1">
      <c r="O336" s="33"/>
      <c r="P336" s="22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22"/>
      <c r="AB336" s="32"/>
    </row>
    <row r="337" ht="15.75" customHeight="1">
      <c r="O337" s="33"/>
      <c r="P337" s="22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22"/>
      <c r="AB337" s="32"/>
    </row>
    <row r="338" ht="15.75" customHeight="1">
      <c r="O338" s="33"/>
      <c r="P338" s="22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22"/>
      <c r="AB338" s="32"/>
    </row>
    <row r="339" ht="15.75" customHeight="1">
      <c r="O339" s="33"/>
      <c r="P339" s="22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22"/>
      <c r="AB339" s="32"/>
    </row>
    <row r="340" ht="15.75" customHeight="1">
      <c r="O340" s="33"/>
      <c r="P340" s="22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22"/>
      <c r="AB340" s="32"/>
    </row>
    <row r="341" ht="15.75" customHeight="1">
      <c r="O341" s="33"/>
      <c r="P341" s="22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22"/>
      <c r="AB341" s="32"/>
    </row>
    <row r="342" ht="15.75" customHeight="1">
      <c r="O342" s="33"/>
      <c r="P342" s="22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22"/>
      <c r="AB342" s="32"/>
    </row>
    <row r="343" ht="15.75" customHeight="1">
      <c r="O343" s="33"/>
      <c r="P343" s="22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22"/>
      <c r="AB343" s="32"/>
    </row>
    <row r="344" ht="15.75" customHeight="1">
      <c r="O344" s="33"/>
      <c r="P344" s="22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22"/>
      <c r="AB344" s="32"/>
    </row>
    <row r="345" ht="15.75" customHeight="1">
      <c r="O345" s="33"/>
      <c r="P345" s="22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22"/>
      <c r="AB345" s="32"/>
    </row>
    <row r="346" ht="15.75" customHeight="1">
      <c r="O346" s="33"/>
      <c r="P346" s="22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22"/>
      <c r="AB346" s="32"/>
    </row>
    <row r="347" ht="15.75" customHeight="1">
      <c r="O347" s="33"/>
      <c r="P347" s="22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22"/>
      <c r="AB347" s="32"/>
    </row>
    <row r="348" ht="15.75" customHeight="1">
      <c r="O348" s="33"/>
      <c r="P348" s="22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22"/>
      <c r="AB348" s="32"/>
    </row>
    <row r="349" ht="15.75" customHeight="1">
      <c r="O349" s="33"/>
      <c r="P349" s="22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22"/>
      <c r="AB349" s="32"/>
    </row>
    <row r="350" ht="15.75" customHeight="1">
      <c r="O350" s="33"/>
      <c r="P350" s="22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22"/>
      <c r="AB350" s="32"/>
    </row>
    <row r="351" ht="15.75" customHeight="1">
      <c r="O351" s="33"/>
      <c r="P351" s="22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22"/>
      <c r="AB351" s="32"/>
    </row>
    <row r="352" ht="15.75" customHeight="1">
      <c r="O352" s="33"/>
      <c r="P352" s="22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22"/>
      <c r="AB352" s="32"/>
    </row>
    <row r="353" ht="15.75" customHeight="1">
      <c r="O353" s="33"/>
      <c r="P353" s="22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22"/>
      <c r="AB353" s="32"/>
    </row>
    <row r="354" ht="15.75" customHeight="1">
      <c r="O354" s="33"/>
      <c r="P354" s="22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22"/>
      <c r="AB354" s="32"/>
    </row>
    <row r="355" ht="15.75" customHeight="1">
      <c r="O355" s="33"/>
      <c r="P355" s="22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22"/>
      <c r="AB355" s="32"/>
    </row>
    <row r="356" ht="15.75" customHeight="1">
      <c r="O356" s="33"/>
      <c r="P356" s="22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22"/>
      <c r="AB356" s="32"/>
    </row>
    <row r="357" ht="15.75" customHeight="1">
      <c r="O357" s="33"/>
      <c r="P357" s="22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22"/>
      <c r="AB357" s="32"/>
    </row>
    <row r="358" ht="15.75" customHeight="1">
      <c r="O358" s="33"/>
      <c r="P358" s="22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22"/>
      <c r="AB358" s="32"/>
    </row>
    <row r="359" ht="15.75" customHeight="1">
      <c r="O359" s="33"/>
      <c r="P359" s="22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22"/>
      <c r="AB359" s="32"/>
    </row>
    <row r="360" ht="15.75" customHeight="1">
      <c r="O360" s="33"/>
      <c r="P360" s="22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22"/>
      <c r="AB360" s="32"/>
    </row>
    <row r="361" ht="15.75" customHeight="1">
      <c r="O361" s="33"/>
      <c r="P361" s="22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22"/>
      <c r="AB361" s="32"/>
    </row>
    <row r="362" ht="15.75" customHeight="1">
      <c r="O362" s="33"/>
      <c r="P362" s="22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22"/>
      <c r="AB362" s="32"/>
    </row>
    <row r="363" ht="15.75" customHeight="1">
      <c r="O363" s="33"/>
      <c r="P363" s="22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22"/>
      <c r="AB363" s="32"/>
    </row>
    <row r="364" ht="15.75" customHeight="1">
      <c r="O364" s="33"/>
      <c r="P364" s="22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22"/>
      <c r="AB364" s="32"/>
    </row>
    <row r="365" ht="15.75" customHeight="1">
      <c r="O365" s="33"/>
      <c r="P365" s="22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22"/>
      <c r="AB365" s="32"/>
    </row>
    <row r="366" ht="15.75" customHeight="1">
      <c r="O366" s="33"/>
      <c r="P366" s="22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22"/>
      <c r="AB366" s="32"/>
    </row>
    <row r="367" ht="15.75" customHeight="1">
      <c r="O367" s="33"/>
      <c r="P367" s="22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22"/>
      <c r="AB367" s="32"/>
    </row>
    <row r="368" ht="15.75" customHeight="1">
      <c r="O368" s="33"/>
      <c r="P368" s="22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22"/>
      <c r="AB368" s="32"/>
    </row>
    <row r="369" ht="15.75" customHeight="1">
      <c r="O369" s="33"/>
      <c r="P369" s="22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22"/>
      <c r="AB369" s="32"/>
    </row>
    <row r="370" ht="15.75" customHeight="1">
      <c r="O370" s="33"/>
      <c r="P370" s="22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22"/>
      <c r="AB370" s="32"/>
    </row>
    <row r="371" ht="15.75" customHeight="1">
      <c r="O371" s="33"/>
      <c r="P371" s="22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22"/>
      <c r="AB371" s="32"/>
    </row>
    <row r="372" ht="15.75" customHeight="1">
      <c r="O372" s="33"/>
      <c r="P372" s="22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22"/>
      <c r="AB372" s="32"/>
    </row>
    <row r="373" ht="15.75" customHeight="1">
      <c r="O373" s="33"/>
      <c r="P373" s="22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22"/>
      <c r="AB373" s="32"/>
    </row>
    <row r="374" ht="15.75" customHeight="1">
      <c r="O374" s="33"/>
      <c r="P374" s="22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22"/>
      <c r="AB374" s="32"/>
    </row>
    <row r="375" ht="15.75" customHeight="1">
      <c r="O375" s="33"/>
      <c r="P375" s="22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22"/>
      <c r="AB375" s="32"/>
    </row>
    <row r="376" ht="15.75" customHeight="1">
      <c r="O376" s="33"/>
      <c r="P376" s="22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22"/>
      <c r="AB376" s="32"/>
    </row>
    <row r="377" ht="15.75" customHeight="1">
      <c r="O377" s="33"/>
      <c r="P377" s="22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22"/>
      <c r="AB377" s="32"/>
    </row>
    <row r="378" ht="15.75" customHeight="1">
      <c r="O378" s="33"/>
      <c r="P378" s="22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22"/>
      <c r="AB378" s="32"/>
    </row>
    <row r="379" ht="15.75" customHeight="1">
      <c r="O379" s="33"/>
      <c r="P379" s="22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22"/>
      <c r="AB379" s="32"/>
    </row>
    <row r="380" ht="15.75" customHeight="1">
      <c r="O380" s="33"/>
      <c r="P380" s="22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22"/>
      <c r="AB380" s="32"/>
    </row>
    <row r="381" ht="15.75" customHeight="1">
      <c r="O381" s="33"/>
      <c r="P381" s="22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22"/>
      <c r="AB381" s="32"/>
    </row>
    <row r="382" ht="15.75" customHeight="1">
      <c r="O382" s="33"/>
      <c r="P382" s="22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22"/>
      <c r="AB382" s="32"/>
    </row>
    <row r="383" ht="15.75" customHeight="1">
      <c r="O383" s="33"/>
      <c r="P383" s="22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22"/>
      <c r="AB383" s="32"/>
    </row>
    <row r="384" ht="15.75" customHeight="1">
      <c r="O384" s="33"/>
      <c r="P384" s="22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22"/>
      <c r="AB384" s="32"/>
    </row>
    <row r="385" ht="15.75" customHeight="1">
      <c r="O385" s="33"/>
      <c r="P385" s="22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22"/>
      <c r="AB385" s="32"/>
    </row>
    <row r="386" ht="15.75" customHeight="1">
      <c r="O386" s="33"/>
      <c r="P386" s="22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22"/>
      <c r="AB386" s="32"/>
    </row>
    <row r="387" ht="15.75" customHeight="1">
      <c r="O387" s="33"/>
      <c r="P387" s="22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22"/>
      <c r="AB387" s="32"/>
    </row>
    <row r="388" ht="15.75" customHeight="1">
      <c r="O388" s="33"/>
      <c r="P388" s="22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22"/>
      <c r="AB388" s="32"/>
    </row>
    <row r="389" ht="15.75" customHeight="1">
      <c r="O389" s="33"/>
      <c r="P389" s="22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22"/>
      <c r="AB389" s="32"/>
    </row>
    <row r="390" ht="15.75" customHeight="1">
      <c r="O390" s="33"/>
      <c r="P390" s="22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22"/>
      <c r="AB390" s="32"/>
    </row>
    <row r="391" ht="15.75" customHeight="1">
      <c r="O391" s="33"/>
      <c r="P391" s="22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22"/>
      <c r="AB391" s="32"/>
    </row>
    <row r="392" ht="15.75" customHeight="1">
      <c r="O392" s="33"/>
      <c r="P392" s="22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22"/>
      <c r="AB392" s="32"/>
    </row>
    <row r="393" ht="15.75" customHeight="1">
      <c r="O393" s="33"/>
      <c r="P393" s="22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22"/>
      <c r="AB393" s="32"/>
    </row>
    <row r="394" ht="15.75" customHeight="1">
      <c r="O394" s="33"/>
      <c r="P394" s="22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22"/>
      <c r="AB394" s="32"/>
    </row>
    <row r="395" ht="15.75" customHeight="1">
      <c r="O395" s="33"/>
      <c r="P395" s="22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22"/>
      <c r="AB395" s="32"/>
    </row>
    <row r="396" ht="15.75" customHeight="1">
      <c r="O396" s="33"/>
      <c r="P396" s="22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22"/>
      <c r="AB396" s="32"/>
    </row>
    <row r="397" ht="15.75" customHeight="1">
      <c r="O397" s="33"/>
      <c r="P397" s="22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22"/>
      <c r="AB397" s="32"/>
    </row>
    <row r="398" ht="15.75" customHeight="1">
      <c r="O398" s="33"/>
      <c r="P398" s="22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22"/>
      <c r="AB398" s="32"/>
    </row>
    <row r="399" ht="15.75" customHeight="1">
      <c r="O399" s="33"/>
      <c r="P399" s="22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22"/>
      <c r="AB399" s="32"/>
    </row>
    <row r="400" ht="15.75" customHeight="1">
      <c r="O400" s="33"/>
      <c r="P400" s="22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22"/>
      <c r="AB400" s="32"/>
    </row>
    <row r="401" ht="15.75" customHeight="1">
      <c r="O401" s="33"/>
      <c r="P401" s="22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22"/>
      <c r="AB401" s="32"/>
    </row>
    <row r="402" ht="15.75" customHeight="1">
      <c r="O402" s="33"/>
      <c r="P402" s="22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22"/>
      <c r="AB402" s="32"/>
    </row>
    <row r="403" ht="15.75" customHeight="1">
      <c r="O403" s="33"/>
      <c r="P403" s="22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22"/>
      <c r="AB403" s="32"/>
    </row>
    <row r="404" ht="15.75" customHeight="1">
      <c r="O404" s="33"/>
      <c r="P404" s="22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22"/>
      <c r="AB404" s="32"/>
    </row>
    <row r="405" ht="15.75" customHeight="1">
      <c r="O405" s="33"/>
      <c r="P405" s="22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22"/>
      <c r="AB405" s="32"/>
    </row>
    <row r="406" ht="15.75" customHeight="1">
      <c r="O406" s="33"/>
      <c r="P406" s="22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22"/>
      <c r="AB406" s="32"/>
    </row>
    <row r="407" ht="15.75" customHeight="1">
      <c r="O407" s="33"/>
      <c r="P407" s="22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22"/>
      <c r="AB407" s="32"/>
    </row>
    <row r="408" ht="15.75" customHeight="1">
      <c r="O408" s="33"/>
      <c r="P408" s="22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22"/>
      <c r="AB408" s="32"/>
    </row>
    <row r="409" ht="15.75" customHeight="1">
      <c r="O409" s="33"/>
      <c r="P409" s="22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22"/>
      <c r="AB409" s="32"/>
    </row>
    <row r="410" ht="15.75" customHeight="1">
      <c r="O410" s="33"/>
      <c r="P410" s="22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22"/>
      <c r="AB410" s="32"/>
    </row>
    <row r="411" ht="15.75" customHeight="1">
      <c r="O411" s="33"/>
      <c r="P411" s="22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22"/>
      <c r="AB411" s="32"/>
    </row>
    <row r="412" ht="15.75" customHeight="1">
      <c r="O412" s="33"/>
      <c r="P412" s="22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22"/>
      <c r="AB412" s="32"/>
    </row>
    <row r="413" ht="15.75" customHeight="1">
      <c r="O413" s="33"/>
      <c r="P413" s="22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22"/>
      <c r="AB413" s="32"/>
    </row>
    <row r="414" ht="15.75" customHeight="1">
      <c r="O414" s="33"/>
      <c r="P414" s="22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22"/>
      <c r="AB414" s="32"/>
    </row>
    <row r="415" ht="15.75" customHeight="1">
      <c r="O415" s="33"/>
      <c r="P415" s="22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22"/>
      <c r="AB415" s="32"/>
    </row>
    <row r="416" ht="15.75" customHeight="1">
      <c r="O416" s="33"/>
      <c r="P416" s="22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22"/>
      <c r="AB416" s="32"/>
    </row>
    <row r="417" ht="15.75" customHeight="1">
      <c r="O417" s="33"/>
      <c r="P417" s="22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22"/>
      <c r="AB417" s="32"/>
    </row>
    <row r="418" ht="15.75" customHeight="1">
      <c r="O418" s="33"/>
      <c r="P418" s="22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22"/>
      <c r="AB418" s="32"/>
    </row>
    <row r="419" ht="15.75" customHeight="1">
      <c r="O419" s="33"/>
      <c r="P419" s="22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22"/>
      <c r="AB419" s="32"/>
    </row>
    <row r="420" ht="15.75" customHeight="1">
      <c r="O420" s="33"/>
      <c r="P420" s="22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22"/>
      <c r="AB420" s="32"/>
    </row>
    <row r="421" ht="15.75" customHeight="1">
      <c r="O421" s="33"/>
      <c r="P421" s="22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22"/>
      <c r="AB421" s="32"/>
    </row>
    <row r="422" ht="15.75" customHeight="1">
      <c r="O422" s="33"/>
      <c r="P422" s="22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22"/>
      <c r="AB422" s="32"/>
    </row>
    <row r="423" ht="15.75" customHeight="1">
      <c r="O423" s="33"/>
      <c r="P423" s="22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22"/>
      <c r="AB423" s="32"/>
    </row>
    <row r="424" ht="15.75" customHeight="1">
      <c r="O424" s="33"/>
      <c r="P424" s="22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22"/>
      <c r="AB424" s="32"/>
    </row>
    <row r="425" ht="15.75" customHeight="1">
      <c r="O425" s="33"/>
      <c r="P425" s="22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22"/>
      <c r="AB425" s="32"/>
    </row>
    <row r="426" ht="15.75" customHeight="1">
      <c r="O426" s="33"/>
      <c r="P426" s="22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22"/>
      <c r="AB426" s="32"/>
    </row>
    <row r="427" ht="15.75" customHeight="1">
      <c r="O427" s="33"/>
      <c r="P427" s="22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22"/>
      <c r="AB427" s="32"/>
    </row>
    <row r="428" ht="15.75" customHeight="1">
      <c r="O428" s="33"/>
      <c r="P428" s="22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22"/>
      <c r="AB428" s="32"/>
    </row>
    <row r="429" ht="15.75" customHeight="1">
      <c r="O429" s="33"/>
      <c r="P429" s="22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22"/>
      <c r="AB429" s="32"/>
    </row>
    <row r="430" ht="15.75" customHeight="1">
      <c r="O430" s="33"/>
      <c r="P430" s="22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22"/>
      <c r="AB430" s="32"/>
    </row>
    <row r="431" ht="15.75" customHeight="1">
      <c r="O431" s="33"/>
      <c r="P431" s="22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22"/>
      <c r="AB431" s="32"/>
    </row>
    <row r="432" ht="15.75" customHeight="1">
      <c r="O432" s="33"/>
      <c r="P432" s="22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22"/>
      <c r="AB432" s="32"/>
    </row>
    <row r="433" ht="15.75" customHeight="1">
      <c r="O433" s="33"/>
      <c r="P433" s="22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22"/>
      <c r="AB433" s="32"/>
    </row>
    <row r="434" ht="15.75" customHeight="1">
      <c r="O434" s="33"/>
      <c r="P434" s="22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22"/>
      <c r="AB434" s="32"/>
    </row>
    <row r="435" ht="15.75" customHeight="1">
      <c r="O435" s="33"/>
      <c r="P435" s="22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22"/>
      <c r="AB435" s="32"/>
    </row>
    <row r="436" ht="15.75" customHeight="1">
      <c r="O436" s="33"/>
      <c r="P436" s="22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22"/>
      <c r="AB436" s="32"/>
    </row>
    <row r="437" ht="15.75" customHeight="1">
      <c r="O437" s="33"/>
      <c r="P437" s="22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22"/>
      <c r="AB437" s="32"/>
    </row>
    <row r="438" ht="15.75" customHeight="1">
      <c r="O438" s="33"/>
      <c r="P438" s="22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22"/>
      <c r="AB438" s="32"/>
    </row>
    <row r="439" ht="15.75" customHeight="1">
      <c r="O439" s="33"/>
      <c r="P439" s="22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22"/>
      <c r="AB439" s="32"/>
    </row>
    <row r="440" ht="15.75" customHeight="1">
      <c r="O440" s="33"/>
      <c r="P440" s="22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22"/>
      <c r="AB440" s="32"/>
    </row>
    <row r="441" ht="15.75" customHeight="1">
      <c r="O441" s="33"/>
      <c r="P441" s="22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22"/>
      <c r="AB441" s="32"/>
    </row>
    <row r="442" ht="15.75" customHeight="1">
      <c r="O442" s="33"/>
      <c r="P442" s="22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22"/>
      <c r="AB442" s="32"/>
    </row>
    <row r="443" ht="15.75" customHeight="1">
      <c r="O443" s="33"/>
      <c r="P443" s="22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22"/>
      <c r="AB443" s="32"/>
    </row>
    <row r="444" ht="15.75" customHeight="1">
      <c r="O444" s="33"/>
      <c r="P444" s="22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22"/>
      <c r="AB444" s="32"/>
    </row>
    <row r="445" ht="15.75" customHeight="1">
      <c r="O445" s="33"/>
      <c r="P445" s="22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22"/>
      <c r="AB445" s="32"/>
    </row>
    <row r="446" ht="15.75" customHeight="1">
      <c r="O446" s="33"/>
      <c r="P446" s="22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22"/>
      <c r="AB446" s="32"/>
    </row>
    <row r="447" ht="15.75" customHeight="1">
      <c r="O447" s="33"/>
      <c r="P447" s="22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22"/>
      <c r="AB447" s="32"/>
    </row>
    <row r="448" ht="15.75" customHeight="1">
      <c r="O448" s="33"/>
      <c r="P448" s="22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22"/>
      <c r="AB448" s="32"/>
    </row>
    <row r="449" ht="15.75" customHeight="1">
      <c r="O449" s="33"/>
      <c r="P449" s="22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22"/>
      <c r="AB449" s="32"/>
    </row>
    <row r="450" ht="15.75" customHeight="1">
      <c r="O450" s="33"/>
      <c r="P450" s="22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22"/>
      <c r="AB450" s="32"/>
    </row>
    <row r="451" ht="15.75" customHeight="1">
      <c r="O451" s="33"/>
      <c r="P451" s="22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22"/>
      <c r="AB451" s="32"/>
    </row>
    <row r="452" ht="15.75" customHeight="1">
      <c r="O452" s="33"/>
      <c r="P452" s="22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22"/>
      <c r="AB452" s="32"/>
    </row>
    <row r="453" ht="15.75" customHeight="1">
      <c r="O453" s="33"/>
      <c r="P453" s="22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22"/>
      <c r="AB453" s="32"/>
    </row>
    <row r="454" ht="15.75" customHeight="1">
      <c r="O454" s="33"/>
      <c r="P454" s="22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22"/>
      <c r="AB454" s="32"/>
    </row>
    <row r="455" ht="15.75" customHeight="1">
      <c r="O455" s="33"/>
      <c r="P455" s="22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22"/>
      <c r="AB455" s="32"/>
    </row>
    <row r="456" ht="15.75" customHeight="1">
      <c r="O456" s="33"/>
      <c r="P456" s="22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22"/>
      <c r="AB456" s="32"/>
    </row>
    <row r="457" ht="15.75" customHeight="1">
      <c r="O457" s="33"/>
      <c r="P457" s="22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22"/>
      <c r="AB457" s="32"/>
    </row>
    <row r="458" ht="15.75" customHeight="1">
      <c r="O458" s="33"/>
      <c r="P458" s="22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22"/>
      <c r="AB458" s="32"/>
    </row>
    <row r="459" ht="15.75" customHeight="1">
      <c r="O459" s="33"/>
      <c r="P459" s="22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22"/>
      <c r="AB459" s="32"/>
    </row>
    <row r="460" ht="15.75" customHeight="1">
      <c r="O460" s="33"/>
      <c r="P460" s="22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22"/>
      <c r="AB460" s="32"/>
    </row>
    <row r="461" ht="15.75" customHeight="1">
      <c r="O461" s="33"/>
      <c r="P461" s="22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22"/>
      <c r="AB461" s="32"/>
    </row>
    <row r="462" ht="15.75" customHeight="1">
      <c r="O462" s="33"/>
      <c r="P462" s="22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22"/>
      <c r="AB462" s="32"/>
    </row>
    <row r="463" ht="15.75" customHeight="1">
      <c r="O463" s="33"/>
      <c r="P463" s="22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22"/>
      <c r="AB463" s="32"/>
    </row>
    <row r="464" ht="15.75" customHeight="1">
      <c r="O464" s="33"/>
      <c r="P464" s="22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22"/>
      <c r="AB464" s="32"/>
    </row>
    <row r="465" ht="15.75" customHeight="1">
      <c r="O465" s="33"/>
      <c r="P465" s="22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22"/>
      <c r="AB465" s="32"/>
    </row>
    <row r="466" ht="15.75" customHeight="1">
      <c r="O466" s="33"/>
      <c r="P466" s="22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22"/>
      <c r="AB466" s="32"/>
    </row>
    <row r="467" ht="15.75" customHeight="1">
      <c r="O467" s="33"/>
      <c r="P467" s="22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22"/>
      <c r="AB467" s="32"/>
    </row>
    <row r="468" ht="15.75" customHeight="1">
      <c r="O468" s="33"/>
      <c r="P468" s="22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22"/>
      <c r="AB468" s="32"/>
    </row>
    <row r="469" ht="15.75" customHeight="1">
      <c r="O469" s="33"/>
      <c r="P469" s="22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22"/>
      <c r="AB469" s="32"/>
    </row>
    <row r="470" ht="15.75" customHeight="1">
      <c r="O470" s="33"/>
      <c r="P470" s="22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22"/>
      <c r="AB470" s="32"/>
    </row>
    <row r="471" ht="15.75" customHeight="1">
      <c r="O471" s="33"/>
      <c r="P471" s="22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22"/>
      <c r="AB471" s="32"/>
    </row>
    <row r="472" ht="15.75" customHeight="1">
      <c r="O472" s="33"/>
      <c r="P472" s="22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22"/>
      <c r="AB472" s="32"/>
    </row>
    <row r="473" ht="15.75" customHeight="1">
      <c r="O473" s="33"/>
      <c r="P473" s="22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22"/>
      <c r="AB473" s="32"/>
    </row>
    <row r="474" ht="15.75" customHeight="1">
      <c r="O474" s="33"/>
      <c r="P474" s="22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22"/>
      <c r="AB474" s="32"/>
    </row>
    <row r="475" ht="15.75" customHeight="1">
      <c r="O475" s="33"/>
      <c r="P475" s="22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22"/>
      <c r="AB475" s="32"/>
    </row>
    <row r="476" ht="15.75" customHeight="1">
      <c r="O476" s="33"/>
      <c r="P476" s="22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22"/>
      <c r="AB476" s="32"/>
    </row>
    <row r="477" ht="15.75" customHeight="1">
      <c r="O477" s="33"/>
      <c r="P477" s="22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22"/>
      <c r="AB477" s="32"/>
    </row>
    <row r="478" ht="15.75" customHeight="1">
      <c r="O478" s="33"/>
      <c r="P478" s="22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22"/>
      <c r="AB478" s="32"/>
    </row>
    <row r="479" ht="15.75" customHeight="1">
      <c r="O479" s="33"/>
      <c r="P479" s="22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22"/>
      <c r="AB479" s="32"/>
    </row>
    <row r="480" ht="15.75" customHeight="1">
      <c r="O480" s="33"/>
      <c r="P480" s="22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22"/>
      <c r="AB480" s="32"/>
    </row>
    <row r="481" ht="15.75" customHeight="1">
      <c r="O481" s="33"/>
      <c r="P481" s="22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22"/>
      <c r="AB481" s="32"/>
    </row>
    <row r="482" ht="15.75" customHeight="1">
      <c r="O482" s="33"/>
      <c r="P482" s="22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22"/>
      <c r="AB482" s="32"/>
    </row>
    <row r="483" ht="15.75" customHeight="1">
      <c r="O483" s="33"/>
      <c r="P483" s="22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22"/>
      <c r="AB483" s="32"/>
    </row>
    <row r="484" ht="15.75" customHeight="1">
      <c r="O484" s="33"/>
      <c r="P484" s="22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22"/>
      <c r="AB484" s="32"/>
    </row>
    <row r="485" ht="15.75" customHeight="1">
      <c r="O485" s="33"/>
      <c r="P485" s="22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22"/>
      <c r="AB485" s="32"/>
    </row>
    <row r="486" ht="15.75" customHeight="1">
      <c r="O486" s="33"/>
      <c r="P486" s="22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22"/>
      <c r="AB486" s="32"/>
    </row>
    <row r="487" ht="15.75" customHeight="1">
      <c r="O487" s="33"/>
      <c r="P487" s="22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22"/>
      <c r="AB487" s="32"/>
    </row>
    <row r="488" ht="15.75" customHeight="1">
      <c r="O488" s="33"/>
      <c r="P488" s="22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22"/>
      <c r="AB488" s="32"/>
    </row>
    <row r="489" ht="15.75" customHeight="1">
      <c r="O489" s="33"/>
      <c r="P489" s="22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22"/>
      <c r="AB489" s="32"/>
    </row>
    <row r="490" ht="15.75" customHeight="1">
      <c r="O490" s="33"/>
      <c r="P490" s="22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22"/>
      <c r="AB490" s="32"/>
    </row>
    <row r="491" ht="15.75" customHeight="1">
      <c r="O491" s="33"/>
      <c r="P491" s="22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22"/>
      <c r="AB491" s="32"/>
    </row>
    <row r="492" ht="15.75" customHeight="1">
      <c r="O492" s="33"/>
      <c r="P492" s="22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22"/>
      <c r="AB492" s="32"/>
    </row>
    <row r="493" ht="15.75" customHeight="1">
      <c r="O493" s="33"/>
      <c r="P493" s="22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22"/>
      <c r="AB493" s="32"/>
    </row>
    <row r="494" ht="15.75" customHeight="1">
      <c r="O494" s="33"/>
      <c r="P494" s="22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22"/>
      <c r="AB494" s="32"/>
    </row>
    <row r="495" ht="15.75" customHeight="1">
      <c r="O495" s="33"/>
      <c r="P495" s="22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22"/>
      <c r="AB495" s="32"/>
    </row>
    <row r="496" ht="15.75" customHeight="1">
      <c r="O496" s="33"/>
      <c r="P496" s="22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22"/>
      <c r="AB496" s="32"/>
    </row>
    <row r="497" ht="15.75" customHeight="1">
      <c r="O497" s="33"/>
      <c r="P497" s="22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22"/>
      <c r="AB497" s="32"/>
    </row>
    <row r="498" ht="15.75" customHeight="1">
      <c r="O498" s="33"/>
      <c r="P498" s="22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22"/>
      <c r="AB498" s="32"/>
    </row>
    <row r="499" ht="15.75" customHeight="1">
      <c r="O499" s="33"/>
      <c r="P499" s="22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22"/>
      <c r="AB499" s="32"/>
    </row>
    <row r="500" ht="15.75" customHeight="1">
      <c r="O500" s="33"/>
      <c r="P500" s="22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22"/>
      <c r="AB500" s="32"/>
    </row>
    <row r="501" ht="15.75" customHeight="1">
      <c r="O501" s="33"/>
      <c r="P501" s="22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22"/>
      <c r="AB501" s="32"/>
    </row>
    <row r="502" ht="15.75" customHeight="1">
      <c r="O502" s="33"/>
      <c r="P502" s="22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22"/>
      <c r="AB502" s="32"/>
    </row>
    <row r="503" ht="15.75" customHeight="1">
      <c r="O503" s="33"/>
      <c r="P503" s="22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22"/>
      <c r="AB503" s="32"/>
    </row>
    <row r="504" ht="15.75" customHeight="1">
      <c r="O504" s="33"/>
      <c r="P504" s="22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22"/>
      <c r="AB504" s="32"/>
    </row>
    <row r="505" ht="15.75" customHeight="1">
      <c r="O505" s="33"/>
      <c r="P505" s="22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22"/>
      <c r="AB505" s="32"/>
    </row>
    <row r="506" ht="15.75" customHeight="1">
      <c r="O506" s="33"/>
      <c r="P506" s="22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22"/>
      <c r="AB506" s="32"/>
    </row>
    <row r="507" ht="15.75" customHeight="1">
      <c r="O507" s="33"/>
      <c r="P507" s="22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22"/>
      <c r="AB507" s="32"/>
    </row>
    <row r="508" ht="15.75" customHeight="1">
      <c r="O508" s="33"/>
      <c r="P508" s="22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22"/>
      <c r="AB508" s="32"/>
    </row>
    <row r="509" ht="15.75" customHeight="1">
      <c r="O509" s="33"/>
      <c r="P509" s="22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22"/>
      <c r="AB509" s="32"/>
    </row>
    <row r="510" ht="15.75" customHeight="1">
      <c r="O510" s="33"/>
      <c r="P510" s="22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22"/>
      <c r="AB510" s="32"/>
    </row>
    <row r="511" ht="15.75" customHeight="1">
      <c r="O511" s="33"/>
      <c r="P511" s="22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22"/>
      <c r="AB511" s="32"/>
    </row>
    <row r="512" ht="15.75" customHeight="1">
      <c r="O512" s="33"/>
      <c r="P512" s="22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22"/>
      <c r="AB512" s="32"/>
    </row>
    <row r="513" ht="15.75" customHeight="1">
      <c r="O513" s="33"/>
      <c r="P513" s="22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22"/>
      <c r="AB513" s="32"/>
    </row>
    <row r="514" ht="15.75" customHeight="1">
      <c r="O514" s="33"/>
      <c r="P514" s="22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22"/>
      <c r="AB514" s="32"/>
    </row>
    <row r="515" ht="15.75" customHeight="1">
      <c r="O515" s="33"/>
      <c r="P515" s="22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22"/>
      <c r="AB515" s="32"/>
    </row>
    <row r="516" ht="15.75" customHeight="1">
      <c r="O516" s="33"/>
      <c r="P516" s="22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22"/>
      <c r="AB516" s="32"/>
    </row>
    <row r="517" ht="15.75" customHeight="1">
      <c r="O517" s="33"/>
      <c r="P517" s="22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22"/>
      <c r="AB517" s="32"/>
    </row>
    <row r="518" ht="15.75" customHeight="1">
      <c r="O518" s="33"/>
      <c r="P518" s="22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22"/>
      <c r="AB518" s="32"/>
    </row>
    <row r="519" ht="15.75" customHeight="1">
      <c r="O519" s="33"/>
      <c r="P519" s="22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22"/>
      <c r="AB519" s="32"/>
    </row>
    <row r="520" ht="15.75" customHeight="1">
      <c r="O520" s="33"/>
      <c r="P520" s="22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22"/>
      <c r="AB520" s="32"/>
    </row>
    <row r="521" ht="15.75" customHeight="1">
      <c r="O521" s="33"/>
      <c r="P521" s="22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22"/>
      <c r="AB521" s="32"/>
    </row>
    <row r="522" ht="15.75" customHeight="1">
      <c r="O522" s="33"/>
      <c r="P522" s="22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22"/>
      <c r="AB522" s="32"/>
    </row>
    <row r="523" ht="15.75" customHeight="1">
      <c r="O523" s="33"/>
      <c r="P523" s="22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22"/>
      <c r="AB523" s="32"/>
    </row>
    <row r="524" ht="15.75" customHeight="1">
      <c r="O524" s="33"/>
      <c r="P524" s="22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22"/>
      <c r="AB524" s="32"/>
    </row>
    <row r="525" ht="15.75" customHeight="1">
      <c r="O525" s="33"/>
      <c r="P525" s="22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22"/>
      <c r="AB525" s="32"/>
    </row>
    <row r="526" ht="15.75" customHeight="1">
      <c r="O526" s="33"/>
      <c r="P526" s="22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22"/>
      <c r="AB526" s="32"/>
    </row>
    <row r="527" ht="15.75" customHeight="1">
      <c r="O527" s="33"/>
      <c r="P527" s="22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22"/>
      <c r="AB527" s="32"/>
    </row>
    <row r="528" ht="15.75" customHeight="1">
      <c r="O528" s="33"/>
      <c r="P528" s="22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22"/>
      <c r="AB528" s="32"/>
    </row>
    <row r="529" ht="15.75" customHeight="1">
      <c r="O529" s="33"/>
      <c r="P529" s="22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22"/>
      <c r="AB529" s="32"/>
    </row>
    <row r="530" ht="15.75" customHeight="1">
      <c r="O530" s="33"/>
      <c r="P530" s="22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22"/>
      <c r="AB530" s="32"/>
    </row>
    <row r="531" ht="15.75" customHeight="1">
      <c r="O531" s="33"/>
      <c r="P531" s="22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22"/>
      <c r="AB531" s="32"/>
    </row>
    <row r="532" ht="15.75" customHeight="1">
      <c r="O532" s="33"/>
      <c r="P532" s="22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22"/>
      <c r="AB532" s="32"/>
    </row>
    <row r="533" ht="15.75" customHeight="1">
      <c r="O533" s="33"/>
      <c r="P533" s="22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22"/>
      <c r="AB533" s="32"/>
    </row>
    <row r="534" ht="15.75" customHeight="1">
      <c r="O534" s="33"/>
      <c r="P534" s="22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22"/>
      <c r="AB534" s="32"/>
    </row>
    <row r="535" ht="15.75" customHeight="1">
      <c r="O535" s="33"/>
      <c r="P535" s="22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22"/>
      <c r="AB535" s="32"/>
    </row>
    <row r="536" ht="15.75" customHeight="1">
      <c r="O536" s="33"/>
      <c r="P536" s="22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22"/>
      <c r="AB536" s="32"/>
    </row>
    <row r="537" ht="15.75" customHeight="1">
      <c r="O537" s="33"/>
      <c r="P537" s="22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22"/>
      <c r="AB537" s="32"/>
    </row>
    <row r="538" ht="15.75" customHeight="1">
      <c r="O538" s="33"/>
      <c r="P538" s="22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22"/>
      <c r="AB538" s="32"/>
    </row>
    <row r="539" ht="15.75" customHeight="1">
      <c r="O539" s="33"/>
      <c r="P539" s="22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22"/>
      <c r="AB539" s="32"/>
    </row>
    <row r="540" ht="15.75" customHeight="1">
      <c r="O540" s="33"/>
      <c r="P540" s="22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22"/>
      <c r="AB540" s="32"/>
    </row>
    <row r="541" ht="15.75" customHeight="1">
      <c r="O541" s="33"/>
      <c r="P541" s="22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22"/>
      <c r="AB541" s="32"/>
    </row>
    <row r="542" ht="15.75" customHeight="1">
      <c r="O542" s="33"/>
      <c r="P542" s="22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22"/>
      <c r="AB542" s="32"/>
    </row>
    <row r="543" ht="15.75" customHeight="1">
      <c r="O543" s="33"/>
      <c r="P543" s="22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22"/>
      <c r="AB543" s="32"/>
    </row>
    <row r="544" ht="15.75" customHeight="1">
      <c r="O544" s="33"/>
      <c r="P544" s="22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22"/>
      <c r="AB544" s="32"/>
    </row>
    <row r="545" ht="15.75" customHeight="1">
      <c r="O545" s="33"/>
      <c r="P545" s="22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22"/>
      <c r="AB545" s="32"/>
    </row>
    <row r="546" ht="15.75" customHeight="1">
      <c r="O546" s="33"/>
      <c r="P546" s="22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22"/>
      <c r="AB546" s="32"/>
    </row>
    <row r="547" ht="15.75" customHeight="1">
      <c r="O547" s="33"/>
      <c r="P547" s="22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22"/>
      <c r="AB547" s="32"/>
    </row>
    <row r="548" ht="15.75" customHeight="1">
      <c r="O548" s="33"/>
      <c r="P548" s="22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22"/>
      <c r="AB548" s="32"/>
    </row>
    <row r="549" ht="15.75" customHeight="1">
      <c r="O549" s="33"/>
      <c r="P549" s="22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22"/>
      <c r="AB549" s="32"/>
    </row>
    <row r="550" ht="15.75" customHeight="1">
      <c r="O550" s="33"/>
      <c r="P550" s="22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22"/>
      <c r="AB550" s="32"/>
    </row>
    <row r="551" ht="15.75" customHeight="1">
      <c r="O551" s="33"/>
      <c r="P551" s="22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22"/>
      <c r="AB551" s="32"/>
    </row>
    <row r="552" ht="15.75" customHeight="1">
      <c r="O552" s="33"/>
      <c r="P552" s="22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22"/>
      <c r="AB552" s="32"/>
    </row>
    <row r="553" ht="15.75" customHeight="1">
      <c r="O553" s="33"/>
      <c r="P553" s="22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22"/>
      <c r="AB553" s="32"/>
    </row>
    <row r="554" ht="15.75" customHeight="1">
      <c r="O554" s="33"/>
      <c r="P554" s="22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22"/>
      <c r="AB554" s="32"/>
    </row>
    <row r="555" ht="15.75" customHeight="1">
      <c r="O555" s="33"/>
      <c r="P555" s="22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22"/>
      <c r="AB555" s="32"/>
    </row>
    <row r="556" ht="15.75" customHeight="1">
      <c r="O556" s="33"/>
      <c r="P556" s="22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22"/>
      <c r="AB556" s="32"/>
    </row>
    <row r="557" ht="15.75" customHeight="1">
      <c r="O557" s="33"/>
      <c r="P557" s="22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22"/>
      <c r="AB557" s="32"/>
    </row>
    <row r="558" ht="15.75" customHeight="1">
      <c r="O558" s="33"/>
      <c r="P558" s="22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22"/>
      <c r="AB558" s="32"/>
    </row>
    <row r="559" ht="15.75" customHeight="1">
      <c r="O559" s="33"/>
      <c r="P559" s="22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22"/>
      <c r="AB559" s="32"/>
    </row>
    <row r="560" ht="15.75" customHeight="1">
      <c r="O560" s="33"/>
      <c r="P560" s="22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22"/>
      <c r="AB560" s="32"/>
    </row>
    <row r="561" ht="15.75" customHeight="1">
      <c r="O561" s="33"/>
      <c r="P561" s="22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22"/>
      <c r="AB561" s="32"/>
    </row>
    <row r="562" ht="15.75" customHeight="1">
      <c r="O562" s="33"/>
      <c r="P562" s="22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22"/>
      <c r="AB562" s="32"/>
    </row>
    <row r="563" ht="15.75" customHeight="1">
      <c r="O563" s="33"/>
      <c r="P563" s="22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22"/>
      <c r="AB563" s="32"/>
    </row>
    <row r="564" ht="15.75" customHeight="1">
      <c r="O564" s="33"/>
      <c r="P564" s="22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22"/>
      <c r="AB564" s="32"/>
    </row>
    <row r="565" ht="15.75" customHeight="1">
      <c r="O565" s="33"/>
      <c r="P565" s="22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22"/>
      <c r="AB565" s="32"/>
    </row>
    <row r="566" ht="15.75" customHeight="1">
      <c r="O566" s="33"/>
      <c r="P566" s="22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22"/>
      <c r="AB566" s="32"/>
    </row>
    <row r="567" ht="15.75" customHeight="1">
      <c r="O567" s="33"/>
      <c r="P567" s="22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22"/>
      <c r="AB567" s="32"/>
    </row>
    <row r="568" ht="15.75" customHeight="1">
      <c r="O568" s="33"/>
      <c r="P568" s="22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22"/>
      <c r="AB568" s="32"/>
    </row>
    <row r="569" ht="15.75" customHeight="1">
      <c r="O569" s="33"/>
      <c r="P569" s="22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22"/>
      <c r="AB569" s="32"/>
    </row>
    <row r="570" ht="15.75" customHeight="1">
      <c r="O570" s="33"/>
      <c r="P570" s="22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22"/>
      <c r="AB570" s="32"/>
    </row>
    <row r="571" ht="15.75" customHeight="1">
      <c r="O571" s="33"/>
      <c r="P571" s="22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22"/>
      <c r="AB571" s="32"/>
    </row>
    <row r="572" ht="15.75" customHeight="1">
      <c r="O572" s="33"/>
      <c r="P572" s="22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22"/>
      <c r="AB572" s="32"/>
    </row>
    <row r="573" ht="15.75" customHeight="1">
      <c r="O573" s="33"/>
      <c r="P573" s="22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22"/>
      <c r="AB573" s="32"/>
    </row>
    <row r="574" ht="15.75" customHeight="1">
      <c r="O574" s="33"/>
      <c r="P574" s="22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22"/>
      <c r="AB574" s="32"/>
    </row>
    <row r="575" ht="15.75" customHeight="1">
      <c r="O575" s="33"/>
      <c r="P575" s="22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22"/>
      <c r="AB575" s="32"/>
    </row>
    <row r="576" ht="15.75" customHeight="1">
      <c r="O576" s="33"/>
      <c r="P576" s="22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22"/>
      <c r="AB576" s="32"/>
    </row>
    <row r="577" ht="15.75" customHeight="1">
      <c r="O577" s="33"/>
      <c r="P577" s="22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22"/>
      <c r="AB577" s="32"/>
    </row>
    <row r="578" ht="15.75" customHeight="1">
      <c r="O578" s="33"/>
      <c r="P578" s="22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22"/>
      <c r="AB578" s="32"/>
    </row>
    <row r="579" ht="15.75" customHeight="1">
      <c r="O579" s="33"/>
      <c r="P579" s="22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22"/>
      <c r="AB579" s="32"/>
    </row>
    <row r="580" ht="15.75" customHeight="1">
      <c r="O580" s="33"/>
      <c r="P580" s="22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22"/>
      <c r="AB580" s="32"/>
    </row>
    <row r="581" ht="15.75" customHeight="1">
      <c r="O581" s="33"/>
      <c r="P581" s="22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22"/>
      <c r="AB581" s="32"/>
    </row>
    <row r="582" ht="15.75" customHeight="1">
      <c r="O582" s="33"/>
      <c r="P582" s="22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22"/>
      <c r="AB582" s="32"/>
    </row>
    <row r="583" ht="15.75" customHeight="1">
      <c r="O583" s="33"/>
      <c r="P583" s="22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22"/>
      <c r="AB583" s="32"/>
    </row>
    <row r="584" ht="15.75" customHeight="1">
      <c r="O584" s="33"/>
      <c r="P584" s="22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22"/>
      <c r="AB584" s="32"/>
    </row>
    <row r="585" ht="15.75" customHeight="1">
      <c r="O585" s="33"/>
      <c r="P585" s="22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22"/>
      <c r="AB585" s="32"/>
    </row>
    <row r="586" ht="15.75" customHeight="1">
      <c r="O586" s="33"/>
      <c r="P586" s="22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22"/>
      <c r="AB586" s="32"/>
    </row>
    <row r="587" ht="15.75" customHeight="1">
      <c r="O587" s="33"/>
      <c r="P587" s="22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22"/>
      <c r="AB587" s="32"/>
    </row>
    <row r="588" ht="15.75" customHeight="1">
      <c r="O588" s="33"/>
      <c r="P588" s="22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22"/>
      <c r="AB588" s="32"/>
    </row>
    <row r="589" ht="15.75" customHeight="1">
      <c r="O589" s="33"/>
      <c r="P589" s="22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22"/>
      <c r="AB589" s="32"/>
    </row>
    <row r="590" ht="15.75" customHeight="1">
      <c r="O590" s="33"/>
      <c r="P590" s="22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22"/>
      <c r="AB590" s="32"/>
    </row>
    <row r="591" ht="15.75" customHeight="1">
      <c r="O591" s="33"/>
      <c r="P591" s="22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22"/>
      <c r="AB591" s="32"/>
    </row>
    <row r="592" ht="15.75" customHeight="1">
      <c r="O592" s="33"/>
      <c r="P592" s="22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22"/>
      <c r="AB592" s="32"/>
    </row>
    <row r="593" ht="15.75" customHeight="1">
      <c r="O593" s="33"/>
      <c r="P593" s="22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22"/>
      <c r="AB593" s="32"/>
    </row>
    <row r="594" ht="15.75" customHeight="1">
      <c r="O594" s="33"/>
      <c r="P594" s="22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22"/>
      <c r="AB594" s="32"/>
    </row>
    <row r="595" ht="15.75" customHeight="1">
      <c r="O595" s="33"/>
      <c r="P595" s="22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22"/>
      <c r="AB595" s="32"/>
    </row>
    <row r="596" ht="15.75" customHeight="1">
      <c r="O596" s="33"/>
      <c r="P596" s="22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22"/>
      <c r="AB596" s="32"/>
    </row>
    <row r="597" ht="15.75" customHeight="1">
      <c r="O597" s="33"/>
      <c r="P597" s="22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22"/>
      <c r="AB597" s="32"/>
    </row>
    <row r="598" ht="15.75" customHeight="1">
      <c r="O598" s="33"/>
      <c r="P598" s="22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22"/>
      <c r="AB598" s="32"/>
    </row>
    <row r="599" ht="15.75" customHeight="1">
      <c r="O599" s="33"/>
      <c r="P599" s="22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22"/>
      <c r="AB599" s="32"/>
    </row>
    <row r="600" ht="15.75" customHeight="1">
      <c r="O600" s="33"/>
      <c r="P600" s="22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22"/>
      <c r="AB600" s="32"/>
    </row>
    <row r="601" ht="15.75" customHeight="1">
      <c r="O601" s="33"/>
      <c r="P601" s="22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22"/>
      <c r="AB601" s="32"/>
    </row>
    <row r="602" ht="15.75" customHeight="1">
      <c r="O602" s="33"/>
      <c r="P602" s="22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22"/>
      <c r="AB602" s="32"/>
    </row>
    <row r="603" ht="15.75" customHeight="1">
      <c r="O603" s="33"/>
      <c r="P603" s="22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22"/>
      <c r="AB603" s="32"/>
    </row>
    <row r="604" ht="15.75" customHeight="1">
      <c r="O604" s="33"/>
      <c r="P604" s="22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22"/>
      <c r="AB604" s="32"/>
    </row>
    <row r="605" ht="15.75" customHeight="1">
      <c r="O605" s="33"/>
      <c r="P605" s="22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22"/>
      <c r="AB605" s="32"/>
    </row>
    <row r="606" ht="15.75" customHeight="1">
      <c r="O606" s="33"/>
      <c r="P606" s="22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22"/>
      <c r="AB606" s="32"/>
    </row>
    <row r="607" ht="15.75" customHeight="1">
      <c r="O607" s="33"/>
      <c r="P607" s="22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22"/>
      <c r="AB607" s="32"/>
    </row>
    <row r="608" ht="15.75" customHeight="1">
      <c r="O608" s="33"/>
      <c r="P608" s="22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22"/>
      <c r="AB608" s="32"/>
    </row>
    <row r="609" ht="15.75" customHeight="1">
      <c r="O609" s="33"/>
      <c r="P609" s="22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22"/>
      <c r="AB609" s="32"/>
    </row>
    <row r="610" ht="15.75" customHeight="1">
      <c r="O610" s="33"/>
      <c r="P610" s="22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22"/>
      <c r="AB610" s="32"/>
    </row>
    <row r="611" ht="15.75" customHeight="1">
      <c r="O611" s="33"/>
      <c r="P611" s="22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22"/>
      <c r="AB611" s="32"/>
    </row>
    <row r="612" ht="15.75" customHeight="1">
      <c r="O612" s="33"/>
      <c r="P612" s="22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22"/>
      <c r="AB612" s="32"/>
    </row>
    <row r="613" ht="15.75" customHeight="1">
      <c r="O613" s="33"/>
      <c r="P613" s="22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22"/>
      <c r="AB613" s="32"/>
    </row>
    <row r="614" ht="15.75" customHeight="1">
      <c r="O614" s="33"/>
      <c r="P614" s="22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22"/>
      <c r="AB614" s="32"/>
    </row>
    <row r="615" ht="15.75" customHeight="1">
      <c r="O615" s="33"/>
      <c r="P615" s="22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22"/>
      <c r="AB615" s="32"/>
    </row>
    <row r="616" ht="15.75" customHeight="1">
      <c r="O616" s="33"/>
      <c r="P616" s="22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22"/>
      <c r="AB616" s="32"/>
    </row>
    <row r="617" ht="15.75" customHeight="1">
      <c r="O617" s="33"/>
      <c r="P617" s="22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22"/>
      <c r="AB617" s="32"/>
    </row>
    <row r="618" ht="15.75" customHeight="1">
      <c r="O618" s="33"/>
      <c r="P618" s="22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22"/>
      <c r="AB618" s="32"/>
    </row>
    <row r="619" ht="15.75" customHeight="1">
      <c r="O619" s="33"/>
      <c r="P619" s="22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22"/>
      <c r="AB619" s="32"/>
    </row>
    <row r="620" ht="15.75" customHeight="1">
      <c r="O620" s="33"/>
      <c r="P620" s="22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22"/>
      <c r="AB620" s="32"/>
    </row>
    <row r="621" ht="15.75" customHeight="1">
      <c r="O621" s="33"/>
      <c r="P621" s="22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22"/>
      <c r="AB621" s="32"/>
    </row>
    <row r="622" ht="15.75" customHeight="1">
      <c r="O622" s="33"/>
      <c r="P622" s="22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22"/>
      <c r="AB622" s="32"/>
    </row>
    <row r="623" ht="15.75" customHeight="1">
      <c r="O623" s="33"/>
      <c r="P623" s="22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22"/>
      <c r="AB623" s="32"/>
    </row>
    <row r="624" ht="15.75" customHeight="1">
      <c r="O624" s="33"/>
      <c r="P624" s="22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22"/>
      <c r="AB624" s="32"/>
    </row>
    <row r="625" ht="15.75" customHeight="1">
      <c r="O625" s="33"/>
      <c r="P625" s="22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22"/>
      <c r="AB625" s="32"/>
    </row>
    <row r="626" ht="15.75" customHeight="1">
      <c r="O626" s="33"/>
      <c r="P626" s="22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22"/>
      <c r="AB626" s="32"/>
    </row>
    <row r="627" ht="15.75" customHeight="1">
      <c r="O627" s="33"/>
      <c r="P627" s="22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22"/>
      <c r="AB627" s="32"/>
    </row>
    <row r="628" ht="15.75" customHeight="1">
      <c r="O628" s="33"/>
      <c r="P628" s="22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22"/>
      <c r="AB628" s="32"/>
    </row>
    <row r="629" ht="15.75" customHeight="1">
      <c r="O629" s="33"/>
      <c r="P629" s="22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22"/>
      <c r="AB629" s="32"/>
    </row>
    <row r="630" ht="15.75" customHeight="1">
      <c r="O630" s="33"/>
      <c r="P630" s="22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22"/>
      <c r="AB630" s="32"/>
    </row>
    <row r="631" ht="15.75" customHeight="1">
      <c r="O631" s="33"/>
      <c r="P631" s="22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22"/>
      <c r="AB631" s="32"/>
    </row>
    <row r="632" ht="15.75" customHeight="1">
      <c r="O632" s="33"/>
      <c r="P632" s="22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22"/>
      <c r="AB632" s="32"/>
    </row>
    <row r="633" ht="15.75" customHeight="1">
      <c r="O633" s="33"/>
      <c r="P633" s="22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22"/>
      <c r="AB633" s="32"/>
    </row>
    <row r="634" ht="15.75" customHeight="1">
      <c r="O634" s="33"/>
      <c r="P634" s="22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22"/>
      <c r="AB634" s="32"/>
    </row>
    <row r="635" ht="15.75" customHeight="1">
      <c r="O635" s="33"/>
      <c r="P635" s="22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22"/>
      <c r="AB635" s="32"/>
    </row>
    <row r="636" ht="15.75" customHeight="1">
      <c r="O636" s="33"/>
      <c r="P636" s="22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22"/>
      <c r="AB636" s="32"/>
    </row>
    <row r="637" ht="15.75" customHeight="1">
      <c r="O637" s="33"/>
      <c r="P637" s="22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22"/>
      <c r="AB637" s="32"/>
    </row>
    <row r="638" ht="15.75" customHeight="1">
      <c r="O638" s="33"/>
      <c r="P638" s="22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22"/>
      <c r="AB638" s="32"/>
    </row>
    <row r="639" ht="15.75" customHeight="1">
      <c r="O639" s="33"/>
      <c r="P639" s="22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22"/>
      <c r="AB639" s="32"/>
    </row>
    <row r="640" ht="15.75" customHeight="1">
      <c r="O640" s="33"/>
      <c r="P640" s="22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22"/>
      <c r="AB640" s="32"/>
    </row>
    <row r="641" ht="15.75" customHeight="1">
      <c r="O641" s="33"/>
      <c r="P641" s="22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22"/>
      <c r="AB641" s="32"/>
    </row>
    <row r="642" ht="15.75" customHeight="1">
      <c r="O642" s="33"/>
      <c r="P642" s="22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22"/>
      <c r="AB642" s="32"/>
    </row>
    <row r="643" ht="15.75" customHeight="1">
      <c r="O643" s="33"/>
      <c r="P643" s="22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22"/>
      <c r="AB643" s="32"/>
    </row>
    <row r="644" ht="15.75" customHeight="1">
      <c r="O644" s="33"/>
      <c r="P644" s="22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22"/>
      <c r="AB644" s="32"/>
    </row>
    <row r="645" ht="15.75" customHeight="1">
      <c r="O645" s="33"/>
      <c r="P645" s="22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22"/>
      <c r="AB645" s="32"/>
    </row>
    <row r="646" ht="15.75" customHeight="1">
      <c r="O646" s="33"/>
      <c r="P646" s="22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22"/>
      <c r="AB646" s="32"/>
    </row>
    <row r="647" ht="15.75" customHeight="1">
      <c r="O647" s="33"/>
      <c r="P647" s="22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22"/>
      <c r="AB647" s="32"/>
    </row>
    <row r="648" ht="15.75" customHeight="1">
      <c r="O648" s="33"/>
      <c r="P648" s="22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22"/>
      <c r="AB648" s="32"/>
    </row>
    <row r="649" ht="15.75" customHeight="1">
      <c r="O649" s="33"/>
      <c r="P649" s="22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22"/>
      <c r="AB649" s="32"/>
    </row>
    <row r="650" ht="15.75" customHeight="1">
      <c r="O650" s="33"/>
      <c r="P650" s="22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22"/>
      <c r="AB650" s="32"/>
    </row>
    <row r="651" ht="15.75" customHeight="1">
      <c r="O651" s="33"/>
      <c r="P651" s="22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22"/>
      <c r="AB651" s="32"/>
    </row>
    <row r="652" ht="15.75" customHeight="1">
      <c r="O652" s="33"/>
      <c r="P652" s="22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22"/>
      <c r="AB652" s="32"/>
    </row>
    <row r="653" ht="15.75" customHeight="1">
      <c r="O653" s="33"/>
      <c r="P653" s="22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22"/>
      <c r="AB653" s="32"/>
    </row>
    <row r="654" ht="15.75" customHeight="1">
      <c r="O654" s="33"/>
      <c r="P654" s="22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22"/>
      <c r="AB654" s="32"/>
    </row>
    <row r="655" ht="15.75" customHeight="1">
      <c r="O655" s="33"/>
      <c r="P655" s="22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22"/>
      <c r="AB655" s="32"/>
    </row>
    <row r="656" ht="15.75" customHeight="1">
      <c r="O656" s="33"/>
      <c r="P656" s="22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22"/>
      <c r="AB656" s="32"/>
    </row>
    <row r="657" ht="15.75" customHeight="1">
      <c r="O657" s="33"/>
      <c r="P657" s="22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22"/>
      <c r="AB657" s="32"/>
    </row>
    <row r="658" ht="15.75" customHeight="1">
      <c r="O658" s="33"/>
      <c r="P658" s="22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22"/>
      <c r="AB658" s="32"/>
    </row>
    <row r="659" ht="15.75" customHeight="1">
      <c r="O659" s="33"/>
      <c r="P659" s="22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22"/>
      <c r="AB659" s="32"/>
    </row>
    <row r="660" ht="15.75" customHeight="1">
      <c r="O660" s="33"/>
      <c r="P660" s="22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22"/>
      <c r="AB660" s="32"/>
    </row>
    <row r="661" ht="15.75" customHeight="1">
      <c r="O661" s="33"/>
      <c r="P661" s="22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22"/>
      <c r="AB661" s="32"/>
    </row>
    <row r="662" ht="15.75" customHeight="1">
      <c r="O662" s="33"/>
      <c r="P662" s="22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22"/>
      <c r="AB662" s="32"/>
    </row>
    <row r="663" ht="15.75" customHeight="1">
      <c r="O663" s="33"/>
      <c r="P663" s="22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22"/>
      <c r="AB663" s="32"/>
    </row>
    <row r="664" ht="15.75" customHeight="1">
      <c r="O664" s="33"/>
      <c r="P664" s="22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22"/>
      <c r="AB664" s="32"/>
    </row>
    <row r="665" ht="15.75" customHeight="1">
      <c r="O665" s="33"/>
      <c r="P665" s="22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22"/>
      <c r="AB665" s="32"/>
    </row>
    <row r="666" ht="15.75" customHeight="1">
      <c r="O666" s="33"/>
      <c r="P666" s="22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22"/>
      <c r="AB666" s="32"/>
    </row>
    <row r="667" ht="15.75" customHeight="1">
      <c r="O667" s="33"/>
      <c r="P667" s="22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22"/>
      <c r="AB667" s="32"/>
    </row>
    <row r="668" ht="15.75" customHeight="1">
      <c r="O668" s="33"/>
      <c r="P668" s="22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22"/>
      <c r="AB668" s="32"/>
    </row>
    <row r="669" ht="15.75" customHeight="1">
      <c r="O669" s="33"/>
      <c r="P669" s="22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22"/>
      <c r="AB669" s="32"/>
    </row>
    <row r="670" ht="15.75" customHeight="1">
      <c r="O670" s="33"/>
      <c r="P670" s="22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22"/>
      <c r="AB670" s="32"/>
    </row>
    <row r="671" ht="15.75" customHeight="1">
      <c r="O671" s="33"/>
      <c r="P671" s="22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22"/>
      <c r="AB671" s="32"/>
    </row>
    <row r="672" ht="15.75" customHeight="1">
      <c r="O672" s="33"/>
      <c r="P672" s="22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22"/>
      <c r="AB672" s="32"/>
    </row>
    <row r="673" ht="15.75" customHeight="1">
      <c r="O673" s="33"/>
      <c r="P673" s="22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22"/>
      <c r="AB673" s="32"/>
    </row>
    <row r="674" ht="15.75" customHeight="1">
      <c r="O674" s="33"/>
      <c r="P674" s="22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22"/>
      <c r="AB674" s="32"/>
    </row>
    <row r="675" ht="15.75" customHeight="1">
      <c r="O675" s="33"/>
      <c r="P675" s="22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22"/>
      <c r="AB675" s="32"/>
    </row>
    <row r="676" ht="15.75" customHeight="1">
      <c r="O676" s="33"/>
      <c r="P676" s="22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22"/>
      <c r="AB676" s="32"/>
    </row>
    <row r="677" ht="15.75" customHeight="1">
      <c r="O677" s="33"/>
      <c r="P677" s="22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22"/>
      <c r="AB677" s="32"/>
    </row>
    <row r="678" ht="15.75" customHeight="1">
      <c r="O678" s="33"/>
      <c r="P678" s="22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22"/>
      <c r="AB678" s="32"/>
    </row>
    <row r="679" ht="15.75" customHeight="1">
      <c r="O679" s="33"/>
      <c r="P679" s="22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22"/>
      <c r="AB679" s="32"/>
    </row>
    <row r="680" ht="15.75" customHeight="1">
      <c r="O680" s="33"/>
      <c r="P680" s="22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22"/>
      <c r="AB680" s="32"/>
    </row>
    <row r="681" ht="15.75" customHeight="1">
      <c r="O681" s="33"/>
      <c r="P681" s="22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22"/>
      <c r="AB681" s="32"/>
    </row>
    <row r="682" ht="15.75" customHeight="1">
      <c r="O682" s="33"/>
      <c r="P682" s="22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22"/>
      <c r="AB682" s="32"/>
    </row>
    <row r="683" ht="15.75" customHeight="1">
      <c r="O683" s="33"/>
      <c r="P683" s="22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22"/>
      <c r="AB683" s="32"/>
    </row>
    <row r="684" ht="15.75" customHeight="1">
      <c r="O684" s="33"/>
      <c r="P684" s="22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22"/>
      <c r="AB684" s="32"/>
    </row>
    <row r="685" ht="15.75" customHeight="1">
      <c r="O685" s="33"/>
      <c r="P685" s="22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22"/>
      <c r="AB685" s="32"/>
    </row>
    <row r="686" ht="15.75" customHeight="1">
      <c r="O686" s="33"/>
      <c r="P686" s="22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22"/>
      <c r="AB686" s="32"/>
    </row>
    <row r="687" ht="15.75" customHeight="1">
      <c r="O687" s="33"/>
      <c r="P687" s="22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22"/>
      <c r="AB687" s="32"/>
    </row>
    <row r="688" ht="15.75" customHeight="1">
      <c r="O688" s="33"/>
      <c r="P688" s="22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22"/>
      <c r="AB688" s="32"/>
    </row>
    <row r="689" ht="15.75" customHeight="1">
      <c r="O689" s="33"/>
      <c r="P689" s="22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22"/>
      <c r="AB689" s="32"/>
    </row>
    <row r="690" ht="15.75" customHeight="1">
      <c r="O690" s="33"/>
      <c r="P690" s="22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22"/>
      <c r="AB690" s="32"/>
    </row>
    <row r="691" ht="15.75" customHeight="1">
      <c r="O691" s="33"/>
      <c r="P691" s="22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22"/>
      <c r="AB691" s="32"/>
    </row>
    <row r="692" ht="15.75" customHeight="1">
      <c r="O692" s="33"/>
      <c r="P692" s="22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22"/>
      <c r="AB692" s="32"/>
    </row>
    <row r="693" ht="15.75" customHeight="1">
      <c r="O693" s="33"/>
      <c r="P693" s="22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22"/>
      <c r="AB693" s="32"/>
    </row>
    <row r="694" ht="15.75" customHeight="1">
      <c r="O694" s="33"/>
      <c r="P694" s="22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22"/>
      <c r="AB694" s="32"/>
    </row>
    <row r="695" ht="15.75" customHeight="1">
      <c r="O695" s="33"/>
      <c r="P695" s="22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22"/>
      <c r="AB695" s="32"/>
    </row>
    <row r="696" ht="15.75" customHeight="1">
      <c r="O696" s="33"/>
      <c r="P696" s="22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22"/>
      <c r="AB696" s="32"/>
    </row>
    <row r="697" ht="15.75" customHeight="1">
      <c r="O697" s="33"/>
      <c r="P697" s="22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22"/>
      <c r="AB697" s="32"/>
    </row>
    <row r="698" ht="15.75" customHeight="1">
      <c r="O698" s="33"/>
      <c r="P698" s="22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22"/>
      <c r="AB698" s="32"/>
    </row>
    <row r="699" ht="15.75" customHeight="1">
      <c r="O699" s="33"/>
      <c r="P699" s="22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22"/>
      <c r="AB699" s="32"/>
    </row>
    <row r="700" ht="15.75" customHeight="1">
      <c r="O700" s="33"/>
      <c r="P700" s="22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22"/>
      <c r="AB700" s="32"/>
    </row>
    <row r="701" ht="15.75" customHeight="1">
      <c r="O701" s="33"/>
      <c r="P701" s="22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22"/>
      <c r="AB701" s="32"/>
    </row>
    <row r="702" ht="15.75" customHeight="1">
      <c r="O702" s="33"/>
      <c r="P702" s="22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22"/>
      <c r="AB702" s="32"/>
    </row>
    <row r="703" ht="15.75" customHeight="1">
      <c r="O703" s="33"/>
      <c r="P703" s="22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22"/>
      <c r="AB703" s="32"/>
    </row>
    <row r="704" ht="15.75" customHeight="1">
      <c r="O704" s="33"/>
      <c r="P704" s="22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22"/>
      <c r="AB704" s="32"/>
    </row>
    <row r="705" ht="15.75" customHeight="1">
      <c r="O705" s="33"/>
      <c r="P705" s="22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22"/>
      <c r="AB705" s="32"/>
    </row>
    <row r="706" ht="15.75" customHeight="1">
      <c r="O706" s="33"/>
      <c r="P706" s="22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22"/>
      <c r="AB706" s="32"/>
    </row>
    <row r="707" ht="15.75" customHeight="1">
      <c r="O707" s="33"/>
      <c r="P707" s="22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22"/>
      <c r="AB707" s="32"/>
    </row>
    <row r="708" ht="15.75" customHeight="1">
      <c r="O708" s="33"/>
      <c r="P708" s="22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22"/>
      <c r="AB708" s="32"/>
    </row>
    <row r="709" ht="15.75" customHeight="1">
      <c r="O709" s="33"/>
      <c r="P709" s="22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22"/>
      <c r="AB709" s="32"/>
    </row>
    <row r="710" ht="15.75" customHeight="1">
      <c r="O710" s="33"/>
      <c r="P710" s="22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22"/>
      <c r="AB710" s="32"/>
    </row>
    <row r="711" ht="15.75" customHeight="1">
      <c r="O711" s="33"/>
      <c r="P711" s="22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22"/>
      <c r="AB711" s="32"/>
    </row>
    <row r="712" ht="15.75" customHeight="1">
      <c r="O712" s="33"/>
      <c r="P712" s="22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22"/>
      <c r="AB712" s="32"/>
    </row>
    <row r="713" ht="15.75" customHeight="1">
      <c r="O713" s="33"/>
      <c r="P713" s="22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22"/>
      <c r="AB713" s="32"/>
    </row>
    <row r="714" ht="15.75" customHeight="1">
      <c r="O714" s="33"/>
      <c r="P714" s="22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22"/>
      <c r="AB714" s="32"/>
    </row>
    <row r="715" ht="15.75" customHeight="1">
      <c r="O715" s="33"/>
      <c r="P715" s="22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22"/>
      <c r="AB715" s="32"/>
    </row>
    <row r="716" ht="15.75" customHeight="1">
      <c r="O716" s="33"/>
      <c r="P716" s="22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22"/>
      <c r="AB716" s="32"/>
    </row>
    <row r="717" ht="15.75" customHeight="1">
      <c r="O717" s="33"/>
      <c r="P717" s="22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22"/>
      <c r="AB717" s="32"/>
    </row>
    <row r="718" ht="15.75" customHeight="1">
      <c r="O718" s="33"/>
      <c r="P718" s="22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22"/>
      <c r="AB718" s="32"/>
    </row>
    <row r="719" ht="15.75" customHeight="1">
      <c r="O719" s="33"/>
      <c r="P719" s="22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22"/>
      <c r="AB719" s="32"/>
    </row>
    <row r="720" ht="15.75" customHeight="1">
      <c r="O720" s="33"/>
      <c r="P720" s="22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22"/>
      <c r="AB720" s="32"/>
    </row>
    <row r="721" ht="15.75" customHeight="1">
      <c r="O721" s="33"/>
      <c r="P721" s="22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22"/>
      <c r="AB721" s="32"/>
    </row>
    <row r="722" ht="15.75" customHeight="1">
      <c r="O722" s="33"/>
      <c r="P722" s="22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22"/>
      <c r="AB722" s="32"/>
    </row>
    <row r="723" ht="15.75" customHeight="1">
      <c r="O723" s="33"/>
      <c r="P723" s="22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22"/>
      <c r="AB723" s="32"/>
    </row>
    <row r="724" ht="15.75" customHeight="1">
      <c r="O724" s="33"/>
      <c r="P724" s="22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22"/>
      <c r="AB724" s="32"/>
    </row>
    <row r="725" ht="15.75" customHeight="1">
      <c r="O725" s="33"/>
      <c r="P725" s="22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22"/>
      <c r="AB725" s="32"/>
    </row>
    <row r="726" ht="15.75" customHeight="1">
      <c r="O726" s="33"/>
      <c r="P726" s="22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22"/>
      <c r="AB726" s="32"/>
    </row>
    <row r="727" ht="15.75" customHeight="1">
      <c r="O727" s="33"/>
      <c r="P727" s="22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22"/>
      <c r="AB727" s="32"/>
    </row>
    <row r="728" ht="15.75" customHeight="1">
      <c r="O728" s="33"/>
      <c r="P728" s="22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22"/>
      <c r="AB728" s="32"/>
    </row>
    <row r="729" ht="15.75" customHeight="1">
      <c r="O729" s="33"/>
      <c r="P729" s="22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22"/>
      <c r="AB729" s="32"/>
    </row>
    <row r="730" ht="15.75" customHeight="1">
      <c r="O730" s="33"/>
      <c r="P730" s="22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22"/>
      <c r="AB730" s="32"/>
    </row>
    <row r="731" ht="15.75" customHeight="1">
      <c r="O731" s="33"/>
      <c r="P731" s="22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22"/>
      <c r="AB731" s="32"/>
    </row>
    <row r="732" ht="15.75" customHeight="1">
      <c r="O732" s="33"/>
      <c r="P732" s="22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22"/>
      <c r="AB732" s="32"/>
    </row>
    <row r="733" ht="15.75" customHeight="1">
      <c r="O733" s="33"/>
      <c r="P733" s="22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22"/>
      <c r="AB733" s="32"/>
    </row>
    <row r="734" ht="15.75" customHeight="1">
      <c r="O734" s="33"/>
      <c r="P734" s="22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22"/>
      <c r="AB734" s="32"/>
    </row>
    <row r="735" ht="15.75" customHeight="1">
      <c r="O735" s="33"/>
      <c r="P735" s="22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22"/>
      <c r="AB735" s="32"/>
    </row>
    <row r="736" ht="15.75" customHeight="1">
      <c r="O736" s="33"/>
      <c r="P736" s="22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22"/>
      <c r="AB736" s="32"/>
    </row>
    <row r="737" ht="15.75" customHeight="1">
      <c r="O737" s="33"/>
      <c r="P737" s="22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22"/>
      <c r="AB737" s="32"/>
    </row>
    <row r="738" ht="15.75" customHeight="1">
      <c r="O738" s="33"/>
      <c r="P738" s="22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22"/>
      <c r="AB738" s="32"/>
    </row>
    <row r="739" ht="15.75" customHeight="1">
      <c r="O739" s="33"/>
      <c r="P739" s="22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22"/>
      <c r="AB739" s="32"/>
    </row>
    <row r="740" ht="15.75" customHeight="1">
      <c r="O740" s="33"/>
      <c r="P740" s="22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22"/>
      <c r="AB740" s="32"/>
    </row>
    <row r="741" ht="15.75" customHeight="1">
      <c r="O741" s="33"/>
      <c r="P741" s="22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22"/>
      <c r="AB741" s="32"/>
    </row>
    <row r="742" ht="15.75" customHeight="1">
      <c r="O742" s="33"/>
      <c r="P742" s="22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22"/>
      <c r="AB742" s="32"/>
    </row>
    <row r="743" ht="15.75" customHeight="1">
      <c r="O743" s="33"/>
      <c r="P743" s="22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22"/>
      <c r="AB743" s="32"/>
    </row>
    <row r="744" ht="15.75" customHeight="1">
      <c r="O744" s="33"/>
      <c r="P744" s="22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22"/>
      <c r="AB744" s="32"/>
    </row>
    <row r="745" ht="15.75" customHeight="1">
      <c r="O745" s="33"/>
      <c r="P745" s="22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22"/>
      <c r="AB745" s="32"/>
    </row>
    <row r="746" ht="15.75" customHeight="1">
      <c r="O746" s="33"/>
      <c r="P746" s="22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22"/>
      <c r="AB746" s="32"/>
    </row>
    <row r="747" ht="15.75" customHeight="1">
      <c r="O747" s="33"/>
      <c r="P747" s="22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22"/>
      <c r="AB747" s="32"/>
    </row>
    <row r="748" ht="15.75" customHeight="1">
      <c r="O748" s="33"/>
      <c r="P748" s="22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22"/>
      <c r="AB748" s="32"/>
    </row>
    <row r="749" ht="15.75" customHeight="1">
      <c r="O749" s="33"/>
      <c r="P749" s="22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22"/>
      <c r="AB749" s="32"/>
    </row>
    <row r="750" ht="15.75" customHeight="1">
      <c r="O750" s="33"/>
      <c r="P750" s="22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22"/>
      <c r="AB750" s="32"/>
    </row>
    <row r="751" ht="15.75" customHeight="1">
      <c r="O751" s="33"/>
      <c r="P751" s="22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22"/>
      <c r="AB751" s="32"/>
    </row>
    <row r="752" ht="15.75" customHeight="1">
      <c r="O752" s="33"/>
      <c r="P752" s="22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22"/>
      <c r="AB752" s="32"/>
    </row>
    <row r="753" ht="15.75" customHeight="1">
      <c r="O753" s="33"/>
      <c r="P753" s="22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22"/>
      <c r="AB753" s="32"/>
    </row>
    <row r="754" ht="15.75" customHeight="1">
      <c r="O754" s="33"/>
      <c r="P754" s="22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22"/>
      <c r="AB754" s="32"/>
    </row>
    <row r="755" ht="15.75" customHeight="1">
      <c r="O755" s="33"/>
      <c r="P755" s="22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22"/>
      <c r="AB755" s="32"/>
    </row>
    <row r="756" ht="15.75" customHeight="1">
      <c r="O756" s="33"/>
      <c r="P756" s="22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22"/>
      <c r="AB756" s="32"/>
    </row>
    <row r="757" ht="15.75" customHeight="1">
      <c r="O757" s="33"/>
      <c r="P757" s="22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22"/>
      <c r="AB757" s="32"/>
    </row>
    <row r="758" ht="15.75" customHeight="1">
      <c r="O758" s="33"/>
      <c r="P758" s="22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22"/>
      <c r="AB758" s="32"/>
    </row>
    <row r="759" ht="15.75" customHeight="1">
      <c r="O759" s="33"/>
      <c r="P759" s="22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22"/>
      <c r="AB759" s="32"/>
    </row>
    <row r="760" ht="15.75" customHeight="1">
      <c r="O760" s="33"/>
      <c r="P760" s="22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22"/>
      <c r="AB760" s="32"/>
    </row>
    <row r="761" ht="15.75" customHeight="1">
      <c r="O761" s="33"/>
      <c r="P761" s="22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22"/>
      <c r="AB761" s="32"/>
    </row>
    <row r="762" ht="15.75" customHeight="1">
      <c r="O762" s="33"/>
      <c r="P762" s="22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22"/>
      <c r="AB762" s="32"/>
    </row>
    <row r="763" ht="15.75" customHeight="1">
      <c r="O763" s="33"/>
      <c r="P763" s="22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22"/>
      <c r="AB763" s="32"/>
    </row>
    <row r="764" ht="15.75" customHeight="1">
      <c r="O764" s="33"/>
      <c r="P764" s="22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22"/>
      <c r="AB764" s="32"/>
    </row>
    <row r="765" ht="15.75" customHeight="1">
      <c r="O765" s="33"/>
      <c r="P765" s="22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22"/>
      <c r="AB765" s="32"/>
    </row>
    <row r="766" ht="15.75" customHeight="1">
      <c r="O766" s="33"/>
      <c r="P766" s="22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22"/>
      <c r="AB766" s="32"/>
    </row>
    <row r="767" ht="15.75" customHeight="1">
      <c r="O767" s="33"/>
      <c r="P767" s="22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22"/>
      <c r="AB767" s="32"/>
    </row>
    <row r="768" ht="15.75" customHeight="1">
      <c r="O768" s="33"/>
      <c r="P768" s="22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22"/>
      <c r="AB768" s="32"/>
    </row>
    <row r="769" ht="15.75" customHeight="1">
      <c r="O769" s="33"/>
      <c r="P769" s="22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22"/>
      <c r="AB769" s="32"/>
    </row>
    <row r="770" ht="15.75" customHeight="1">
      <c r="O770" s="33"/>
      <c r="P770" s="22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22"/>
      <c r="AB770" s="32"/>
    </row>
    <row r="771" ht="15.75" customHeight="1">
      <c r="O771" s="33"/>
      <c r="P771" s="22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22"/>
      <c r="AB771" s="32"/>
    </row>
    <row r="772" ht="15.75" customHeight="1">
      <c r="O772" s="33"/>
      <c r="P772" s="22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22"/>
      <c r="AB772" s="32"/>
    </row>
    <row r="773" ht="15.75" customHeight="1">
      <c r="O773" s="33"/>
      <c r="P773" s="22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22"/>
      <c r="AB773" s="32"/>
    </row>
    <row r="774" ht="15.75" customHeight="1">
      <c r="O774" s="33"/>
      <c r="P774" s="22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22"/>
      <c r="AB774" s="32"/>
    </row>
    <row r="775" ht="15.75" customHeight="1">
      <c r="O775" s="33"/>
      <c r="P775" s="22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22"/>
      <c r="AB775" s="32"/>
    </row>
    <row r="776" ht="15.75" customHeight="1">
      <c r="O776" s="33"/>
      <c r="P776" s="22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22"/>
      <c r="AB776" s="32"/>
    </row>
    <row r="777" ht="15.75" customHeight="1">
      <c r="O777" s="33"/>
      <c r="P777" s="22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22"/>
      <c r="AB777" s="32"/>
    </row>
    <row r="778" ht="15.75" customHeight="1">
      <c r="O778" s="33"/>
      <c r="P778" s="22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22"/>
      <c r="AB778" s="32"/>
    </row>
    <row r="779" ht="15.75" customHeight="1">
      <c r="O779" s="33"/>
      <c r="P779" s="22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22"/>
      <c r="AB779" s="32"/>
    </row>
    <row r="780" ht="15.75" customHeight="1">
      <c r="O780" s="33"/>
      <c r="P780" s="22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22"/>
      <c r="AB780" s="32"/>
    </row>
    <row r="781" ht="15.75" customHeight="1">
      <c r="O781" s="33"/>
      <c r="P781" s="22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22"/>
      <c r="AB781" s="32"/>
    </row>
    <row r="782" ht="15.75" customHeight="1">
      <c r="O782" s="33"/>
      <c r="P782" s="22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22"/>
      <c r="AB782" s="32"/>
    </row>
    <row r="783" ht="15.75" customHeight="1">
      <c r="O783" s="33"/>
      <c r="P783" s="22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22"/>
      <c r="AB783" s="32"/>
    </row>
    <row r="784" ht="15.75" customHeight="1">
      <c r="O784" s="33"/>
      <c r="P784" s="22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22"/>
      <c r="AB784" s="32"/>
    </row>
    <row r="785" ht="15.75" customHeight="1">
      <c r="O785" s="33"/>
      <c r="P785" s="22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22"/>
      <c r="AB785" s="32"/>
    </row>
    <row r="786" ht="15.75" customHeight="1">
      <c r="O786" s="33"/>
      <c r="P786" s="22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22"/>
      <c r="AB786" s="32"/>
    </row>
    <row r="787" ht="15.75" customHeight="1">
      <c r="O787" s="33"/>
      <c r="P787" s="22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22"/>
      <c r="AB787" s="32"/>
    </row>
    <row r="788" ht="15.75" customHeight="1">
      <c r="O788" s="33"/>
      <c r="P788" s="22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22"/>
      <c r="AB788" s="32"/>
    </row>
    <row r="789" ht="15.75" customHeight="1">
      <c r="O789" s="33"/>
      <c r="P789" s="22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22"/>
      <c r="AB789" s="32"/>
    </row>
    <row r="790" ht="15.75" customHeight="1">
      <c r="O790" s="33"/>
      <c r="P790" s="22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22"/>
      <c r="AB790" s="32"/>
    </row>
    <row r="791" ht="15.75" customHeight="1">
      <c r="O791" s="33"/>
      <c r="P791" s="22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22"/>
      <c r="AB791" s="32"/>
    </row>
    <row r="792" ht="15.75" customHeight="1">
      <c r="O792" s="33"/>
      <c r="P792" s="22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22"/>
      <c r="AB792" s="32"/>
    </row>
    <row r="793" ht="15.75" customHeight="1">
      <c r="O793" s="33"/>
      <c r="P793" s="22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22"/>
      <c r="AB793" s="32"/>
    </row>
    <row r="794" ht="15.75" customHeight="1">
      <c r="O794" s="33"/>
      <c r="P794" s="22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22"/>
      <c r="AB794" s="32"/>
    </row>
    <row r="795" ht="15.75" customHeight="1">
      <c r="O795" s="33"/>
      <c r="P795" s="22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22"/>
      <c r="AB795" s="32"/>
    </row>
    <row r="796" ht="15.75" customHeight="1">
      <c r="O796" s="33"/>
      <c r="P796" s="22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22"/>
      <c r="AB796" s="32"/>
    </row>
    <row r="797" ht="15.75" customHeight="1">
      <c r="O797" s="33"/>
      <c r="P797" s="22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22"/>
      <c r="AB797" s="32"/>
    </row>
    <row r="798" ht="15.75" customHeight="1">
      <c r="O798" s="33"/>
      <c r="P798" s="22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22"/>
      <c r="AB798" s="32"/>
    </row>
    <row r="799" ht="15.75" customHeight="1">
      <c r="O799" s="33"/>
      <c r="P799" s="22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22"/>
      <c r="AB799" s="32"/>
    </row>
    <row r="800" ht="15.75" customHeight="1">
      <c r="O800" s="33"/>
      <c r="P800" s="22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22"/>
      <c r="AB800" s="32"/>
    </row>
    <row r="801" ht="15.75" customHeight="1">
      <c r="O801" s="33"/>
      <c r="P801" s="22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22"/>
      <c r="AB801" s="32"/>
    </row>
    <row r="802" ht="15.75" customHeight="1">
      <c r="O802" s="33"/>
      <c r="P802" s="22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22"/>
      <c r="AB802" s="32"/>
    </row>
    <row r="803" ht="15.75" customHeight="1">
      <c r="O803" s="33"/>
      <c r="P803" s="22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22"/>
      <c r="AB803" s="32"/>
    </row>
    <row r="804" ht="15.75" customHeight="1">
      <c r="O804" s="33"/>
      <c r="P804" s="22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22"/>
      <c r="AB804" s="32"/>
    </row>
    <row r="805" ht="15.75" customHeight="1">
      <c r="O805" s="33"/>
      <c r="P805" s="22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22"/>
      <c r="AB805" s="32"/>
    </row>
    <row r="806" ht="15.75" customHeight="1">
      <c r="O806" s="33"/>
      <c r="P806" s="22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22"/>
      <c r="AB806" s="32"/>
    </row>
    <row r="807" ht="15.75" customHeight="1">
      <c r="O807" s="33"/>
      <c r="P807" s="22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22"/>
      <c r="AB807" s="32"/>
    </row>
    <row r="808" ht="15.75" customHeight="1">
      <c r="O808" s="33"/>
      <c r="P808" s="22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22"/>
      <c r="AB808" s="32"/>
    </row>
    <row r="809" ht="15.75" customHeight="1">
      <c r="O809" s="33"/>
      <c r="P809" s="22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22"/>
      <c r="AB809" s="32"/>
    </row>
    <row r="810" ht="15.75" customHeight="1">
      <c r="O810" s="33"/>
      <c r="P810" s="22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22"/>
      <c r="AB810" s="32"/>
    </row>
    <row r="811" ht="15.75" customHeight="1">
      <c r="O811" s="33"/>
      <c r="P811" s="22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22"/>
      <c r="AB811" s="32"/>
    </row>
    <row r="812" ht="15.75" customHeight="1">
      <c r="O812" s="33"/>
      <c r="P812" s="22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22"/>
      <c r="AB812" s="32"/>
    </row>
    <row r="813" ht="15.75" customHeight="1">
      <c r="O813" s="33"/>
      <c r="P813" s="22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22"/>
      <c r="AB813" s="32"/>
    </row>
    <row r="814" ht="15.75" customHeight="1">
      <c r="O814" s="33"/>
      <c r="P814" s="22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22"/>
      <c r="AB814" s="32"/>
    </row>
    <row r="815" ht="15.75" customHeight="1">
      <c r="O815" s="33"/>
      <c r="P815" s="22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22"/>
      <c r="AB815" s="32"/>
    </row>
    <row r="816" ht="15.75" customHeight="1">
      <c r="O816" s="33"/>
      <c r="P816" s="22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22"/>
      <c r="AB816" s="32"/>
    </row>
    <row r="817" ht="15.75" customHeight="1">
      <c r="O817" s="33"/>
      <c r="P817" s="22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22"/>
      <c r="AB817" s="32"/>
    </row>
    <row r="818" ht="15.75" customHeight="1">
      <c r="O818" s="33"/>
      <c r="P818" s="22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22"/>
      <c r="AB818" s="32"/>
    </row>
    <row r="819" ht="15.75" customHeight="1">
      <c r="O819" s="33"/>
      <c r="P819" s="22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22"/>
      <c r="AB819" s="32"/>
    </row>
    <row r="820" ht="15.75" customHeight="1">
      <c r="O820" s="33"/>
      <c r="P820" s="22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22"/>
      <c r="AB820" s="32"/>
    </row>
    <row r="821" ht="15.75" customHeight="1">
      <c r="O821" s="33"/>
      <c r="P821" s="22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22"/>
      <c r="AB821" s="32"/>
    </row>
    <row r="822" ht="15.75" customHeight="1">
      <c r="O822" s="33"/>
      <c r="P822" s="22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22"/>
      <c r="AB822" s="32"/>
    </row>
    <row r="823" ht="15.75" customHeight="1">
      <c r="O823" s="33"/>
      <c r="P823" s="22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22"/>
      <c r="AB823" s="32"/>
    </row>
    <row r="824" ht="15.75" customHeight="1">
      <c r="O824" s="33"/>
      <c r="P824" s="22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22"/>
      <c r="AB824" s="32"/>
    </row>
    <row r="825" ht="15.75" customHeight="1">
      <c r="O825" s="33"/>
      <c r="P825" s="22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22"/>
      <c r="AB825" s="32"/>
    </row>
    <row r="826" ht="15.75" customHeight="1">
      <c r="O826" s="33"/>
      <c r="P826" s="22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22"/>
      <c r="AB826" s="32"/>
    </row>
    <row r="827" ht="15.75" customHeight="1">
      <c r="O827" s="33"/>
      <c r="P827" s="22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22"/>
      <c r="AB827" s="32"/>
    </row>
    <row r="828" ht="15.75" customHeight="1">
      <c r="O828" s="33"/>
      <c r="P828" s="22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22"/>
      <c r="AB828" s="32"/>
    </row>
    <row r="829" ht="15.75" customHeight="1">
      <c r="O829" s="33"/>
      <c r="P829" s="22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22"/>
      <c r="AB829" s="32"/>
    </row>
    <row r="830" ht="15.75" customHeight="1">
      <c r="O830" s="33"/>
      <c r="P830" s="22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22"/>
      <c r="AB830" s="32"/>
    </row>
    <row r="831" ht="15.75" customHeight="1">
      <c r="O831" s="33"/>
      <c r="P831" s="22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22"/>
      <c r="AB831" s="32"/>
    </row>
    <row r="832" ht="15.75" customHeight="1">
      <c r="O832" s="33"/>
      <c r="P832" s="22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22"/>
      <c r="AB832" s="32"/>
    </row>
    <row r="833" ht="15.75" customHeight="1">
      <c r="O833" s="33"/>
      <c r="P833" s="22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22"/>
      <c r="AB833" s="32"/>
    </row>
    <row r="834" ht="15.75" customHeight="1">
      <c r="O834" s="33"/>
      <c r="P834" s="22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22"/>
      <c r="AB834" s="32"/>
    </row>
    <row r="835" ht="15.75" customHeight="1">
      <c r="O835" s="33"/>
      <c r="P835" s="22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22"/>
      <c r="AB835" s="32"/>
    </row>
    <row r="836" ht="15.75" customHeight="1">
      <c r="O836" s="33"/>
      <c r="P836" s="22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22"/>
      <c r="AB836" s="32"/>
    </row>
    <row r="837" ht="15.75" customHeight="1">
      <c r="O837" s="33"/>
      <c r="P837" s="22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22"/>
      <c r="AB837" s="32"/>
    </row>
    <row r="838" ht="15.75" customHeight="1">
      <c r="O838" s="33"/>
      <c r="P838" s="22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22"/>
      <c r="AB838" s="32"/>
    </row>
    <row r="839" ht="15.75" customHeight="1">
      <c r="O839" s="33"/>
      <c r="P839" s="22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22"/>
      <c r="AB839" s="32"/>
    </row>
    <row r="840" ht="15.75" customHeight="1">
      <c r="O840" s="33"/>
      <c r="P840" s="22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22"/>
      <c r="AB840" s="32"/>
    </row>
    <row r="841" ht="15.75" customHeight="1">
      <c r="O841" s="33"/>
      <c r="P841" s="22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22"/>
      <c r="AB841" s="32"/>
    </row>
    <row r="842" ht="15.75" customHeight="1">
      <c r="O842" s="33"/>
      <c r="P842" s="22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22"/>
      <c r="AB842" s="32"/>
    </row>
    <row r="843" ht="15.75" customHeight="1">
      <c r="O843" s="33"/>
      <c r="P843" s="22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22"/>
      <c r="AB843" s="32"/>
    </row>
    <row r="844" ht="15.75" customHeight="1">
      <c r="O844" s="33"/>
      <c r="P844" s="22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22"/>
      <c r="AB844" s="32"/>
    </row>
    <row r="845" ht="15.75" customHeight="1">
      <c r="O845" s="33"/>
      <c r="P845" s="22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22"/>
      <c r="AB845" s="32"/>
    </row>
    <row r="846" ht="15.75" customHeight="1">
      <c r="O846" s="33"/>
      <c r="P846" s="22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22"/>
      <c r="AB846" s="32"/>
    </row>
    <row r="847" ht="15.75" customHeight="1">
      <c r="O847" s="33"/>
      <c r="P847" s="22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22"/>
      <c r="AB847" s="32"/>
    </row>
    <row r="848" ht="15.75" customHeight="1">
      <c r="O848" s="33"/>
      <c r="P848" s="22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22"/>
      <c r="AB848" s="32"/>
    </row>
    <row r="849" ht="15.75" customHeight="1">
      <c r="O849" s="33"/>
      <c r="P849" s="22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22"/>
      <c r="AB849" s="32"/>
    </row>
    <row r="850" ht="15.75" customHeight="1">
      <c r="O850" s="33"/>
      <c r="P850" s="22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22"/>
      <c r="AB850" s="32"/>
    </row>
    <row r="851" ht="15.75" customHeight="1">
      <c r="O851" s="33"/>
      <c r="P851" s="22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22"/>
      <c r="AB851" s="32"/>
    </row>
    <row r="852" ht="15.75" customHeight="1">
      <c r="O852" s="33"/>
      <c r="P852" s="22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22"/>
      <c r="AB852" s="32"/>
    </row>
    <row r="853" ht="15.75" customHeight="1">
      <c r="O853" s="33"/>
      <c r="P853" s="22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22"/>
      <c r="AB853" s="32"/>
    </row>
    <row r="854" ht="15.75" customHeight="1">
      <c r="O854" s="33"/>
      <c r="P854" s="22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22"/>
      <c r="AB854" s="32"/>
    </row>
    <row r="855" ht="15.75" customHeight="1">
      <c r="O855" s="33"/>
      <c r="P855" s="22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22"/>
      <c r="AB855" s="32"/>
    </row>
    <row r="856" ht="15.75" customHeight="1">
      <c r="O856" s="33"/>
      <c r="P856" s="22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22"/>
      <c r="AB856" s="32"/>
    </row>
    <row r="857" ht="15.75" customHeight="1">
      <c r="O857" s="33"/>
      <c r="P857" s="22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22"/>
      <c r="AB857" s="32"/>
    </row>
    <row r="858" ht="15.75" customHeight="1">
      <c r="O858" s="33"/>
      <c r="P858" s="22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22"/>
      <c r="AB858" s="32"/>
    </row>
    <row r="859" ht="15.75" customHeight="1">
      <c r="O859" s="33"/>
      <c r="P859" s="22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22"/>
      <c r="AB859" s="32"/>
    </row>
    <row r="860" ht="15.75" customHeight="1">
      <c r="O860" s="33"/>
      <c r="P860" s="22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22"/>
      <c r="AB860" s="32"/>
    </row>
    <row r="861" ht="15.75" customHeight="1">
      <c r="O861" s="33"/>
      <c r="P861" s="22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22"/>
      <c r="AB861" s="32"/>
    </row>
    <row r="862" ht="15.75" customHeight="1">
      <c r="O862" s="33"/>
      <c r="P862" s="22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22"/>
      <c r="AB862" s="32"/>
    </row>
    <row r="863" ht="15.75" customHeight="1">
      <c r="O863" s="33"/>
      <c r="P863" s="22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22"/>
      <c r="AB863" s="32"/>
    </row>
    <row r="864" ht="15.75" customHeight="1">
      <c r="O864" s="33"/>
      <c r="P864" s="22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22"/>
      <c r="AB864" s="32"/>
    </row>
    <row r="865" ht="15.75" customHeight="1">
      <c r="O865" s="33"/>
      <c r="P865" s="22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22"/>
      <c r="AB865" s="32"/>
    </row>
    <row r="866" ht="15.75" customHeight="1">
      <c r="O866" s="33"/>
      <c r="P866" s="22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22"/>
      <c r="AB866" s="32"/>
    </row>
    <row r="867" ht="15.75" customHeight="1">
      <c r="O867" s="33"/>
      <c r="P867" s="22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22"/>
      <c r="AB867" s="32"/>
    </row>
    <row r="868" ht="15.75" customHeight="1">
      <c r="O868" s="33"/>
      <c r="P868" s="22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22"/>
      <c r="AB868" s="32"/>
    </row>
    <row r="869" ht="15.75" customHeight="1">
      <c r="O869" s="33"/>
      <c r="P869" s="22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22"/>
      <c r="AB869" s="32"/>
    </row>
    <row r="870" ht="15.75" customHeight="1">
      <c r="O870" s="33"/>
      <c r="P870" s="22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22"/>
      <c r="AB870" s="32"/>
    </row>
    <row r="871" ht="15.75" customHeight="1">
      <c r="O871" s="33"/>
      <c r="P871" s="22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22"/>
      <c r="AB871" s="32"/>
    </row>
    <row r="872" ht="15.75" customHeight="1">
      <c r="O872" s="33"/>
      <c r="P872" s="22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22"/>
      <c r="AB872" s="32"/>
    </row>
    <row r="873" ht="15.75" customHeight="1">
      <c r="O873" s="33"/>
      <c r="P873" s="22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22"/>
      <c r="AB873" s="32"/>
    </row>
    <row r="874" ht="15.75" customHeight="1">
      <c r="O874" s="33"/>
      <c r="P874" s="22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22"/>
      <c r="AB874" s="32"/>
    </row>
    <row r="875" ht="15.75" customHeight="1">
      <c r="O875" s="33"/>
      <c r="P875" s="22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22"/>
      <c r="AB875" s="32"/>
    </row>
    <row r="876" ht="15.75" customHeight="1">
      <c r="O876" s="33"/>
      <c r="P876" s="22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22"/>
      <c r="AB876" s="32"/>
    </row>
    <row r="877" ht="15.75" customHeight="1">
      <c r="O877" s="33"/>
      <c r="P877" s="22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22"/>
      <c r="AB877" s="32"/>
    </row>
    <row r="878" ht="15.75" customHeight="1">
      <c r="O878" s="33"/>
      <c r="P878" s="22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22"/>
      <c r="AB878" s="32"/>
    </row>
    <row r="879" ht="15.75" customHeight="1">
      <c r="O879" s="33"/>
      <c r="P879" s="22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22"/>
      <c r="AB879" s="32"/>
    </row>
    <row r="880" ht="15.75" customHeight="1">
      <c r="O880" s="33"/>
      <c r="P880" s="22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22"/>
      <c r="AB880" s="32"/>
    </row>
    <row r="881" ht="15.75" customHeight="1">
      <c r="O881" s="33"/>
      <c r="P881" s="22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22"/>
      <c r="AB881" s="32"/>
    </row>
    <row r="882" ht="15.75" customHeight="1">
      <c r="O882" s="33"/>
      <c r="P882" s="22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22"/>
      <c r="AB882" s="32"/>
    </row>
    <row r="883" ht="15.75" customHeight="1">
      <c r="O883" s="33"/>
      <c r="P883" s="22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22"/>
      <c r="AB883" s="32"/>
    </row>
    <row r="884" ht="15.75" customHeight="1">
      <c r="O884" s="33"/>
      <c r="P884" s="22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22"/>
      <c r="AB884" s="32"/>
    </row>
    <row r="885" ht="15.75" customHeight="1">
      <c r="O885" s="33"/>
      <c r="P885" s="22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22"/>
      <c r="AB885" s="32"/>
    </row>
    <row r="886" ht="15.75" customHeight="1">
      <c r="O886" s="33"/>
      <c r="P886" s="22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22"/>
      <c r="AB886" s="32"/>
    </row>
    <row r="887" ht="15.75" customHeight="1">
      <c r="O887" s="33"/>
      <c r="P887" s="22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22"/>
      <c r="AB887" s="32"/>
    </row>
    <row r="888" ht="15.75" customHeight="1">
      <c r="O888" s="33"/>
      <c r="P888" s="22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22"/>
      <c r="AB888" s="32"/>
    </row>
    <row r="889" ht="15.75" customHeight="1">
      <c r="O889" s="33"/>
      <c r="P889" s="22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22"/>
      <c r="AB889" s="32"/>
    </row>
    <row r="890" ht="15.75" customHeight="1">
      <c r="O890" s="33"/>
      <c r="P890" s="22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22"/>
      <c r="AB890" s="32"/>
    </row>
    <row r="891" ht="15.75" customHeight="1">
      <c r="O891" s="33"/>
      <c r="P891" s="22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22"/>
      <c r="AB891" s="32"/>
    </row>
    <row r="892" ht="15.75" customHeight="1">
      <c r="O892" s="33"/>
      <c r="P892" s="22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22"/>
      <c r="AB892" s="32"/>
    </row>
    <row r="893" ht="15.75" customHeight="1">
      <c r="O893" s="33"/>
      <c r="P893" s="22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22"/>
      <c r="AB893" s="32"/>
    </row>
    <row r="894" ht="15.75" customHeight="1">
      <c r="O894" s="33"/>
      <c r="P894" s="22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22"/>
      <c r="AB894" s="32"/>
    </row>
    <row r="895" ht="15.75" customHeight="1">
      <c r="O895" s="33"/>
      <c r="P895" s="22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22"/>
      <c r="AB895" s="32"/>
    </row>
    <row r="896" ht="15.75" customHeight="1">
      <c r="O896" s="33"/>
      <c r="P896" s="22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22"/>
      <c r="AB896" s="32"/>
    </row>
    <row r="897" ht="15.75" customHeight="1">
      <c r="O897" s="33"/>
      <c r="P897" s="22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22"/>
      <c r="AB897" s="32"/>
    </row>
    <row r="898" ht="15.75" customHeight="1">
      <c r="O898" s="33"/>
      <c r="P898" s="22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22"/>
      <c r="AB898" s="32"/>
    </row>
    <row r="899" ht="15.75" customHeight="1">
      <c r="O899" s="33"/>
      <c r="P899" s="22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22"/>
      <c r="AB899" s="32"/>
    </row>
    <row r="900" ht="15.75" customHeight="1">
      <c r="O900" s="33"/>
      <c r="P900" s="22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22"/>
      <c r="AB900" s="32"/>
    </row>
    <row r="901" ht="15.75" customHeight="1">
      <c r="O901" s="33"/>
      <c r="P901" s="22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22"/>
      <c r="AB901" s="32"/>
    </row>
    <row r="902" ht="15.75" customHeight="1">
      <c r="O902" s="33"/>
      <c r="P902" s="22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22"/>
      <c r="AB902" s="32"/>
    </row>
    <row r="903" ht="15.75" customHeight="1">
      <c r="O903" s="33"/>
      <c r="P903" s="22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22"/>
      <c r="AB903" s="32"/>
    </row>
    <row r="904" ht="15.75" customHeight="1">
      <c r="O904" s="33"/>
      <c r="P904" s="22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22"/>
      <c r="AB904" s="32"/>
    </row>
    <row r="905" ht="15.75" customHeight="1">
      <c r="O905" s="33"/>
      <c r="P905" s="22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22"/>
      <c r="AB905" s="32"/>
    </row>
    <row r="906" ht="15.75" customHeight="1">
      <c r="O906" s="33"/>
      <c r="P906" s="22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22"/>
      <c r="AB906" s="32"/>
    </row>
    <row r="907" ht="15.75" customHeight="1">
      <c r="O907" s="33"/>
      <c r="P907" s="22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22"/>
      <c r="AB907" s="32"/>
    </row>
    <row r="908" ht="15.75" customHeight="1">
      <c r="O908" s="33"/>
      <c r="P908" s="22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22"/>
      <c r="AB908" s="32"/>
    </row>
    <row r="909" ht="15.75" customHeight="1">
      <c r="O909" s="33"/>
      <c r="P909" s="22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22"/>
      <c r="AB909" s="32"/>
    </row>
    <row r="910" ht="15.75" customHeight="1">
      <c r="O910" s="33"/>
      <c r="P910" s="22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22"/>
      <c r="AB910" s="32"/>
    </row>
    <row r="911" ht="15.75" customHeight="1">
      <c r="O911" s="33"/>
      <c r="P911" s="22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22"/>
      <c r="AB911" s="32"/>
    </row>
    <row r="912" ht="15.75" customHeight="1">
      <c r="O912" s="33"/>
      <c r="P912" s="22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22"/>
      <c r="AB912" s="32"/>
    </row>
    <row r="913" ht="15.75" customHeight="1">
      <c r="O913" s="33"/>
      <c r="P913" s="22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22"/>
      <c r="AB913" s="32"/>
    </row>
    <row r="914" ht="15.75" customHeight="1">
      <c r="O914" s="33"/>
      <c r="P914" s="22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22"/>
      <c r="AB914" s="32"/>
    </row>
    <row r="915" ht="15.75" customHeight="1">
      <c r="O915" s="33"/>
      <c r="P915" s="22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22"/>
      <c r="AB915" s="32"/>
    </row>
    <row r="916" ht="15.75" customHeight="1">
      <c r="O916" s="33"/>
      <c r="P916" s="22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22"/>
      <c r="AB916" s="32"/>
    </row>
    <row r="917" ht="15.75" customHeight="1">
      <c r="O917" s="33"/>
      <c r="P917" s="22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22"/>
      <c r="AB917" s="32"/>
    </row>
    <row r="918" ht="15.75" customHeight="1">
      <c r="O918" s="33"/>
      <c r="P918" s="22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22"/>
      <c r="AB918" s="32"/>
    </row>
    <row r="919" ht="15.75" customHeight="1">
      <c r="O919" s="33"/>
      <c r="P919" s="22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22"/>
      <c r="AB919" s="32"/>
    </row>
    <row r="920" ht="15.75" customHeight="1">
      <c r="O920" s="33"/>
      <c r="P920" s="22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22"/>
      <c r="AB920" s="32"/>
    </row>
    <row r="921" ht="15.75" customHeight="1">
      <c r="O921" s="33"/>
      <c r="P921" s="22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22"/>
      <c r="AB921" s="32"/>
    </row>
    <row r="922" ht="15.75" customHeight="1">
      <c r="O922" s="33"/>
      <c r="P922" s="22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22"/>
      <c r="AB922" s="32"/>
    </row>
    <row r="923" ht="15.75" customHeight="1">
      <c r="O923" s="33"/>
      <c r="P923" s="22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22"/>
      <c r="AB923" s="32"/>
    </row>
    <row r="924" ht="15.75" customHeight="1">
      <c r="O924" s="33"/>
      <c r="P924" s="22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22"/>
      <c r="AB924" s="32"/>
    </row>
    <row r="925" ht="15.75" customHeight="1">
      <c r="O925" s="33"/>
      <c r="P925" s="22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22"/>
      <c r="AB925" s="32"/>
    </row>
    <row r="926" ht="15.75" customHeight="1">
      <c r="O926" s="33"/>
      <c r="P926" s="22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22"/>
      <c r="AB926" s="32"/>
    </row>
    <row r="927" ht="15.75" customHeight="1">
      <c r="O927" s="33"/>
      <c r="P927" s="22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22"/>
      <c r="AB927" s="32"/>
    </row>
    <row r="928" ht="15.75" customHeight="1">
      <c r="O928" s="33"/>
      <c r="P928" s="22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22"/>
      <c r="AB928" s="32"/>
    </row>
    <row r="929" ht="15.75" customHeight="1">
      <c r="O929" s="33"/>
      <c r="P929" s="22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22"/>
      <c r="AB929" s="32"/>
    </row>
    <row r="930" ht="15.75" customHeight="1">
      <c r="O930" s="33"/>
      <c r="P930" s="22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22"/>
      <c r="AB930" s="32"/>
    </row>
    <row r="931" ht="15.75" customHeight="1">
      <c r="O931" s="33"/>
      <c r="P931" s="22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22"/>
      <c r="AB931" s="32"/>
    </row>
    <row r="932" ht="15.75" customHeight="1">
      <c r="O932" s="33"/>
      <c r="P932" s="22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22"/>
      <c r="AB932" s="32"/>
    </row>
    <row r="933" ht="15.75" customHeight="1">
      <c r="O933" s="33"/>
      <c r="P933" s="22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22"/>
      <c r="AB933" s="32"/>
    </row>
    <row r="934" ht="15.75" customHeight="1">
      <c r="O934" s="33"/>
      <c r="P934" s="22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22"/>
      <c r="AB934" s="32"/>
    </row>
    <row r="935" ht="15.75" customHeight="1">
      <c r="O935" s="33"/>
      <c r="P935" s="22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22"/>
      <c r="AB935" s="32"/>
    </row>
    <row r="936" ht="15.75" customHeight="1">
      <c r="O936" s="33"/>
      <c r="P936" s="22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22"/>
      <c r="AB936" s="32"/>
    </row>
    <row r="937" ht="15.75" customHeight="1">
      <c r="O937" s="33"/>
      <c r="P937" s="22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22"/>
      <c r="AB937" s="32"/>
    </row>
    <row r="938" ht="15.75" customHeight="1">
      <c r="O938" s="33"/>
      <c r="P938" s="22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22"/>
      <c r="AB938" s="32"/>
    </row>
    <row r="939" ht="15.75" customHeight="1">
      <c r="O939" s="33"/>
      <c r="P939" s="22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22"/>
      <c r="AB939" s="32"/>
    </row>
    <row r="940" ht="15.75" customHeight="1">
      <c r="O940" s="33"/>
      <c r="P940" s="22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22"/>
      <c r="AB940" s="32"/>
    </row>
    <row r="941" ht="15.75" customHeight="1">
      <c r="P941" s="22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22"/>
      <c r="AB941" s="32"/>
    </row>
    <row r="942" ht="15.75" customHeight="1">
      <c r="P942" s="22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22"/>
      <c r="AB942" s="32"/>
    </row>
    <row r="943" ht="15.75" customHeight="1">
      <c r="P943" s="22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22"/>
      <c r="AB943" s="32"/>
    </row>
    <row r="944" ht="15.75" customHeight="1">
      <c r="P944" s="22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22"/>
      <c r="AB944" s="32"/>
    </row>
    <row r="945" ht="15.75" customHeight="1">
      <c r="P945" s="22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22"/>
      <c r="AB945" s="32"/>
    </row>
    <row r="946" ht="15.75" customHeight="1">
      <c r="P946" s="22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22"/>
      <c r="AB946" s="32"/>
    </row>
    <row r="947" ht="15.75" customHeight="1">
      <c r="P947" s="22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22"/>
      <c r="AB947" s="32"/>
    </row>
    <row r="948" ht="15.75" customHeight="1">
      <c r="P948" s="22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22"/>
      <c r="AB948" s="32"/>
    </row>
    <row r="949" ht="15.75" customHeight="1">
      <c r="P949" s="22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22"/>
      <c r="AB949" s="32"/>
    </row>
    <row r="950" ht="15.75" customHeight="1">
      <c r="P950" s="22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22"/>
      <c r="AB950" s="32"/>
    </row>
    <row r="951" ht="15.75" customHeight="1">
      <c r="P951" s="22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22"/>
      <c r="AB951" s="32"/>
    </row>
    <row r="952" ht="15.75" customHeight="1">
      <c r="P952" s="22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22"/>
      <c r="AB952" s="32"/>
    </row>
    <row r="953" ht="15.75" customHeight="1">
      <c r="P953" s="22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22"/>
      <c r="AB953" s="32"/>
    </row>
    <row r="954" ht="15.75" customHeight="1">
      <c r="P954" s="22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22"/>
      <c r="AB954" s="32"/>
    </row>
    <row r="955" ht="15.75" customHeight="1">
      <c r="P955" s="22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22"/>
      <c r="AB955" s="32"/>
    </row>
    <row r="956" ht="15.75" customHeight="1">
      <c r="P956" s="22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22"/>
      <c r="AB956" s="32"/>
    </row>
    <row r="957" ht="15.75" customHeight="1">
      <c r="P957" s="22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22"/>
      <c r="AB957" s="32"/>
    </row>
    <row r="958" ht="15.75" customHeight="1">
      <c r="P958" s="22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22"/>
      <c r="AB958" s="32"/>
    </row>
    <row r="959" ht="15.75" customHeight="1">
      <c r="P959" s="22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22"/>
      <c r="AB959" s="32"/>
    </row>
    <row r="960" ht="15.75" customHeight="1">
      <c r="P960" s="22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22"/>
      <c r="AB960" s="32"/>
    </row>
    <row r="961" ht="15.75" customHeight="1">
      <c r="P961" s="22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22"/>
      <c r="AB961" s="32"/>
    </row>
    <row r="962" ht="15.75" customHeight="1">
      <c r="P962" s="22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22"/>
      <c r="AB962" s="32"/>
    </row>
    <row r="963" ht="15.75" customHeight="1">
      <c r="P963" s="22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22"/>
      <c r="AB963" s="32"/>
    </row>
    <row r="964" ht="15.75" customHeight="1">
      <c r="P964" s="22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22"/>
      <c r="AB964" s="32"/>
    </row>
    <row r="965" ht="15.75" customHeight="1">
      <c r="P965" s="22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22"/>
      <c r="AB965" s="32"/>
    </row>
    <row r="966" ht="15.75" customHeight="1">
      <c r="P966" s="22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22"/>
      <c r="AB966" s="32"/>
    </row>
    <row r="967" ht="15.75" customHeight="1">
      <c r="P967" s="22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22"/>
      <c r="AB967" s="32"/>
    </row>
    <row r="968" ht="15.75" customHeight="1">
      <c r="P968" s="22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22"/>
      <c r="AB968" s="32"/>
    </row>
    <row r="969" ht="15.75" customHeight="1">
      <c r="P969" s="22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22"/>
      <c r="AB969" s="32"/>
    </row>
    <row r="970" ht="15.75" customHeight="1">
      <c r="P970" s="22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22"/>
      <c r="AB970" s="32"/>
    </row>
    <row r="971" ht="15.75" customHeight="1">
      <c r="P971" s="22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22"/>
      <c r="AB971" s="32"/>
    </row>
    <row r="972" ht="15.75" customHeight="1">
      <c r="P972" s="22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22"/>
      <c r="AB972" s="32"/>
    </row>
    <row r="973" ht="15.75" customHeight="1">
      <c r="P973" s="22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22"/>
      <c r="AB973" s="32"/>
    </row>
    <row r="974" ht="15.75" customHeight="1">
      <c r="P974" s="22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22"/>
      <c r="AB974" s="32"/>
    </row>
    <row r="975" ht="15.75" customHeight="1">
      <c r="P975" s="22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22"/>
      <c r="AB975" s="32"/>
    </row>
    <row r="976" ht="15.75" customHeight="1">
      <c r="P976" s="22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22"/>
      <c r="AB976" s="32"/>
    </row>
    <row r="977" ht="15.75" customHeight="1">
      <c r="P977" s="22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22"/>
      <c r="AB977" s="32"/>
    </row>
    <row r="978" ht="15.75" customHeight="1">
      <c r="P978" s="22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22"/>
      <c r="AB978" s="32"/>
    </row>
    <row r="979" ht="15.75" customHeight="1">
      <c r="P979" s="22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22"/>
      <c r="AB979" s="32"/>
    </row>
    <row r="980" ht="15.75" customHeight="1">
      <c r="P980" s="22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22"/>
      <c r="AB980" s="32"/>
    </row>
    <row r="981" ht="15.75" customHeight="1">
      <c r="P981" s="22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22"/>
      <c r="AB981" s="32"/>
    </row>
    <row r="982" ht="15.75" customHeight="1">
      <c r="P982" s="22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22"/>
      <c r="AB982" s="32"/>
    </row>
    <row r="983" ht="15.75" customHeight="1">
      <c r="P983" s="22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22"/>
      <c r="AB983" s="32"/>
    </row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63FADEEB-D5CC-47FB-A66E-C2622E149796}" filter="1" showAutoFilter="1">
      <autoFilter ref="$A$1:$AG$1000">
        <filterColumn colId="3">
          <filters>
            <filter val="Numerical ability"/>
          </filters>
        </filterColumn>
      </autoFilter>
    </customSheetView>
    <customSheetView guid="{EE28A9A6-3FCC-4F92-B15D-25E7D4BCAC16}" filter="1" showAutoFilter="1">
      <autoFilter ref="$C$5:$M$49">
        <filterColumn colId="1">
          <filters blank="1">
            <filter val="Motor co-ordination"/>
          </filters>
        </filterColumn>
      </autoFilter>
    </customSheetView>
  </customSheetViews>
  <mergeCells count="38"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Q43:R43"/>
    <mergeCell ref="Q44:R44"/>
    <mergeCell ref="Q45:R45"/>
    <mergeCell ref="Q53:R53"/>
    <mergeCell ref="Q54:R54"/>
    <mergeCell ref="Q55:R55"/>
    <mergeCell ref="Q46:R46"/>
    <mergeCell ref="Q47:R47"/>
    <mergeCell ref="Q48:R48"/>
    <mergeCell ref="Q49:R49"/>
    <mergeCell ref="Q50:R50"/>
    <mergeCell ref="Q51:R51"/>
    <mergeCell ref="Q52:R52"/>
  </mergeCells>
  <conditionalFormatting sqref="C5:M43">
    <cfRule type="expression" dxfId="0" priority="1">
      <formula>$L5=1</formula>
    </cfRule>
  </conditionalFormatting>
  <conditionalFormatting sqref="N19:N55">
    <cfRule type="expression" dxfId="1" priority="2">
      <formula>N18=N19</formula>
    </cfRule>
  </conditionalFormatting>
  <conditionalFormatting sqref="N18:Q55">
    <cfRule type="expression" dxfId="2" priority="3">
      <formula>$N18=$N17</formula>
    </cfRule>
  </conditionalFormatting>
  <dataValidations>
    <dataValidation type="list" allowBlank="1" sqref="F5:J43">
      <formula1>"1"</formula1>
    </dataValidation>
    <dataValidation type="list" allowBlank="1" sqref="D5:D43">
      <formula1>Masters!$B$6:$B$29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7.88"/>
    <col customWidth="1" min="3" max="3" width="48.25"/>
    <col customWidth="1" min="4" max="4" width="38.25"/>
    <col customWidth="1" min="9" max="9" width="39.13"/>
  </cols>
  <sheetData>
    <row r="1">
      <c r="A1" s="120" t="s">
        <v>1543</v>
      </c>
      <c r="B1" s="120"/>
      <c r="C1" s="120" t="s">
        <v>1542</v>
      </c>
      <c r="D1" s="120" t="s">
        <v>2048</v>
      </c>
      <c r="E1" s="120" t="s">
        <v>2049</v>
      </c>
      <c r="F1" s="120" t="s">
        <v>2050</v>
      </c>
      <c r="G1" s="38"/>
      <c r="H1" s="38"/>
      <c r="I1" s="38">
        <f>COUNTIF(I2:I1000, "MISSING")</f>
        <v>2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121" t="s">
        <v>2051</v>
      </c>
      <c r="B2" s="121">
        <v>11.0</v>
      </c>
      <c r="C2" s="121" t="s">
        <v>858</v>
      </c>
      <c r="D2" s="122" t="s">
        <v>2052</v>
      </c>
      <c r="E2" s="121" t="s">
        <v>2053</v>
      </c>
      <c r="F2" s="121" t="s">
        <v>2053</v>
      </c>
      <c r="G2" s="35">
        <f t="shared" ref="G2:G502" si="1">Int(SUBSTITUTE(A2,"#",""))</f>
        <v>11</v>
      </c>
      <c r="I2" s="35" t="str">
        <f>iFERROR(vlookup(G2,Masters!C$6:D1000,2, fALSE),"MISSING")</f>
        <v>Legislators</v>
      </c>
    </row>
    <row r="3">
      <c r="A3" s="121" t="s">
        <v>2054</v>
      </c>
      <c r="B3" s="121">
        <v>12.0</v>
      </c>
      <c r="C3" s="121" t="s">
        <v>1528</v>
      </c>
      <c r="D3" s="122" t="s">
        <v>2055</v>
      </c>
      <c r="E3" s="121" t="s">
        <v>2053</v>
      </c>
      <c r="F3" s="121" t="s">
        <v>2053</v>
      </c>
      <c r="G3" s="35">
        <f t="shared" si="1"/>
        <v>12</v>
      </c>
      <c r="I3" s="35" t="str">
        <f>iFERROR(vlookup(G3,Masters!C$6:D1000,2, fALSE),"MISSING")</f>
        <v>Senior Government Managers and Officials</v>
      </c>
    </row>
    <row r="4">
      <c r="A4" s="121" t="s">
        <v>2056</v>
      </c>
      <c r="B4" s="121">
        <v>13.0</v>
      </c>
      <c r="C4" s="121" t="s">
        <v>1529</v>
      </c>
      <c r="D4" s="122" t="s">
        <v>2057</v>
      </c>
      <c r="E4" s="121" t="s">
        <v>2053</v>
      </c>
      <c r="F4" s="121" t="s">
        <v>2053</v>
      </c>
      <c r="G4" s="35">
        <f t="shared" si="1"/>
        <v>13</v>
      </c>
      <c r="I4" s="35" t="str">
        <f>iFERROR(vlookup(G4,Masters!C$6:D1000,2, fALSE),"MISSING")</f>
        <v>Senior Managers - Financial, Communications and Other Business Services</v>
      </c>
    </row>
    <row r="5">
      <c r="A5" s="121" t="s">
        <v>2058</v>
      </c>
      <c r="B5" s="121">
        <v>14.0</v>
      </c>
      <c r="C5" s="121" t="s">
        <v>1530</v>
      </c>
      <c r="D5" s="122" t="s">
        <v>2059</v>
      </c>
      <c r="E5" s="121" t="s">
        <v>2053</v>
      </c>
      <c r="F5" s="121" t="s">
        <v>2053</v>
      </c>
      <c r="G5" s="35">
        <f t="shared" si="1"/>
        <v>14</v>
      </c>
      <c r="I5" s="35" t="str">
        <f>iFERROR(vlookup(G5,Masters!C$6:D1000,2, fALSE),"MISSING")</f>
        <v>Senior Managers - Health, Education, Social and Community Services and Membership Organizations</v>
      </c>
    </row>
    <row r="6">
      <c r="A6" s="121" t="s">
        <v>2060</v>
      </c>
      <c r="B6" s="121">
        <v>15.0</v>
      </c>
      <c r="C6" s="121" t="s">
        <v>1517</v>
      </c>
      <c r="D6" s="122" t="s">
        <v>2061</v>
      </c>
      <c r="E6" s="121" t="s">
        <v>2062</v>
      </c>
      <c r="F6" s="121" t="s">
        <v>2053</v>
      </c>
      <c r="G6" s="35">
        <f t="shared" si="1"/>
        <v>15</v>
      </c>
      <c r="I6" s="35" t="str">
        <f>iFERROR(vlookup(G6,Masters!C$6:D1000,2, fALSE),"MISSING")</f>
        <v>Senior Managers - Trade, Broadcasting and Other Services, n.e.c.</v>
      </c>
    </row>
    <row r="7">
      <c r="A7" s="121" t="s">
        <v>2063</v>
      </c>
      <c r="B7" s="121">
        <v>16.0</v>
      </c>
      <c r="C7" s="121" t="s">
        <v>1551</v>
      </c>
      <c r="D7" s="122" t="s">
        <v>2064</v>
      </c>
      <c r="E7" s="121" t="s">
        <v>2053</v>
      </c>
      <c r="F7" s="121" t="s">
        <v>2053</v>
      </c>
      <c r="G7" s="35">
        <f t="shared" si="1"/>
        <v>16</v>
      </c>
      <c r="I7" s="35" t="str">
        <f>iFERROR(vlookup(G7,Masters!C$6:D1000,2, fALSE),"MISSING")</f>
        <v>MISSING</v>
      </c>
    </row>
    <row r="8">
      <c r="A8" s="121" t="s">
        <v>2065</v>
      </c>
      <c r="B8" s="121">
        <v>111.0</v>
      </c>
      <c r="C8" s="121" t="s">
        <v>1524</v>
      </c>
      <c r="D8" s="122" t="s">
        <v>2066</v>
      </c>
      <c r="E8" s="121" t="s">
        <v>2053</v>
      </c>
      <c r="F8" s="121" t="s">
        <v>2053</v>
      </c>
      <c r="G8" s="35">
        <f t="shared" si="1"/>
        <v>111</v>
      </c>
      <c r="I8" s="35" t="str">
        <f>iFERROR(vlookup(G8,Masters!C$6:D1000,2, fALSE),"MISSING")</f>
        <v>Financial Managers</v>
      </c>
    </row>
    <row r="9">
      <c r="A9" s="121" t="s">
        <v>2067</v>
      </c>
      <c r="B9" s="121">
        <v>112.0</v>
      </c>
      <c r="C9" s="121" t="s">
        <v>1525</v>
      </c>
      <c r="D9" s="122" t="s">
        <v>2068</v>
      </c>
      <c r="E9" s="121" t="s">
        <v>2069</v>
      </c>
      <c r="F9" s="121" t="s">
        <v>2053</v>
      </c>
      <c r="G9" s="35">
        <f t="shared" si="1"/>
        <v>112</v>
      </c>
      <c r="I9" s="35" t="str">
        <f>iFERROR(vlookup(G9,Masters!C$6:D1000,2, fALSE),"MISSING")</f>
        <v>Human Resources Managers</v>
      </c>
    </row>
    <row r="10">
      <c r="A10" s="121" t="s">
        <v>2070</v>
      </c>
      <c r="B10" s="121">
        <v>113.0</v>
      </c>
      <c r="C10" s="121" t="s">
        <v>1495</v>
      </c>
      <c r="D10" s="122" t="s">
        <v>2071</v>
      </c>
      <c r="E10" s="121" t="s">
        <v>2053</v>
      </c>
      <c r="F10" s="121" t="s">
        <v>2053</v>
      </c>
      <c r="G10" s="35">
        <f t="shared" si="1"/>
        <v>113</v>
      </c>
      <c r="I10" s="35" t="str">
        <f>iFERROR(vlookup(G10,Masters!C$6:D1000,2, fALSE),"MISSING")</f>
        <v>Purchasing Managers</v>
      </c>
    </row>
    <row r="11">
      <c r="A11" s="121" t="s">
        <v>2072</v>
      </c>
      <c r="B11" s="121">
        <v>114.0</v>
      </c>
      <c r="C11" s="121" t="s">
        <v>1491</v>
      </c>
      <c r="D11" s="122" t="s">
        <v>2073</v>
      </c>
      <c r="E11" s="121" t="s">
        <v>2053</v>
      </c>
      <c r="F11" s="121" t="s">
        <v>2053</v>
      </c>
      <c r="G11" s="35">
        <f t="shared" si="1"/>
        <v>114</v>
      </c>
      <c r="I11" s="35" t="str">
        <f>iFERROR(vlookup(G11,Masters!C$6:D1000,2, fALSE),"MISSING")</f>
        <v>Other Administrative Services Managers</v>
      </c>
    </row>
    <row r="12">
      <c r="A12" s="121" t="s">
        <v>2074</v>
      </c>
      <c r="B12" s="121">
        <v>121.0</v>
      </c>
      <c r="C12" s="121" t="s">
        <v>1479</v>
      </c>
      <c r="D12" s="122" t="s">
        <v>2075</v>
      </c>
      <c r="E12" s="121" t="s">
        <v>2053</v>
      </c>
      <c r="F12" s="121" t="s">
        <v>2053</v>
      </c>
      <c r="G12" s="35">
        <f t="shared" si="1"/>
        <v>121</v>
      </c>
      <c r="I12" s="35" t="str">
        <f>iFERROR(vlookup(G12,Masters!C$6:D1000,2, fALSE),"MISSING")</f>
        <v>Insurance Managers</v>
      </c>
    </row>
    <row r="13">
      <c r="A13" s="121" t="s">
        <v>2076</v>
      </c>
      <c r="B13" s="121">
        <v>122.0</v>
      </c>
      <c r="C13" s="121" t="s">
        <v>1521</v>
      </c>
      <c r="D13" s="122" t="s">
        <v>2077</v>
      </c>
      <c r="E13" s="121" t="s">
        <v>2078</v>
      </c>
      <c r="F13" s="121" t="s">
        <v>2053</v>
      </c>
      <c r="G13" s="35">
        <f t="shared" si="1"/>
        <v>122</v>
      </c>
      <c r="I13" s="35" t="str">
        <f>iFERROR(vlookup(G13,Masters!C$6:D1000,2, fALSE),"MISSING")</f>
        <v>Banking and Other Investment Managers</v>
      </c>
    </row>
    <row r="14">
      <c r="A14" s="121" t="s">
        <v>2079</v>
      </c>
      <c r="B14" s="121">
        <v>124.0</v>
      </c>
      <c r="C14" s="121" t="s">
        <v>1466</v>
      </c>
      <c r="D14" s="122" t="s">
        <v>2080</v>
      </c>
      <c r="E14" s="121" t="s">
        <v>2081</v>
      </c>
      <c r="F14" s="121" t="s">
        <v>2082</v>
      </c>
      <c r="G14" s="35">
        <f t="shared" si="1"/>
        <v>124</v>
      </c>
      <c r="I14" s="35" t="str">
        <f>iFERROR(vlookup(G14,Masters!C$6:D1000,2, fALSE),"MISSING")</f>
        <v>Advertising Managers</v>
      </c>
    </row>
    <row r="15">
      <c r="A15" s="121" t="s">
        <v>2083</v>
      </c>
      <c r="B15" s="121">
        <v>125.0</v>
      </c>
      <c r="C15" s="121" t="s">
        <v>1492</v>
      </c>
      <c r="D15" s="122" t="s">
        <v>2084</v>
      </c>
      <c r="E15" s="121" t="s">
        <v>2053</v>
      </c>
      <c r="F15" s="121" t="s">
        <v>2053</v>
      </c>
      <c r="G15" s="35">
        <f t="shared" si="1"/>
        <v>125</v>
      </c>
      <c r="I15" s="35" t="str">
        <f>iFERROR(vlookup(G15,Masters!C$6:D1000,2, fALSE),"MISSING")</f>
        <v>Other Business Services Managers</v>
      </c>
    </row>
    <row r="16">
      <c r="A16" s="121" t="s">
        <v>2085</v>
      </c>
      <c r="B16" s="121">
        <v>131.0</v>
      </c>
      <c r="C16" s="121" t="s">
        <v>1461</v>
      </c>
      <c r="D16" s="122" t="s">
        <v>2086</v>
      </c>
      <c r="E16" s="121" t="s">
        <v>2053</v>
      </c>
      <c r="F16" s="121" t="s">
        <v>2053</v>
      </c>
      <c r="G16" s="35">
        <f t="shared" si="1"/>
        <v>131</v>
      </c>
      <c r="I16" s="35" t="str">
        <f>iFERROR(vlookup(G16,Masters!C$6:D1000,2, fALSE),"MISSING")</f>
        <v>Telecommunication Carriers Managers</v>
      </c>
    </row>
    <row r="17">
      <c r="A17" s="121" t="s">
        <v>2087</v>
      </c>
      <c r="B17" s="121">
        <v>132.0</v>
      </c>
      <c r="C17" s="121" t="s">
        <v>1443</v>
      </c>
      <c r="D17" s="122" t="s">
        <v>2088</v>
      </c>
      <c r="E17" s="121" t="s">
        <v>2053</v>
      </c>
      <c r="F17" s="121" t="s">
        <v>2053</v>
      </c>
      <c r="G17" s="35">
        <f t="shared" si="1"/>
        <v>132</v>
      </c>
      <c r="I17" s="35" t="str">
        <f>iFERROR(vlookup(G17,Masters!C$6:D1000,2, fALSE),"MISSING")</f>
        <v>Postal and Courier Services Managers</v>
      </c>
    </row>
    <row r="18">
      <c r="A18" s="121" t="s">
        <v>2089</v>
      </c>
      <c r="B18" s="121">
        <v>211.0</v>
      </c>
      <c r="C18" s="121" t="s">
        <v>1238</v>
      </c>
      <c r="D18" s="122" t="s">
        <v>2090</v>
      </c>
      <c r="E18" s="121" t="s">
        <v>2053</v>
      </c>
      <c r="F18" s="121" t="s">
        <v>2053</v>
      </c>
      <c r="G18" s="35">
        <f t="shared" si="1"/>
        <v>211</v>
      </c>
      <c r="I18" s="35" t="str">
        <f>iFERROR(vlookup(G18,Masters!C$6:D1000,2, fALSE),"MISSING")</f>
        <v>Engineering Managers</v>
      </c>
    </row>
    <row r="19">
      <c r="A19" s="121" t="s">
        <v>2091</v>
      </c>
      <c r="B19" s="121">
        <v>212.0</v>
      </c>
      <c r="C19" s="121" t="s">
        <v>1211</v>
      </c>
      <c r="D19" s="122" t="s">
        <v>2092</v>
      </c>
      <c r="E19" s="121" t="s">
        <v>2053</v>
      </c>
      <c r="F19" s="121" t="s">
        <v>2053</v>
      </c>
      <c r="G19" s="35">
        <f t="shared" si="1"/>
        <v>212</v>
      </c>
      <c r="I19" s="35" t="str">
        <f>iFERROR(vlookup(G19,Masters!C$6:D1000,2, fALSE),"MISSING")</f>
        <v>Architecture and Science Managers</v>
      </c>
    </row>
    <row r="20">
      <c r="A20" s="121" t="s">
        <v>2093</v>
      </c>
      <c r="B20" s="121">
        <v>213.0</v>
      </c>
      <c r="C20" s="121" t="s">
        <v>1226</v>
      </c>
      <c r="D20" s="122" t="s">
        <v>2094</v>
      </c>
      <c r="E20" s="121" t="s">
        <v>2053</v>
      </c>
      <c r="F20" s="121" t="s">
        <v>2053</v>
      </c>
      <c r="G20" s="35">
        <f t="shared" si="1"/>
        <v>213</v>
      </c>
      <c r="I20" s="35" t="str">
        <f>iFERROR(vlookup(G20,Masters!C$6:D1000,2, fALSE),"MISSING")</f>
        <v>Computer and Information Systems Managers</v>
      </c>
    </row>
    <row r="21">
      <c r="A21" s="121" t="s">
        <v>2095</v>
      </c>
      <c r="B21" s="121">
        <v>311.0</v>
      </c>
      <c r="C21" s="121" t="s">
        <v>1527</v>
      </c>
      <c r="D21" s="122" t="s">
        <v>2096</v>
      </c>
      <c r="E21" s="121" t="s">
        <v>2053</v>
      </c>
      <c r="F21" s="121" t="s">
        <v>2053</v>
      </c>
      <c r="G21" s="35">
        <f t="shared" si="1"/>
        <v>311</v>
      </c>
      <c r="I21" s="35" t="str">
        <f>iFERROR(vlookup(G21,Masters!C$6:D1000,2, fALSE),"MISSING")</f>
        <v>Managers in Health Care</v>
      </c>
    </row>
    <row r="22">
      <c r="A22" s="121" t="s">
        <v>2097</v>
      </c>
      <c r="B22" s="121">
        <v>411.0</v>
      </c>
      <c r="C22" s="121" t="s">
        <v>1510</v>
      </c>
      <c r="D22" s="122" t="s">
        <v>2098</v>
      </c>
      <c r="E22" s="121" t="s">
        <v>2053</v>
      </c>
      <c r="F22" s="121" t="s">
        <v>2053</v>
      </c>
      <c r="G22" s="35">
        <f t="shared" si="1"/>
        <v>411</v>
      </c>
      <c r="I22" s="35" t="str">
        <f>iFERROR(vlookup(G22,Masters!C$6:D1000,2, fALSE),"MISSING")</f>
        <v>Government Managers - Health and Social Policy Development and Program Administration</v>
      </c>
    </row>
    <row r="23">
      <c r="A23" s="121" t="s">
        <v>2099</v>
      </c>
      <c r="B23" s="121">
        <v>412.0</v>
      </c>
      <c r="C23" s="121" t="s">
        <v>1508</v>
      </c>
      <c r="D23" s="122" t="s">
        <v>2100</v>
      </c>
      <c r="E23" s="121" t="s">
        <v>2053</v>
      </c>
      <c r="F23" s="121" t="s">
        <v>2053</v>
      </c>
      <c r="G23" s="35">
        <f t="shared" si="1"/>
        <v>412</v>
      </c>
      <c r="I23" s="35" t="str">
        <f>iFERROR(vlookup(G23,Masters!C$6:D1000,2, fALSE),"MISSING")</f>
        <v>Government Managers - Economic Analysis, Policy Development and Program Administration</v>
      </c>
    </row>
    <row r="24">
      <c r="A24" s="121" t="s">
        <v>2101</v>
      </c>
      <c r="B24" s="121">
        <v>413.0</v>
      </c>
      <c r="C24" s="121" t="s">
        <v>1509</v>
      </c>
      <c r="D24" s="122" t="s">
        <v>2102</v>
      </c>
      <c r="E24" s="121" t="s">
        <v>2053</v>
      </c>
      <c r="F24" s="121" t="s">
        <v>2053</v>
      </c>
      <c r="G24" s="35">
        <f t="shared" si="1"/>
        <v>413</v>
      </c>
      <c r="I24" s="35" t="str">
        <f>iFERROR(vlookup(G24,Masters!C$6:D1000,2, fALSE),"MISSING")</f>
        <v>Government Managers - Education Policy Development and Program Administration</v>
      </c>
    </row>
    <row r="25">
      <c r="A25" s="121" t="s">
        <v>2103</v>
      </c>
      <c r="B25" s="121">
        <v>414.0</v>
      </c>
      <c r="C25" s="121" t="s">
        <v>1493</v>
      </c>
      <c r="D25" s="122" t="s">
        <v>2104</v>
      </c>
      <c r="E25" s="121" t="s">
        <v>2053</v>
      </c>
      <c r="F25" s="121" t="s">
        <v>2053</v>
      </c>
      <c r="G25" s="35">
        <f t="shared" si="1"/>
        <v>414</v>
      </c>
      <c r="I25" s="35" t="str">
        <f>iFERROR(vlookup(G25,Masters!C$6:D1000,2, fALSE),"MISSING")</f>
        <v>Other Managers in Public Administration</v>
      </c>
    </row>
    <row r="26">
      <c r="A26" s="121" t="s">
        <v>2105</v>
      </c>
      <c r="B26" s="121">
        <v>421.0</v>
      </c>
      <c r="C26" s="121" t="s">
        <v>1503</v>
      </c>
      <c r="D26" s="122" t="s">
        <v>2106</v>
      </c>
      <c r="E26" s="121" t="s">
        <v>2053</v>
      </c>
      <c r="F26" s="121" t="s">
        <v>2053</v>
      </c>
      <c r="G26" s="35">
        <f t="shared" si="1"/>
        <v>421</v>
      </c>
      <c r="I26" s="35" t="str">
        <f>iFERROR(vlookup(G26,Masters!C$6:D1000,2, fALSE),"MISSING")</f>
        <v>Administrators of Vocational Training Schools</v>
      </c>
    </row>
    <row r="27">
      <c r="A27" s="121" t="s">
        <v>2107</v>
      </c>
      <c r="B27" s="121">
        <v>422.0</v>
      </c>
      <c r="C27" s="121" t="s">
        <v>1502</v>
      </c>
      <c r="D27" s="122" t="s">
        <v>2108</v>
      </c>
      <c r="E27" s="121" t="s">
        <v>2109</v>
      </c>
      <c r="F27" s="121" t="s">
        <v>2053</v>
      </c>
      <c r="G27" s="35">
        <f t="shared" si="1"/>
        <v>422</v>
      </c>
      <c r="I27" s="35" t="str">
        <f>iFERROR(vlookup(G27,Masters!C$6:D1000,2, fALSE),"MISSING")</f>
        <v>Administrators of Elementary and Secondary Education</v>
      </c>
    </row>
    <row r="28">
      <c r="A28" s="121" t="s">
        <v>2110</v>
      </c>
      <c r="B28" s="121">
        <v>423.0</v>
      </c>
      <c r="C28" s="121" t="s">
        <v>1514</v>
      </c>
      <c r="D28" s="122" t="s">
        <v>2111</v>
      </c>
      <c r="E28" s="121" t="s">
        <v>2053</v>
      </c>
      <c r="F28" s="121" t="s">
        <v>2053</v>
      </c>
      <c r="G28" s="35">
        <f t="shared" si="1"/>
        <v>423</v>
      </c>
      <c r="I28" s="35" t="str">
        <f>iFERROR(vlookup(G28,Masters!C$6:D1000,2, fALSE),"MISSING")</f>
        <v>Managers in Social, Community and Correctional Services</v>
      </c>
    </row>
    <row r="29">
      <c r="A29" s="121" t="s">
        <v>2112</v>
      </c>
      <c r="B29" s="121">
        <v>431.0</v>
      </c>
      <c r="C29" s="121" t="s">
        <v>1472</v>
      </c>
      <c r="D29" s="122" t="s">
        <v>2113</v>
      </c>
      <c r="E29" s="121" t="s">
        <v>2053</v>
      </c>
      <c r="F29" s="121" t="s">
        <v>2053</v>
      </c>
      <c r="G29" s="35">
        <f t="shared" si="1"/>
        <v>431</v>
      </c>
      <c r="I29" s="35" t="str">
        <f>iFERROR(vlookup(G29,Masters!C$6:D1000,2, fALSE),"MISSING")</f>
        <v>Commissioned Police Officers</v>
      </c>
    </row>
    <row r="30">
      <c r="A30" s="121" t="s">
        <v>2114</v>
      </c>
      <c r="B30" s="121">
        <v>432.0</v>
      </c>
      <c r="C30" s="121" t="s">
        <v>1429</v>
      </c>
      <c r="D30" s="122" t="s">
        <v>2115</v>
      </c>
      <c r="E30" s="121" t="s">
        <v>2053</v>
      </c>
      <c r="F30" s="121" t="s">
        <v>2053</v>
      </c>
      <c r="G30" s="35">
        <f t="shared" si="1"/>
        <v>432</v>
      </c>
      <c r="I30" s="35" t="str">
        <f>iFERROR(vlookup(G30,Masters!C$6:D1000,2, fALSE),"MISSING")</f>
        <v>Fire Chiefs and Senior Firefighting Officers</v>
      </c>
    </row>
    <row r="31">
      <c r="A31" s="121" t="s">
        <v>2116</v>
      </c>
      <c r="B31" s="121">
        <v>433.0</v>
      </c>
      <c r="C31" s="121" t="s">
        <v>1381</v>
      </c>
      <c r="D31" s="122" t="s">
        <v>2117</v>
      </c>
      <c r="E31" s="121" t="s">
        <v>2053</v>
      </c>
      <c r="F31" s="121" t="s">
        <v>2053</v>
      </c>
      <c r="G31" s="35">
        <f t="shared" si="1"/>
        <v>433</v>
      </c>
      <c r="I31" s="35" t="str">
        <f>iFERROR(vlookup(G31,Masters!C$6:D1000,2, fALSE),"MISSING")</f>
        <v>Commissioned Officers, Armed Forces</v>
      </c>
    </row>
    <row r="32">
      <c r="A32" s="121" t="s">
        <v>2118</v>
      </c>
      <c r="B32" s="121">
        <v>511.0</v>
      </c>
      <c r="C32" s="121" t="s">
        <v>1513</v>
      </c>
      <c r="D32" s="122" t="s">
        <v>2119</v>
      </c>
      <c r="E32" s="121" t="s">
        <v>2053</v>
      </c>
      <c r="F32" s="121" t="s">
        <v>2053</v>
      </c>
      <c r="G32" s="35">
        <f t="shared" si="1"/>
        <v>511</v>
      </c>
      <c r="I32" s="35" t="str">
        <f>iFERROR(vlookup(G32,Masters!C$6:D1000,2, fALSE),"MISSING")</f>
        <v>Library, Archive, Museum and Art Gallery Managers</v>
      </c>
    </row>
    <row r="33">
      <c r="A33" s="121" t="s">
        <v>2120</v>
      </c>
      <c r="B33" s="121">
        <v>512.0</v>
      </c>
      <c r="C33" s="121" t="s">
        <v>1487</v>
      </c>
      <c r="D33" s="122" t="s">
        <v>2121</v>
      </c>
      <c r="E33" s="121" t="s">
        <v>2053</v>
      </c>
      <c r="F33" s="121" t="s">
        <v>2053</v>
      </c>
      <c r="G33" s="35">
        <f t="shared" si="1"/>
        <v>512</v>
      </c>
      <c r="I33" s="35" t="str">
        <f>iFERROR(vlookup(G33,Masters!C$6:D1000,2, fALSE),"MISSING")</f>
        <v>Managers _x0013_ Publishing, Motion Pictures, Broadcasting and Performing Arts</v>
      </c>
    </row>
    <row r="34">
      <c r="A34" s="121" t="s">
        <v>2122</v>
      </c>
      <c r="B34" s="121">
        <v>513.0</v>
      </c>
      <c r="C34" s="121" t="s">
        <v>1327</v>
      </c>
      <c r="D34" s="122" t="s">
        <v>2123</v>
      </c>
      <c r="E34" s="121" t="s">
        <v>2124</v>
      </c>
      <c r="F34" s="121" t="s">
        <v>2053</v>
      </c>
      <c r="G34" s="35">
        <f t="shared" si="1"/>
        <v>513</v>
      </c>
      <c r="I34" s="35" t="str">
        <f>iFERROR(vlookup(G34,Masters!C$6:D1000,2, fALSE),"MISSING")</f>
        <v>Directors</v>
      </c>
    </row>
    <row r="35">
      <c r="A35" s="121" t="s">
        <v>2125</v>
      </c>
      <c r="B35" s="121">
        <v>601.0</v>
      </c>
      <c r="C35" s="121" t="s">
        <v>1496</v>
      </c>
      <c r="D35" s="122" t="s">
        <v>2126</v>
      </c>
      <c r="E35" s="121" t="s">
        <v>2053</v>
      </c>
      <c r="F35" s="121" t="s">
        <v>2053</v>
      </c>
      <c r="G35" s="35">
        <f t="shared" si="1"/>
        <v>601</v>
      </c>
      <c r="I35" s="35" t="str">
        <f>iFERROR(vlookup(G35,Masters!C$6:D1000,2, fALSE),"MISSING")</f>
        <v>Sales Managers</v>
      </c>
    </row>
    <row r="36">
      <c r="A36" s="121" t="s">
        <v>2127</v>
      </c>
      <c r="B36" s="121">
        <v>621.0</v>
      </c>
      <c r="C36" s="121" t="s">
        <v>1111</v>
      </c>
      <c r="D36" s="122" t="s">
        <v>2128</v>
      </c>
      <c r="E36" s="121" t="s">
        <v>2129</v>
      </c>
      <c r="F36" s="121" t="s">
        <v>2053</v>
      </c>
      <c r="G36" s="35">
        <f t="shared" si="1"/>
        <v>621</v>
      </c>
      <c r="I36" s="35" t="str">
        <f>iFERROR(vlookup(G36,Masters!C$6:D1000,2, fALSE),"MISSING")</f>
        <v>Floor Managers</v>
      </c>
    </row>
    <row r="37">
      <c r="A37" s="121" t="s">
        <v>2130</v>
      </c>
      <c r="B37" s="121">
        <v>631.0</v>
      </c>
      <c r="C37" s="121" t="s">
        <v>1449</v>
      </c>
      <c r="D37" s="122" t="s">
        <v>2131</v>
      </c>
      <c r="E37" s="121" t="s">
        <v>2132</v>
      </c>
      <c r="F37" s="121" t="s">
        <v>2053</v>
      </c>
      <c r="G37" s="35">
        <f t="shared" si="1"/>
        <v>631</v>
      </c>
      <c r="I37" s="35" t="str">
        <f>iFERROR(vlookup(G37,Masters!C$6:D1000,2, fALSE),"MISSING")</f>
        <v>Restaurant and Food Service Managers</v>
      </c>
    </row>
    <row r="38">
      <c r="A38" s="121" t="s">
        <v>2133</v>
      </c>
      <c r="B38" s="121">
        <v>632.0</v>
      </c>
      <c r="C38" s="121" t="s">
        <v>1209</v>
      </c>
      <c r="D38" s="122" t="s">
        <v>2134</v>
      </c>
      <c r="E38" s="121" t="s">
        <v>2053</v>
      </c>
      <c r="F38" s="121" t="s">
        <v>2053</v>
      </c>
      <c r="G38" s="35">
        <f t="shared" si="1"/>
        <v>632</v>
      </c>
      <c r="I38" s="35" t="str">
        <f>iFERROR(vlookup(G38,Masters!C$6:D1000,2, fALSE),"MISSING")</f>
        <v>Accommodation Service Managers</v>
      </c>
    </row>
    <row r="39">
      <c r="A39" s="121" t="s">
        <v>2135</v>
      </c>
      <c r="B39" s="121">
        <v>651.0</v>
      </c>
      <c r="C39" s="121" t="s">
        <v>1439</v>
      </c>
      <c r="D39" s="122" t="s">
        <v>2136</v>
      </c>
      <c r="E39" s="121" t="s">
        <v>2053</v>
      </c>
      <c r="F39" s="121" t="s">
        <v>2053</v>
      </c>
      <c r="G39" s="35">
        <f t="shared" si="1"/>
        <v>651</v>
      </c>
      <c r="I39" s="35" t="str">
        <f>iFERROR(vlookup(G39,Masters!C$6:D1000,2, fALSE),"MISSING")</f>
        <v>Other Services Managers</v>
      </c>
    </row>
    <row r="40">
      <c r="A40" s="121" t="s">
        <v>2137</v>
      </c>
      <c r="B40" s="121">
        <v>711.0</v>
      </c>
      <c r="C40" s="121" t="s">
        <v>1426</v>
      </c>
      <c r="D40" s="122" t="s">
        <v>2138</v>
      </c>
      <c r="E40" s="121" t="s">
        <v>2139</v>
      </c>
      <c r="F40" s="121" t="s">
        <v>2053</v>
      </c>
      <c r="G40" s="35">
        <f t="shared" si="1"/>
        <v>711</v>
      </c>
      <c r="I40" s="35" t="str">
        <f>iFERROR(vlookup(G40,Masters!C$6:D1000,2, fALSE),"MISSING")</f>
        <v>Construction Managers</v>
      </c>
    </row>
    <row r="41">
      <c r="A41" s="121" t="s">
        <v>2140</v>
      </c>
      <c r="B41" s="121">
        <v>712.0</v>
      </c>
      <c r="C41" s="121" t="s">
        <v>1448</v>
      </c>
      <c r="D41" s="122" t="s">
        <v>2141</v>
      </c>
      <c r="E41" s="121" t="s">
        <v>2142</v>
      </c>
      <c r="F41" s="121" t="s">
        <v>2053</v>
      </c>
      <c r="G41" s="35">
        <f t="shared" si="1"/>
        <v>712</v>
      </c>
      <c r="I41" s="35" t="str">
        <f>iFERROR(vlookup(G41,Masters!C$6:D1000,2, fALSE),"MISSING")</f>
        <v>Residential Home Builders and Renovators</v>
      </c>
    </row>
    <row r="42">
      <c r="A42" s="121" t="s">
        <v>2143</v>
      </c>
      <c r="B42" s="121">
        <v>714.0</v>
      </c>
      <c r="C42" s="121" t="s">
        <v>1178</v>
      </c>
      <c r="D42" s="122" t="s">
        <v>2144</v>
      </c>
      <c r="E42" s="121" t="s">
        <v>2145</v>
      </c>
      <c r="F42" s="121" t="s">
        <v>2053</v>
      </c>
      <c r="G42" s="35">
        <f t="shared" si="1"/>
        <v>714</v>
      </c>
      <c r="I42" s="35" t="str">
        <f>iFERROR(vlookup(G42,Masters!C$6:D1000,2, fALSE),"MISSING")</f>
        <v>Maintenance Managers</v>
      </c>
    </row>
    <row r="43">
      <c r="A43" s="121" t="s">
        <v>2146</v>
      </c>
      <c r="B43" s="121">
        <v>731.0</v>
      </c>
      <c r="C43" s="121" t="s">
        <v>1206</v>
      </c>
      <c r="D43" s="122" t="s">
        <v>2147</v>
      </c>
      <c r="E43" s="121" t="s">
        <v>2053</v>
      </c>
      <c r="F43" s="121" t="s">
        <v>2053</v>
      </c>
      <c r="G43" s="35">
        <f t="shared" si="1"/>
        <v>731</v>
      </c>
      <c r="I43" s="35" t="str">
        <f>iFERROR(vlookup(G43,Masters!C$6:D1000,2, fALSE),"MISSING")</f>
        <v>Transportation Managers, Freight Traffic</v>
      </c>
    </row>
    <row r="44">
      <c r="A44" s="121" t="s">
        <v>2148</v>
      </c>
      <c r="B44" s="121">
        <v>811.0</v>
      </c>
      <c r="C44" s="121" t="s">
        <v>1182</v>
      </c>
      <c r="D44" s="122" t="s">
        <v>2149</v>
      </c>
      <c r="E44" s="121" t="s">
        <v>2150</v>
      </c>
      <c r="F44" s="121" t="s">
        <v>2053</v>
      </c>
      <c r="G44" s="35">
        <f t="shared" si="1"/>
        <v>811</v>
      </c>
      <c r="I44" s="35" t="str">
        <f>iFERROR(vlookup(G44,Masters!C$6:D1000,2, fALSE),"MISSING")</f>
        <v>Natural Gas Supply Managers</v>
      </c>
    </row>
    <row r="45">
      <c r="A45" s="121" t="s">
        <v>2151</v>
      </c>
      <c r="B45" s="121">
        <v>821.0</v>
      </c>
      <c r="C45" s="121" t="s">
        <v>1386</v>
      </c>
      <c r="D45" s="122" t="s">
        <v>2152</v>
      </c>
      <c r="E45" s="121" t="s">
        <v>2153</v>
      </c>
      <c r="F45" s="121" t="s">
        <v>2053</v>
      </c>
      <c r="G45" s="35">
        <f t="shared" si="1"/>
        <v>821</v>
      </c>
      <c r="I45" s="35" t="str">
        <f>iFERROR(vlookup(G45,Masters!C$6:D1000,2, fALSE),"MISSING")</f>
        <v>Farmers and Farm Managers</v>
      </c>
    </row>
    <row r="46">
      <c r="A46" s="121" t="s">
        <v>2154</v>
      </c>
      <c r="B46" s="121">
        <v>822.0</v>
      </c>
      <c r="C46" s="121" t="s">
        <v>1118</v>
      </c>
      <c r="D46" s="122" t="s">
        <v>2155</v>
      </c>
      <c r="E46" s="121" t="s">
        <v>2053</v>
      </c>
      <c r="F46" s="121" t="s">
        <v>2053</v>
      </c>
      <c r="G46" s="35">
        <f t="shared" si="1"/>
        <v>822</v>
      </c>
      <c r="I46" s="35" t="str">
        <f>iFERROR(vlookup(G46,Masters!C$6:D1000,2, fALSE),"MISSING")</f>
        <v>Horticulturists</v>
      </c>
    </row>
    <row r="47">
      <c r="A47" s="121" t="s">
        <v>2156</v>
      </c>
      <c r="B47" s="121">
        <v>823.0</v>
      </c>
      <c r="C47" s="121" t="s">
        <v>1373</v>
      </c>
      <c r="D47" s="122" t="s">
        <v>2157</v>
      </c>
      <c r="E47" s="121" t="s">
        <v>2053</v>
      </c>
      <c r="F47" s="121" t="s">
        <v>2053</v>
      </c>
      <c r="G47" s="35">
        <f t="shared" si="1"/>
        <v>823</v>
      </c>
      <c r="I47" s="35" t="str">
        <f>iFERROR(vlookup(G47,Masters!C$6:D1000,2, fALSE),"MISSING")</f>
        <v>Aquaculture Operators and Managers</v>
      </c>
    </row>
    <row r="48">
      <c r="A48" s="121" t="s">
        <v>2158</v>
      </c>
      <c r="B48" s="121">
        <v>911.0</v>
      </c>
      <c r="C48" s="121" t="s">
        <v>1179</v>
      </c>
      <c r="D48" s="122" t="s">
        <v>2159</v>
      </c>
      <c r="E48" s="121" t="s">
        <v>2053</v>
      </c>
      <c r="F48" s="121" t="s">
        <v>2053</v>
      </c>
      <c r="G48" s="35">
        <f t="shared" si="1"/>
        <v>911</v>
      </c>
      <c r="I48" s="35" t="str">
        <f>iFERROR(vlookup(G48,Masters!C$6:D1000,2, fALSE),"MISSING")</f>
        <v>Manufacturing Managers</v>
      </c>
    </row>
    <row r="49">
      <c r="A49" s="121" t="s">
        <v>2160</v>
      </c>
      <c r="B49" s="121">
        <v>912.0</v>
      </c>
      <c r="C49" s="121" t="s">
        <v>1190</v>
      </c>
      <c r="D49" s="122" t="s">
        <v>2161</v>
      </c>
      <c r="E49" s="121" t="s">
        <v>2053</v>
      </c>
      <c r="F49" s="121" t="s">
        <v>2053</v>
      </c>
      <c r="G49" s="35">
        <f t="shared" si="1"/>
        <v>912</v>
      </c>
      <c r="I49" s="35" t="str">
        <f>iFERROR(vlookup(G49,Masters!C$6:D1000,2, fALSE),"MISSING")</f>
        <v>Petroleum Product Distribution Managers</v>
      </c>
    </row>
    <row r="50">
      <c r="A50" s="121" t="s">
        <v>2162</v>
      </c>
      <c r="B50" s="121">
        <v>1111.0</v>
      </c>
      <c r="C50" s="121" t="s">
        <v>1519</v>
      </c>
      <c r="D50" s="122" t="s">
        <v>2163</v>
      </c>
      <c r="E50" s="121" t="s">
        <v>2164</v>
      </c>
      <c r="F50" s="121" t="s">
        <v>2053</v>
      </c>
      <c r="G50" s="35">
        <f t="shared" si="1"/>
        <v>1111</v>
      </c>
      <c r="I50" s="35" t="str">
        <f>iFERROR(vlookup(G50,Masters!C$6:D1000,2, fALSE),"MISSING")</f>
        <v>Accountants</v>
      </c>
    </row>
    <row r="51">
      <c r="A51" s="121" t="s">
        <v>2165</v>
      </c>
      <c r="B51" s="121">
        <v>1112.0</v>
      </c>
      <c r="C51" s="121" t="s">
        <v>1526</v>
      </c>
      <c r="D51" s="122" t="s">
        <v>2166</v>
      </c>
      <c r="E51" s="121" t="s">
        <v>2053</v>
      </c>
      <c r="F51" s="121" t="s">
        <v>2053</v>
      </c>
      <c r="G51" s="35">
        <f t="shared" si="1"/>
        <v>1112</v>
      </c>
      <c r="I51" s="35" t="str">
        <f>iFERROR(vlookup(G51,Masters!C$6:D1000,2, fALSE),"MISSING")</f>
        <v>Investment Analysts</v>
      </c>
    </row>
    <row r="52">
      <c r="A52" s="121" t="s">
        <v>2167</v>
      </c>
      <c r="B52" s="121">
        <v>1113.0</v>
      </c>
      <c r="C52" s="121" t="s">
        <v>1469</v>
      </c>
      <c r="D52" s="122" t="s">
        <v>2168</v>
      </c>
      <c r="E52" s="121" t="s">
        <v>2053</v>
      </c>
      <c r="F52" s="121" t="s">
        <v>2053</v>
      </c>
      <c r="G52" s="35">
        <f t="shared" si="1"/>
        <v>1113</v>
      </c>
      <c r="I52" s="35" t="str">
        <f>iFERROR(vlookup(G52,Masters!C$6:D1000,2, fALSE),"MISSING")</f>
        <v>Brokers</v>
      </c>
    </row>
    <row r="53">
      <c r="A53" s="121" t="s">
        <v>2169</v>
      </c>
      <c r="B53" s="121">
        <v>1114.0</v>
      </c>
      <c r="C53" s="121" t="s">
        <v>1478</v>
      </c>
      <c r="D53" s="122" t="s">
        <v>2170</v>
      </c>
      <c r="E53" s="121" t="s">
        <v>2053</v>
      </c>
      <c r="F53" s="121" t="s">
        <v>2053</v>
      </c>
      <c r="G53" s="35">
        <f t="shared" si="1"/>
        <v>1114</v>
      </c>
      <c r="I53" s="35" t="str">
        <f>iFERROR(vlookup(G53,Masters!C$6:D1000,2, fALSE),"MISSING")</f>
        <v>Financial Planners</v>
      </c>
    </row>
    <row r="54">
      <c r="A54" s="121" t="s">
        <v>2171</v>
      </c>
      <c r="B54" s="121">
        <v>1121.0</v>
      </c>
      <c r="C54" s="121" t="s">
        <v>1457</v>
      </c>
      <c r="D54" s="122" t="s">
        <v>2172</v>
      </c>
      <c r="E54" s="121" t="s">
        <v>2173</v>
      </c>
      <c r="F54" s="121" t="s">
        <v>2053</v>
      </c>
      <c r="G54" s="35">
        <f t="shared" si="1"/>
        <v>1121</v>
      </c>
      <c r="I54" s="35" t="str">
        <f>iFERROR(vlookup(G54,Masters!C$6:D1000,2, fALSE),"MISSING")</f>
        <v>Specialists in Human Resources</v>
      </c>
    </row>
    <row r="55">
      <c r="A55" s="121" t="s">
        <v>2174</v>
      </c>
      <c r="B55" s="121">
        <v>1122.0</v>
      </c>
      <c r="C55" s="121" t="s">
        <v>1486</v>
      </c>
      <c r="D55" s="122" t="s">
        <v>2175</v>
      </c>
      <c r="E55" s="121" t="s">
        <v>2053</v>
      </c>
      <c r="F55" s="121" t="s">
        <v>2053</v>
      </c>
      <c r="G55" s="35">
        <f t="shared" si="1"/>
        <v>1122</v>
      </c>
      <c r="I55" s="35" t="str">
        <f>iFERROR(vlookup(G55,Masters!C$6:D1000,2, fALSE),"MISSING")</f>
        <v>Management Consultants</v>
      </c>
    </row>
    <row r="56">
      <c r="A56" s="121" t="s">
        <v>2176</v>
      </c>
      <c r="B56" s="121">
        <v>1123.0</v>
      </c>
      <c r="C56" s="121" t="s">
        <v>1382</v>
      </c>
      <c r="D56" s="122" t="s">
        <v>2177</v>
      </c>
      <c r="E56" s="121" t="s">
        <v>2178</v>
      </c>
      <c r="F56" s="121" t="s">
        <v>2053</v>
      </c>
      <c r="G56" s="35">
        <f t="shared" si="1"/>
        <v>1123</v>
      </c>
      <c r="I56" s="35" t="str">
        <f>iFERROR(vlookup(G56,Masters!C$6:D1000,2, fALSE),"MISSING")</f>
        <v>Communication Assistants</v>
      </c>
    </row>
    <row r="57">
      <c r="A57" s="121" t="s">
        <v>2179</v>
      </c>
      <c r="B57" s="121">
        <v>1211.0</v>
      </c>
      <c r="C57" s="121" t="s">
        <v>1460</v>
      </c>
      <c r="D57" s="122" t="s">
        <v>2180</v>
      </c>
      <c r="E57" s="121" t="s">
        <v>2053</v>
      </c>
      <c r="F57" s="121" t="s">
        <v>2053</v>
      </c>
      <c r="G57" s="35">
        <f t="shared" si="1"/>
        <v>1211</v>
      </c>
      <c r="I57" s="35" t="str">
        <f>iFERROR(vlookup(G57,Masters!C$6:D1000,2, fALSE),"MISSING")</f>
        <v>Supervisors, General Office and Administrative Support Clerks</v>
      </c>
    </row>
    <row r="58">
      <c r="A58" s="121" t="s">
        <v>2181</v>
      </c>
      <c r="B58" s="121">
        <v>1212.0</v>
      </c>
      <c r="C58" s="121" t="s">
        <v>1518</v>
      </c>
      <c r="D58" s="122" t="s">
        <v>2182</v>
      </c>
      <c r="E58" s="121" t="s">
        <v>2053</v>
      </c>
      <c r="F58" s="121" t="s">
        <v>2053</v>
      </c>
      <c r="G58" s="35">
        <f t="shared" si="1"/>
        <v>1212</v>
      </c>
      <c r="I58" s="35" t="str">
        <f>iFERROR(vlookup(G58,Masters!C$6:D1000,2, fALSE),"MISSING")</f>
        <v>Supervisors, Finance and Insurance Clerks</v>
      </c>
    </row>
    <row r="59">
      <c r="A59" s="121" t="s">
        <v>2183</v>
      </c>
      <c r="B59" s="121">
        <v>1213.0</v>
      </c>
      <c r="C59" s="121" t="s">
        <v>1497</v>
      </c>
      <c r="D59" s="122" t="s">
        <v>2184</v>
      </c>
      <c r="E59" s="121" t="s">
        <v>2053</v>
      </c>
      <c r="F59" s="121" t="s">
        <v>2053</v>
      </c>
      <c r="G59" s="35">
        <f t="shared" si="1"/>
        <v>1213</v>
      </c>
      <c r="I59" s="35" t="str">
        <f>iFERROR(vlookup(G59,Masters!C$6:D1000,2, fALSE),"MISSING")</f>
        <v>Supervisors, Library, Correspondence and Related Information Clerks</v>
      </c>
    </row>
    <row r="60">
      <c r="A60" s="121" t="s">
        <v>2185</v>
      </c>
      <c r="B60" s="121">
        <v>1214.0</v>
      </c>
      <c r="C60" s="121" t="s">
        <v>1498</v>
      </c>
      <c r="D60" s="122" t="s">
        <v>2186</v>
      </c>
      <c r="E60" s="121" t="s">
        <v>2053</v>
      </c>
      <c r="F60" s="121" t="s">
        <v>2053</v>
      </c>
      <c r="G60" s="35">
        <f t="shared" si="1"/>
        <v>1214</v>
      </c>
      <c r="I60" s="35" t="str">
        <f>iFERROR(vlookup(G60,Masters!C$6:D1000,2, fALSE),"MISSING")</f>
        <v>Supervisors, Mail and Message Distribution Occupations</v>
      </c>
    </row>
    <row r="61">
      <c r="A61" s="121" t="s">
        <v>2187</v>
      </c>
      <c r="B61" s="121">
        <v>1215.0</v>
      </c>
      <c r="C61" s="121" t="s">
        <v>1194</v>
      </c>
      <c r="D61" s="122" t="s">
        <v>2188</v>
      </c>
      <c r="E61" s="121" t="s">
        <v>2053</v>
      </c>
      <c r="F61" s="121" t="s">
        <v>2053</v>
      </c>
      <c r="G61" s="35">
        <f t="shared" si="1"/>
        <v>1215</v>
      </c>
      <c r="I61" s="35" t="str">
        <f>iFERROR(vlookup(G61,Masters!C$6:D1000,2, fALSE),"MISSING")</f>
        <v>Primary Production Managers (Except Agriculture)</v>
      </c>
    </row>
    <row r="62">
      <c r="A62" s="121" t="s">
        <v>2189</v>
      </c>
      <c r="B62" s="121">
        <v>1221.0</v>
      </c>
      <c r="C62" s="121" t="s">
        <v>1465</v>
      </c>
      <c r="D62" s="122" t="s">
        <v>2190</v>
      </c>
      <c r="E62" s="121" t="s">
        <v>2191</v>
      </c>
      <c r="F62" s="121" t="s">
        <v>2053</v>
      </c>
      <c r="G62" s="35">
        <f t="shared" si="1"/>
        <v>1221</v>
      </c>
      <c r="I62" s="35" t="str">
        <f>iFERROR(vlookup(G62,Masters!C$6:D1000,2, fALSE),"MISSING")</f>
        <v>Administrative Officers</v>
      </c>
    </row>
    <row r="63">
      <c r="A63" s="121" t="s">
        <v>2192</v>
      </c>
      <c r="B63" s="121">
        <v>1222.0</v>
      </c>
      <c r="C63" s="121" t="s">
        <v>1240</v>
      </c>
      <c r="D63" s="122" t="s">
        <v>2193</v>
      </c>
      <c r="E63" s="121" t="s">
        <v>2194</v>
      </c>
      <c r="F63" s="121" t="s">
        <v>2053</v>
      </c>
      <c r="G63" s="35">
        <f t="shared" si="1"/>
        <v>1222</v>
      </c>
      <c r="I63" s="35" t="str">
        <f>iFERROR(vlookup(G63,Masters!C$6:D1000,2, fALSE),"MISSING")</f>
        <v>Executive Assistants</v>
      </c>
    </row>
    <row r="64">
      <c r="A64" s="121" t="s">
        <v>2195</v>
      </c>
      <c r="B64" s="121">
        <v>1223.0</v>
      </c>
      <c r="C64" s="121" t="s">
        <v>1440</v>
      </c>
      <c r="D64" s="122" t="s">
        <v>2196</v>
      </c>
      <c r="E64" s="121" t="s">
        <v>2053</v>
      </c>
      <c r="F64" s="121" t="s">
        <v>2053</v>
      </c>
      <c r="G64" s="35">
        <f t="shared" si="1"/>
        <v>1223</v>
      </c>
      <c r="I64" s="35" t="str">
        <f>iFERROR(vlookup(G64,Masters!C$6:D1000,2, fALSE),"MISSING")</f>
        <v>Personnel and Recruitment Officers</v>
      </c>
    </row>
    <row r="65">
      <c r="A65" s="121" t="s">
        <v>2197</v>
      </c>
      <c r="B65" s="121">
        <v>1224.0</v>
      </c>
      <c r="C65" s="121" t="s">
        <v>1446</v>
      </c>
      <c r="D65" s="122" t="s">
        <v>2198</v>
      </c>
      <c r="E65" s="121" t="s">
        <v>2053</v>
      </c>
      <c r="F65" s="121" t="s">
        <v>2053</v>
      </c>
      <c r="G65" s="35">
        <f t="shared" si="1"/>
        <v>1224</v>
      </c>
      <c r="I65" s="35" t="str">
        <f>iFERROR(vlookup(G65,Masters!C$6:D1000,2, fALSE),"MISSING")</f>
        <v>Property Administrators</v>
      </c>
    </row>
    <row r="66">
      <c r="A66" s="121" t="s">
        <v>2199</v>
      </c>
      <c r="B66" s="121">
        <v>1225.0</v>
      </c>
      <c r="C66" s="121" t="s">
        <v>1408</v>
      </c>
      <c r="D66" s="122" t="s">
        <v>2200</v>
      </c>
      <c r="E66" s="121" t="s">
        <v>2053</v>
      </c>
      <c r="F66" s="121" t="s">
        <v>2053</v>
      </c>
      <c r="G66" s="35">
        <f t="shared" si="1"/>
        <v>1225</v>
      </c>
      <c r="I66" s="35" t="str">
        <f>iFERROR(vlookup(G66,Masters!C$6:D1000,2, fALSE),"MISSING")</f>
        <v>Purchasing Agents and Officers</v>
      </c>
    </row>
    <row r="67">
      <c r="A67" s="121" t="s">
        <v>2201</v>
      </c>
      <c r="B67" s="121">
        <v>1226.0</v>
      </c>
      <c r="C67" s="121" t="s">
        <v>1424</v>
      </c>
      <c r="D67" s="122" t="s">
        <v>2202</v>
      </c>
      <c r="E67" s="121" t="s">
        <v>2203</v>
      </c>
      <c r="F67" s="121" t="s">
        <v>2053</v>
      </c>
      <c r="G67" s="35">
        <f t="shared" si="1"/>
        <v>1226</v>
      </c>
      <c r="I67" s="35" t="str">
        <f>iFERROR(vlookup(G67,Masters!C$6:D1000,2, fALSE),"MISSING")</f>
        <v>Conference and Event Planners</v>
      </c>
    </row>
    <row r="68">
      <c r="A68" s="121" t="s">
        <v>2204</v>
      </c>
      <c r="B68" s="121">
        <v>1227.0</v>
      </c>
      <c r="C68" s="121" t="s">
        <v>1228</v>
      </c>
      <c r="D68" s="122" t="s">
        <v>2205</v>
      </c>
      <c r="E68" s="121" t="s">
        <v>2053</v>
      </c>
      <c r="F68" s="121" t="s">
        <v>2053</v>
      </c>
      <c r="G68" s="35">
        <f t="shared" si="1"/>
        <v>1227</v>
      </c>
      <c r="I68" s="35" t="str">
        <f>iFERROR(vlookup(G68,Masters!C$6:D1000,2, fALSE),"MISSING")</f>
        <v>Court Officers</v>
      </c>
    </row>
    <row r="69">
      <c r="A69" s="121" t="s">
        <v>2206</v>
      </c>
      <c r="B69" s="121">
        <v>1228.0</v>
      </c>
      <c r="C69" s="121" t="s">
        <v>1239</v>
      </c>
      <c r="D69" s="122" t="s">
        <v>2207</v>
      </c>
      <c r="E69" s="121" t="s">
        <v>2208</v>
      </c>
      <c r="F69" s="121" t="s">
        <v>2053</v>
      </c>
      <c r="G69" s="35">
        <f t="shared" si="1"/>
        <v>1228</v>
      </c>
      <c r="I69" s="35" t="str">
        <f>iFERROR(vlookup(G69,Masters!C$6:D1000,2, fALSE),"MISSING")</f>
        <v>Excise Tax Revenue Officers</v>
      </c>
    </row>
    <row r="70">
      <c r="A70" s="121" t="s">
        <v>2209</v>
      </c>
      <c r="B70" s="121">
        <v>1241.0</v>
      </c>
      <c r="C70" s="121" t="s">
        <v>1354</v>
      </c>
      <c r="D70" s="122" t="s">
        <v>2210</v>
      </c>
      <c r="E70" s="121" t="s">
        <v>2053</v>
      </c>
      <c r="F70" s="121" t="s">
        <v>2053</v>
      </c>
      <c r="G70" s="35">
        <f t="shared" si="1"/>
        <v>1241</v>
      </c>
      <c r="I70" s="35" t="str">
        <f>iFERROR(vlookup(G70,Masters!C$6:D1000,2, fALSE),"MISSING")</f>
        <v>Secretaries (Except Legal and Medical)</v>
      </c>
    </row>
    <row r="71">
      <c r="A71" s="121" t="s">
        <v>2211</v>
      </c>
      <c r="B71" s="121">
        <v>1242.0</v>
      </c>
      <c r="C71" s="121" t="s">
        <v>1334</v>
      </c>
      <c r="D71" s="122" t="s">
        <v>2212</v>
      </c>
      <c r="E71" s="121" t="s">
        <v>2213</v>
      </c>
      <c r="F71" s="121" t="s">
        <v>2053</v>
      </c>
      <c r="G71" s="35">
        <f t="shared" si="1"/>
        <v>1242</v>
      </c>
      <c r="I71" s="35" t="str">
        <f>iFERROR(vlookup(G71,Masters!C$6:D1000,2, fALSE),"MISSING")</f>
        <v>Legal Secretaries</v>
      </c>
    </row>
    <row r="72">
      <c r="A72" s="121" t="s">
        <v>2214</v>
      </c>
      <c r="B72" s="121">
        <v>1243.0</v>
      </c>
      <c r="C72" s="121" t="s">
        <v>1340</v>
      </c>
      <c r="D72" s="122" t="s">
        <v>2215</v>
      </c>
      <c r="E72" s="121" t="s">
        <v>2053</v>
      </c>
      <c r="F72" s="121" t="s">
        <v>2053</v>
      </c>
      <c r="G72" s="35">
        <f t="shared" si="1"/>
        <v>1243</v>
      </c>
      <c r="I72" s="35" t="str">
        <f>iFERROR(vlookup(G72,Masters!C$6:D1000,2, fALSE),"MISSING")</f>
        <v>Medical and Dental Receptionists</v>
      </c>
    </row>
    <row r="73">
      <c r="A73" s="121" t="s">
        <v>2216</v>
      </c>
      <c r="B73" s="121">
        <v>1251.0</v>
      </c>
      <c r="C73" s="121" t="s">
        <v>1306</v>
      </c>
      <c r="D73" s="122" t="s">
        <v>2217</v>
      </c>
      <c r="E73" s="121" t="s">
        <v>2053</v>
      </c>
      <c r="F73" s="121" t="s">
        <v>2053</v>
      </c>
      <c r="G73" s="35">
        <f t="shared" si="1"/>
        <v>1251</v>
      </c>
      <c r="I73" s="35" t="str">
        <f>iFERROR(vlookup(G73,Masters!C$6:D1000,2, fALSE),"MISSING")</f>
        <v>Medical Transcriptionists</v>
      </c>
    </row>
    <row r="74">
      <c r="A74" s="121" t="s">
        <v>2218</v>
      </c>
      <c r="B74" s="121">
        <v>1252.0</v>
      </c>
      <c r="C74" s="121" t="s">
        <v>1393</v>
      </c>
      <c r="D74" s="122" t="s">
        <v>2219</v>
      </c>
      <c r="E74" s="121" t="s">
        <v>2053</v>
      </c>
      <c r="F74" s="121" t="s">
        <v>2053</v>
      </c>
      <c r="G74" s="35">
        <f t="shared" si="1"/>
        <v>1252</v>
      </c>
      <c r="I74" s="35" t="str">
        <f>iFERROR(vlookup(G74,Masters!C$6:D1000,2, fALSE),"MISSING")</f>
        <v>Health Records Technicians</v>
      </c>
    </row>
    <row r="75">
      <c r="A75" s="121" t="s">
        <v>2220</v>
      </c>
      <c r="B75" s="121">
        <v>1253.0</v>
      </c>
      <c r="C75" s="121" t="s">
        <v>1410</v>
      </c>
      <c r="D75" s="122" t="s">
        <v>2221</v>
      </c>
      <c r="E75" s="121" t="s">
        <v>2053</v>
      </c>
      <c r="F75" s="121" t="s">
        <v>2053</v>
      </c>
      <c r="G75" s="35">
        <f t="shared" si="1"/>
        <v>1253</v>
      </c>
      <c r="I75" s="35" t="str">
        <f>iFERROR(vlookup(G75,Masters!C$6:D1000,2, fALSE),"MISSING")</f>
        <v>Records Management Clerks</v>
      </c>
    </row>
    <row r="76">
      <c r="A76" s="121" t="s">
        <v>2222</v>
      </c>
      <c r="B76" s="121">
        <v>1254.0</v>
      </c>
      <c r="C76" s="121" t="s">
        <v>1523</v>
      </c>
      <c r="D76" s="122" t="s">
        <v>2223</v>
      </c>
      <c r="E76" s="121" t="s">
        <v>2053</v>
      </c>
      <c r="F76" s="121" t="s">
        <v>2053</v>
      </c>
      <c r="G76" s="35">
        <f t="shared" si="1"/>
        <v>1254</v>
      </c>
      <c r="I76" s="35" t="str">
        <f>iFERROR(vlookup(G76,Masters!C$6:D1000,2, fALSE),"MISSING")</f>
        <v>Financial Analysts</v>
      </c>
    </row>
    <row r="77">
      <c r="A77" s="121" t="s">
        <v>2224</v>
      </c>
      <c r="B77" s="121">
        <v>1311.0</v>
      </c>
      <c r="C77" s="121" t="s">
        <v>1217</v>
      </c>
      <c r="D77" s="122" t="s">
        <v>2225</v>
      </c>
      <c r="E77" s="121" t="s">
        <v>2226</v>
      </c>
      <c r="F77" s="121" t="s">
        <v>2053</v>
      </c>
      <c r="G77" s="35">
        <f t="shared" si="1"/>
        <v>1311</v>
      </c>
      <c r="I77" s="35" t="str">
        <f>iFERROR(vlookup(G77,Masters!C$6:D1000,2, fALSE),"MISSING")</f>
        <v>Bookkeepers</v>
      </c>
    </row>
    <row r="78">
      <c r="A78" s="121" t="s">
        <v>2227</v>
      </c>
      <c r="B78" s="121">
        <v>1312.0</v>
      </c>
      <c r="C78" s="121" t="s">
        <v>1255</v>
      </c>
      <c r="D78" s="122" t="s">
        <v>2228</v>
      </c>
      <c r="E78" s="121" t="s">
        <v>2053</v>
      </c>
      <c r="F78" s="121" t="s">
        <v>2053</v>
      </c>
      <c r="G78" s="35">
        <f t="shared" si="1"/>
        <v>1312</v>
      </c>
      <c r="I78" s="35" t="str">
        <f>iFERROR(vlookup(G78,Masters!C$6:D1000,2, fALSE),"MISSING")</f>
        <v>Insurance Adjusters</v>
      </c>
    </row>
    <row r="79">
      <c r="A79" s="121" t="s">
        <v>2229</v>
      </c>
      <c r="B79" s="121">
        <v>1313.0</v>
      </c>
      <c r="C79" s="121" t="s">
        <v>1480</v>
      </c>
      <c r="D79" s="122" t="s">
        <v>2230</v>
      </c>
      <c r="E79" s="121" t="s">
        <v>2053</v>
      </c>
      <c r="F79" s="121" t="s">
        <v>2053</v>
      </c>
      <c r="G79" s="35">
        <f t="shared" si="1"/>
        <v>1313</v>
      </c>
      <c r="I79" s="35" t="str">
        <f>iFERROR(vlookup(G79,Masters!C$6:D1000,2, fALSE),"MISSING")</f>
        <v>Insurance Underwriters</v>
      </c>
    </row>
    <row r="80">
      <c r="A80" s="121" t="s">
        <v>2231</v>
      </c>
      <c r="B80" s="121">
        <v>1314.0</v>
      </c>
      <c r="C80" s="121" t="s">
        <v>1372</v>
      </c>
      <c r="D80" s="122" t="s">
        <v>2232</v>
      </c>
      <c r="E80" s="121" t="s">
        <v>2053</v>
      </c>
      <c r="F80" s="121" t="s">
        <v>2053</v>
      </c>
      <c r="G80" s="35">
        <f t="shared" si="1"/>
        <v>1314</v>
      </c>
      <c r="I80" s="35" t="str">
        <f>iFERROR(vlookup(G80,Masters!C$6:D1000,2, fALSE),"MISSING")</f>
        <v>Appraisers</v>
      </c>
    </row>
    <row r="81">
      <c r="A81" s="121" t="s">
        <v>2233</v>
      </c>
      <c r="B81" s="121">
        <v>1315.0</v>
      </c>
      <c r="C81" s="121" t="s">
        <v>1233</v>
      </c>
      <c r="D81" s="122" t="s">
        <v>2234</v>
      </c>
      <c r="E81" s="121" t="s">
        <v>2235</v>
      </c>
      <c r="F81" s="121" t="s">
        <v>2053</v>
      </c>
      <c r="G81" s="35">
        <f t="shared" si="1"/>
        <v>1315</v>
      </c>
      <c r="I81" s="35" t="str">
        <f>iFERROR(vlookup(G81,Masters!C$6:D1000,2, fALSE),"MISSING")</f>
        <v>Customs Brokers</v>
      </c>
    </row>
    <row r="82">
      <c r="A82" s="121" t="s">
        <v>2236</v>
      </c>
      <c r="B82" s="121">
        <v>1411.0</v>
      </c>
      <c r="C82" s="121" t="s">
        <v>1243</v>
      </c>
      <c r="D82" s="122" t="s">
        <v>2237</v>
      </c>
      <c r="E82" s="121" t="s">
        <v>2238</v>
      </c>
      <c r="F82" s="121" t="s">
        <v>2053</v>
      </c>
      <c r="G82" s="35">
        <f t="shared" si="1"/>
        <v>1411</v>
      </c>
      <c r="I82" s="35" t="str">
        <f>iFERROR(vlookup(G82,Masters!C$6:D1000,2, fALSE),"MISSING")</f>
        <v>File Clerks</v>
      </c>
    </row>
    <row r="83">
      <c r="A83" s="121" t="s">
        <v>2239</v>
      </c>
      <c r="B83" s="121">
        <v>1414.0</v>
      </c>
      <c r="C83" s="121" t="s">
        <v>674</v>
      </c>
      <c r="D83" s="122" t="s">
        <v>2240</v>
      </c>
      <c r="E83" s="121" t="s">
        <v>2241</v>
      </c>
      <c r="F83" s="121" t="s">
        <v>2053</v>
      </c>
      <c r="G83" s="35">
        <f t="shared" si="1"/>
        <v>1414</v>
      </c>
      <c r="I83" s="35" t="str">
        <f>iFERROR(vlookup(G83,Masters!C$6:D1000,2, fALSE),"MISSING")</f>
        <v>Answering Service Operators</v>
      </c>
    </row>
    <row r="84">
      <c r="A84" s="121" t="s">
        <v>2242</v>
      </c>
      <c r="B84" s="121">
        <v>1415.0</v>
      </c>
      <c r="C84" s="121" t="s">
        <v>1441</v>
      </c>
      <c r="D84" s="122" t="s">
        <v>2243</v>
      </c>
      <c r="E84" s="121" t="s">
        <v>2053</v>
      </c>
      <c r="F84" s="121" t="s">
        <v>2053</v>
      </c>
      <c r="G84" s="35">
        <f t="shared" si="1"/>
        <v>1415</v>
      </c>
      <c r="I84" s="35" t="str">
        <f>iFERROR(vlookup(G84,Masters!C$6:D1000,2, fALSE),"MISSING")</f>
        <v>Personnel Clerks</v>
      </c>
    </row>
    <row r="85">
      <c r="A85" s="121" t="s">
        <v>2244</v>
      </c>
      <c r="B85" s="121">
        <v>1416.0</v>
      </c>
      <c r="C85" s="121" t="s">
        <v>1227</v>
      </c>
      <c r="D85" s="122" t="s">
        <v>2245</v>
      </c>
      <c r="E85" s="121" t="s">
        <v>2053</v>
      </c>
      <c r="F85" s="121" t="s">
        <v>2053</v>
      </c>
      <c r="G85" s="35">
        <f t="shared" si="1"/>
        <v>1416</v>
      </c>
      <c r="I85" s="35" t="str">
        <f>iFERROR(vlookup(G85,Masters!C$6:D1000,2, fALSE),"MISSING")</f>
        <v>Court Clerks</v>
      </c>
    </row>
    <row r="86">
      <c r="A86" s="121" t="s">
        <v>2246</v>
      </c>
      <c r="B86" s="121">
        <v>1422.0</v>
      </c>
      <c r="C86" s="121" t="s">
        <v>1100</v>
      </c>
      <c r="D86" s="122" t="s">
        <v>2247</v>
      </c>
      <c r="E86" s="121" t="s">
        <v>2053</v>
      </c>
      <c r="F86" s="121" t="s">
        <v>2053</v>
      </c>
      <c r="G86" s="35">
        <f t="shared" si="1"/>
        <v>1422</v>
      </c>
      <c r="I86" s="35" t="str">
        <f>iFERROR(vlookup(G86,Masters!C$6:D1000,2, fALSE),"MISSING")</f>
        <v>Data Entry Clerks</v>
      </c>
    </row>
    <row r="87">
      <c r="A87" s="121" t="s">
        <v>2248</v>
      </c>
      <c r="B87" s="121">
        <v>1423.0</v>
      </c>
      <c r="C87" s="121" t="s">
        <v>1156</v>
      </c>
      <c r="D87" s="122" t="s">
        <v>2249</v>
      </c>
      <c r="E87" s="121" t="s">
        <v>2053</v>
      </c>
      <c r="F87" s="121" t="s">
        <v>2053</v>
      </c>
      <c r="G87" s="35">
        <f t="shared" si="1"/>
        <v>1423</v>
      </c>
      <c r="I87" s="35" t="str">
        <f>iFERROR(vlookup(G87,Masters!C$6:D1000,2, fALSE),"MISSING")</f>
        <v>Scanner Operators</v>
      </c>
    </row>
    <row r="88">
      <c r="A88" s="121" t="s">
        <v>2250</v>
      </c>
      <c r="B88" s="121">
        <v>1431.0</v>
      </c>
      <c r="C88" s="121" t="s">
        <v>1210</v>
      </c>
      <c r="D88" s="122" t="s">
        <v>2251</v>
      </c>
      <c r="E88" s="121" t="s">
        <v>2252</v>
      </c>
      <c r="F88" s="121" t="s">
        <v>2053</v>
      </c>
      <c r="G88" s="35">
        <f t="shared" si="1"/>
        <v>1431</v>
      </c>
      <c r="I88" s="35" t="str">
        <f>iFERROR(vlookup(G88,Masters!C$6:D1000,2, fALSE),"MISSING")</f>
        <v>Accounting and Related Clerks</v>
      </c>
    </row>
    <row r="89">
      <c r="A89" s="121" t="s">
        <v>2253</v>
      </c>
      <c r="B89" s="121">
        <v>1432.0</v>
      </c>
      <c r="C89" s="121" t="s">
        <v>1348</v>
      </c>
      <c r="D89" s="122" t="s">
        <v>2254</v>
      </c>
      <c r="E89" s="121" t="s">
        <v>2053</v>
      </c>
      <c r="F89" s="121" t="s">
        <v>2053</v>
      </c>
      <c r="G89" s="35">
        <f t="shared" si="1"/>
        <v>1432</v>
      </c>
      <c r="I89" s="35" t="str">
        <f>iFERROR(vlookup(G89,Masters!C$6:D1000,2, fALSE),"MISSING")</f>
        <v>Payroll Clerks</v>
      </c>
    </row>
    <row r="90">
      <c r="A90" s="121" t="s">
        <v>2255</v>
      </c>
      <c r="B90" s="121">
        <v>1434.0</v>
      </c>
      <c r="C90" s="121" t="s">
        <v>1376</v>
      </c>
      <c r="D90" s="122" t="s">
        <v>2256</v>
      </c>
      <c r="E90" s="121" t="s">
        <v>2053</v>
      </c>
      <c r="F90" s="121" t="s">
        <v>2053</v>
      </c>
      <c r="G90" s="35">
        <f t="shared" si="1"/>
        <v>1434</v>
      </c>
      <c r="I90" s="35" t="str">
        <f>iFERROR(vlookup(G90,Masters!C$6:D1000,2, fALSE),"MISSING")</f>
        <v>Bank Clerks</v>
      </c>
    </row>
    <row r="91">
      <c r="A91" s="121" t="s">
        <v>2257</v>
      </c>
      <c r="B91" s="121">
        <v>1435.0</v>
      </c>
      <c r="C91" s="121" t="s">
        <v>378</v>
      </c>
      <c r="D91" s="122" t="s">
        <v>2258</v>
      </c>
      <c r="E91" s="121" t="s">
        <v>2053</v>
      </c>
      <c r="F91" s="121" t="s">
        <v>2053</v>
      </c>
      <c r="G91" s="35">
        <f t="shared" si="1"/>
        <v>1435</v>
      </c>
      <c r="I91" s="35" t="str">
        <f>iFERROR(vlookup(G91,Masters!C$6:D1000,2, fALSE),"MISSING")</f>
        <v>Collectors</v>
      </c>
    </row>
    <row r="92">
      <c r="A92" s="121" t="s">
        <v>2259</v>
      </c>
      <c r="B92" s="121">
        <v>1451.0</v>
      </c>
      <c r="C92" s="121" t="s">
        <v>1336</v>
      </c>
      <c r="D92" s="122" t="s">
        <v>2260</v>
      </c>
      <c r="E92" s="121" t="s">
        <v>2053</v>
      </c>
      <c r="F92" s="121" t="s">
        <v>2053</v>
      </c>
      <c r="G92" s="35">
        <f t="shared" si="1"/>
        <v>1451</v>
      </c>
      <c r="I92" s="35" t="str">
        <f>iFERROR(vlookup(G92,Masters!C$6:D1000,2, fALSE),"MISSING")</f>
        <v>Library Clerks</v>
      </c>
    </row>
    <row r="93">
      <c r="A93" s="121" t="s">
        <v>2261</v>
      </c>
      <c r="B93" s="121">
        <v>1452.0</v>
      </c>
      <c r="C93" s="121" t="s">
        <v>1320</v>
      </c>
      <c r="D93" s="122" t="s">
        <v>2262</v>
      </c>
      <c r="E93" s="121" t="s">
        <v>2053</v>
      </c>
      <c r="F93" s="121" t="s">
        <v>2053</v>
      </c>
      <c r="G93" s="35">
        <f t="shared" si="1"/>
        <v>1452</v>
      </c>
      <c r="I93" s="35" t="str">
        <f>iFERROR(vlookup(G93,Masters!C$6:D1000,2, fALSE),"MISSING")</f>
        <v>Classified Advertising Clerks</v>
      </c>
    </row>
    <row r="94">
      <c r="A94" s="121" t="s">
        <v>2263</v>
      </c>
      <c r="B94" s="121">
        <v>1454.0</v>
      </c>
      <c r="C94" s="121" t="s">
        <v>1415</v>
      </c>
      <c r="D94" s="122" t="s">
        <v>2264</v>
      </c>
      <c r="E94" s="121" t="s">
        <v>2053</v>
      </c>
      <c r="F94" s="121" t="s">
        <v>2053</v>
      </c>
      <c r="G94" s="35">
        <f t="shared" si="1"/>
        <v>1454</v>
      </c>
      <c r="I94" s="35" t="str">
        <f>iFERROR(vlookup(G94,Masters!C$6:D1000,2, fALSE),"MISSING")</f>
        <v>Statistical Clerks</v>
      </c>
    </row>
    <row r="95">
      <c r="A95" s="121" t="s">
        <v>2265</v>
      </c>
      <c r="B95" s="121">
        <v>1511.0</v>
      </c>
      <c r="C95" s="121" t="s">
        <v>1192</v>
      </c>
      <c r="D95" s="122" t="s">
        <v>2266</v>
      </c>
      <c r="E95" s="121" t="s">
        <v>2053</v>
      </c>
      <c r="F95" s="121" t="s">
        <v>2053</v>
      </c>
      <c r="G95" s="35">
        <f t="shared" si="1"/>
        <v>1511</v>
      </c>
      <c r="I95" s="35" t="str">
        <f>iFERROR(vlookup(G95,Masters!C$6:D1000,2, fALSE),"MISSING")</f>
        <v>Postal Clerks</v>
      </c>
    </row>
    <row r="96">
      <c r="A96" s="121" t="s">
        <v>2267</v>
      </c>
      <c r="B96" s="121">
        <v>1512.0</v>
      </c>
      <c r="C96" s="121" t="s">
        <v>1337</v>
      </c>
      <c r="D96" s="122" t="s">
        <v>2268</v>
      </c>
      <c r="E96" s="121" t="s">
        <v>2053</v>
      </c>
      <c r="F96" s="121" t="s">
        <v>2053</v>
      </c>
      <c r="G96" s="35">
        <f t="shared" si="1"/>
        <v>1512</v>
      </c>
      <c r="I96" s="35" t="str">
        <f>iFERROR(vlookup(G96,Masters!C$6:D1000,2, fALSE),"MISSING")</f>
        <v>Letter Carriers</v>
      </c>
    </row>
    <row r="97">
      <c r="A97" s="121" t="s">
        <v>2269</v>
      </c>
      <c r="B97" s="121">
        <v>1513.0</v>
      </c>
      <c r="C97" s="121" t="s">
        <v>1427</v>
      </c>
      <c r="D97" s="122" t="s">
        <v>2270</v>
      </c>
      <c r="E97" s="121" t="s">
        <v>2271</v>
      </c>
      <c r="F97" s="121" t="s">
        <v>2053</v>
      </c>
      <c r="G97" s="35">
        <f t="shared" si="1"/>
        <v>1513</v>
      </c>
      <c r="I97" s="35" t="str">
        <f>iFERROR(vlookup(G97,Masters!C$6:D1000,2, fALSE),"MISSING")</f>
        <v>Couriers, Messengers and Door-to-Door Distributors</v>
      </c>
    </row>
    <row r="98">
      <c r="A98" s="121" t="s">
        <v>2272</v>
      </c>
      <c r="B98" s="121">
        <v>1521.0</v>
      </c>
      <c r="C98" s="121" t="s">
        <v>1413</v>
      </c>
      <c r="D98" s="122" t="s">
        <v>2273</v>
      </c>
      <c r="E98" s="121" t="s">
        <v>2274</v>
      </c>
      <c r="F98" s="121" t="s">
        <v>2053</v>
      </c>
      <c r="G98" s="35">
        <f t="shared" si="1"/>
        <v>1521</v>
      </c>
      <c r="I98" s="35" t="str">
        <f>iFERROR(vlookup(G98,Masters!C$6:D1000,2, fALSE),"MISSING")</f>
        <v>Shippers and Receivers</v>
      </c>
    </row>
    <row r="99">
      <c r="A99" s="121" t="s">
        <v>2275</v>
      </c>
      <c r="B99" s="121">
        <v>1522.0</v>
      </c>
      <c r="C99" s="121" t="s">
        <v>1366</v>
      </c>
      <c r="D99" s="122" t="s">
        <v>2276</v>
      </c>
      <c r="E99" s="121" t="s">
        <v>2053</v>
      </c>
      <c r="F99" s="121" t="s">
        <v>2053</v>
      </c>
      <c r="G99" s="35">
        <f t="shared" si="1"/>
        <v>1522</v>
      </c>
      <c r="I99" s="35" t="str">
        <f>iFERROR(vlookup(G99,Masters!C$6:D1000,2, fALSE),"MISSING")</f>
        <v>Storekeepers and Parts Clerks</v>
      </c>
    </row>
    <row r="100">
      <c r="A100" s="121" t="s">
        <v>2277</v>
      </c>
      <c r="B100" s="121">
        <v>1523.0</v>
      </c>
      <c r="C100" s="121" t="s">
        <v>1444</v>
      </c>
      <c r="D100" s="122" t="s">
        <v>2278</v>
      </c>
      <c r="E100" s="121" t="s">
        <v>2053</v>
      </c>
      <c r="F100" s="121" t="s">
        <v>2053</v>
      </c>
      <c r="G100" s="35">
        <f t="shared" si="1"/>
        <v>1523</v>
      </c>
      <c r="I100" s="35" t="str">
        <f>iFERROR(vlookup(G100,Masters!C$6:D1000,2, fALSE),"MISSING")</f>
        <v>Production Clerks</v>
      </c>
    </row>
    <row r="101">
      <c r="A101" s="121" t="s">
        <v>2279</v>
      </c>
      <c r="B101" s="121">
        <v>1524.0</v>
      </c>
      <c r="C101" s="121" t="s">
        <v>1258</v>
      </c>
      <c r="D101" s="122" t="s">
        <v>2280</v>
      </c>
      <c r="E101" s="121" t="s">
        <v>2053</v>
      </c>
      <c r="F101" s="121" t="s">
        <v>2053</v>
      </c>
      <c r="G101" s="35">
        <f t="shared" si="1"/>
        <v>1524</v>
      </c>
      <c r="I101" s="35" t="str">
        <f>iFERROR(vlookup(G101,Masters!C$6:D1000,2, fALSE),"MISSING")</f>
        <v>Inventory Clerks</v>
      </c>
    </row>
    <row r="102">
      <c r="A102" s="121" t="s">
        <v>2281</v>
      </c>
      <c r="B102" s="121">
        <v>1525.0</v>
      </c>
      <c r="C102" s="121" t="s">
        <v>393</v>
      </c>
      <c r="D102" s="122" t="s">
        <v>2282</v>
      </c>
      <c r="E102" s="121" t="s">
        <v>2053</v>
      </c>
      <c r="F102" s="121" t="s">
        <v>2053</v>
      </c>
      <c r="G102" s="35">
        <f t="shared" si="1"/>
        <v>1525</v>
      </c>
      <c r="I102" s="35" t="str">
        <f>iFERROR(vlookup(G102,Masters!C$6:D1000,2, fALSE),"MISSING")</f>
        <v>Dispatchers</v>
      </c>
    </row>
    <row r="103">
      <c r="A103" s="121" t="s">
        <v>2283</v>
      </c>
      <c r="B103" s="121">
        <v>1526.0</v>
      </c>
      <c r="C103" s="121" t="s">
        <v>1464</v>
      </c>
      <c r="D103" s="122" t="s">
        <v>2284</v>
      </c>
      <c r="E103" s="121" t="s">
        <v>2053</v>
      </c>
      <c r="F103" s="121" t="s">
        <v>2053</v>
      </c>
      <c r="G103" s="35">
        <f t="shared" si="1"/>
        <v>1526</v>
      </c>
      <c r="I103" s="35" t="str">
        <f>iFERROR(vlookup(G103,Masters!C$6:D1000,2, fALSE),"MISSING")</f>
        <v>Transportation Route and Crew Schedulers</v>
      </c>
    </row>
    <row r="104">
      <c r="A104" s="121" t="s">
        <v>2285</v>
      </c>
      <c r="B104" s="121">
        <v>2111.0</v>
      </c>
      <c r="C104" s="121" t="s">
        <v>1191</v>
      </c>
      <c r="D104" s="122" t="s">
        <v>2286</v>
      </c>
      <c r="E104" s="121" t="s">
        <v>2053</v>
      </c>
      <c r="F104" s="121" t="s">
        <v>2053</v>
      </c>
      <c r="G104" s="35">
        <f t="shared" si="1"/>
        <v>2111</v>
      </c>
      <c r="I104" s="35" t="str">
        <f>iFERROR(vlookup(G104,Masters!C$6:D1000,2, fALSE),"MISSING")</f>
        <v>Physicists</v>
      </c>
    </row>
    <row r="105">
      <c r="A105" s="121" t="s">
        <v>2287</v>
      </c>
      <c r="B105" s="121">
        <v>2112.0</v>
      </c>
      <c r="C105" s="121" t="s">
        <v>943</v>
      </c>
      <c r="D105" s="122" t="s">
        <v>2288</v>
      </c>
      <c r="E105" s="121" t="s">
        <v>2289</v>
      </c>
      <c r="F105" s="121" t="s">
        <v>2053</v>
      </c>
      <c r="G105" s="35">
        <f t="shared" si="1"/>
        <v>2112</v>
      </c>
      <c r="I105" s="35" t="str">
        <f>iFERROR(vlookup(G105,Masters!C$6:D1000,2, fALSE),"MISSING")</f>
        <v>Chemists</v>
      </c>
    </row>
    <row r="106">
      <c r="A106" s="121" t="s">
        <v>2290</v>
      </c>
      <c r="B106" s="121">
        <v>2113.0</v>
      </c>
      <c r="C106" s="121" t="s">
        <v>1250</v>
      </c>
      <c r="D106" s="122" t="s">
        <v>2291</v>
      </c>
      <c r="E106" s="121" t="s">
        <v>2292</v>
      </c>
      <c r="F106" s="121" t="s">
        <v>2053</v>
      </c>
      <c r="G106" s="35">
        <f t="shared" si="1"/>
        <v>2113</v>
      </c>
      <c r="I106" s="35" t="str">
        <f>iFERROR(vlookup(G106,Masters!C$6:D1000,2, fALSE),"MISSING")</f>
        <v>Geologists, Geochemists and Geophysicists</v>
      </c>
    </row>
    <row r="107">
      <c r="A107" s="121" t="s">
        <v>2293</v>
      </c>
      <c r="B107" s="121">
        <v>2114.0</v>
      </c>
      <c r="C107" s="121" t="s">
        <v>1435</v>
      </c>
      <c r="D107" s="122" t="s">
        <v>2294</v>
      </c>
      <c r="E107" s="121" t="s">
        <v>2053</v>
      </c>
      <c r="F107" s="121" t="s">
        <v>2053</v>
      </c>
      <c r="G107" s="35">
        <f t="shared" si="1"/>
        <v>2114</v>
      </c>
      <c r="I107" s="35" t="str">
        <f>iFERROR(vlookup(G107,Masters!C$6:D1000,2, fALSE),"MISSING")</f>
        <v>Meteorologists</v>
      </c>
    </row>
    <row r="108">
      <c r="A108" s="121" t="s">
        <v>2295</v>
      </c>
      <c r="B108" s="121">
        <v>2115.0</v>
      </c>
      <c r="C108" s="121" t="s">
        <v>1404</v>
      </c>
      <c r="D108" s="122" t="s">
        <v>2296</v>
      </c>
      <c r="E108" s="121" t="s">
        <v>2053</v>
      </c>
      <c r="F108" s="121" t="s">
        <v>2053</v>
      </c>
      <c r="G108" s="35">
        <f t="shared" si="1"/>
        <v>2115</v>
      </c>
      <c r="I108" s="35" t="str">
        <f>iFERROR(vlookup(G108,Masters!C$6:D1000,2, fALSE),"MISSING")</f>
        <v>Physical Rehabilitation Technicians</v>
      </c>
    </row>
    <row r="109">
      <c r="A109" s="121" t="s">
        <v>2297</v>
      </c>
      <c r="B109" s="121">
        <v>2121.0</v>
      </c>
      <c r="C109" s="121" t="s">
        <v>1215</v>
      </c>
      <c r="D109" s="122" t="s">
        <v>2298</v>
      </c>
      <c r="E109" s="121" t="s">
        <v>2299</v>
      </c>
      <c r="F109" s="121" t="s">
        <v>2053</v>
      </c>
      <c r="G109" s="35">
        <f t="shared" si="1"/>
        <v>2121</v>
      </c>
      <c r="I109" s="35" t="str">
        <f>iFERROR(vlookup(G109,Masters!C$6:D1000,2, fALSE),"MISSING")</f>
        <v>Biologists</v>
      </c>
    </row>
    <row r="110">
      <c r="A110" s="121" t="s">
        <v>2300</v>
      </c>
      <c r="B110" s="121">
        <v>2122.0</v>
      </c>
      <c r="C110" s="121" t="s">
        <v>1389</v>
      </c>
      <c r="D110" s="122" t="s">
        <v>2301</v>
      </c>
      <c r="E110" s="121" t="s">
        <v>2302</v>
      </c>
      <c r="F110" s="121" t="s">
        <v>2053</v>
      </c>
      <c r="G110" s="35">
        <f t="shared" si="1"/>
        <v>2122</v>
      </c>
      <c r="I110" s="35" t="str">
        <f>iFERROR(vlookup(G110,Masters!C$6:D1000,2, fALSE),"MISSING")</f>
        <v>Forestry Professionals</v>
      </c>
    </row>
    <row r="111">
      <c r="A111" s="121" t="s">
        <v>2303</v>
      </c>
      <c r="B111" s="121">
        <v>2123.0</v>
      </c>
      <c r="C111" s="121" t="s">
        <v>1422</v>
      </c>
      <c r="D111" s="122" t="s">
        <v>2304</v>
      </c>
      <c r="E111" s="121" t="s">
        <v>2053</v>
      </c>
      <c r="F111" s="121" t="s">
        <v>2053</v>
      </c>
      <c r="G111" s="35">
        <f t="shared" si="1"/>
        <v>2123</v>
      </c>
      <c r="I111" s="35" t="str">
        <f>iFERROR(vlookup(G111,Masters!C$6:D1000,2, fALSE),"MISSING")</f>
        <v>Agricultural Representatives, Consultants and Specialists</v>
      </c>
    </row>
    <row r="112">
      <c r="A112" s="121" t="s">
        <v>2305</v>
      </c>
      <c r="B112" s="121">
        <v>2131.0</v>
      </c>
      <c r="C112" s="121" t="s">
        <v>1505</v>
      </c>
      <c r="D112" s="122" t="s">
        <v>2306</v>
      </c>
      <c r="E112" s="121" t="s">
        <v>2307</v>
      </c>
      <c r="F112" s="121" t="s">
        <v>2053</v>
      </c>
      <c r="G112" s="35">
        <f t="shared" si="1"/>
        <v>2131</v>
      </c>
      <c r="I112" s="35" t="str">
        <f>iFERROR(vlookup(G112,Masters!C$6:D1000,2, fALSE),"MISSING")</f>
        <v>Civil Engineers</v>
      </c>
    </row>
    <row r="113">
      <c r="A113" s="121" t="s">
        <v>2308</v>
      </c>
      <c r="B113" s="121">
        <v>2132.0</v>
      </c>
      <c r="C113" s="121" t="s">
        <v>1488</v>
      </c>
      <c r="D113" s="122" t="s">
        <v>2309</v>
      </c>
      <c r="E113" s="121" t="s">
        <v>2053</v>
      </c>
      <c r="F113" s="121" t="s">
        <v>2053</v>
      </c>
      <c r="G113" s="35">
        <f t="shared" si="1"/>
        <v>2132</v>
      </c>
      <c r="I113" s="35" t="str">
        <f>iFERROR(vlookup(G113,Masters!C$6:D1000,2, fALSE),"MISSING")</f>
        <v>Mechanical Engineers</v>
      </c>
    </row>
    <row r="114">
      <c r="A114" s="121" t="s">
        <v>2310</v>
      </c>
      <c r="B114" s="121">
        <v>2133.0</v>
      </c>
      <c r="C114" s="121" t="s">
        <v>1507</v>
      </c>
      <c r="D114" s="122" t="s">
        <v>2311</v>
      </c>
      <c r="E114" s="121" t="s">
        <v>2312</v>
      </c>
      <c r="F114" s="121" t="s">
        <v>2053</v>
      </c>
      <c r="G114" s="35">
        <f t="shared" si="1"/>
        <v>2133</v>
      </c>
      <c r="I114" s="35" t="str">
        <f>iFERROR(vlookup(G114,Masters!C$6:D1000,2, fALSE),"MISSING")</f>
        <v>Electrical and Electronics Engineers</v>
      </c>
    </row>
    <row r="115">
      <c r="A115" s="121" t="s">
        <v>2313</v>
      </c>
      <c r="B115" s="121">
        <v>2134.0</v>
      </c>
      <c r="C115" s="121" t="s">
        <v>1471</v>
      </c>
      <c r="D115" s="122" t="s">
        <v>2314</v>
      </c>
      <c r="E115" s="121" t="s">
        <v>2053</v>
      </c>
      <c r="F115" s="121" t="s">
        <v>2053</v>
      </c>
      <c r="G115" s="35">
        <f t="shared" si="1"/>
        <v>2134</v>
      </c>
      <c r="I115" s="35" t="str">
        <f>iFERROR(vlookup(G115,Masters!C$6:D1000,2, fALSE),"MISSING")</f>
        <v>Chemical Engineers</v>
      </c>
    </row>
    <row r="116">
      <c r="A116" s="121" t="s">
        <v>2315</v>
      </c>
      <c r="B116" s="121">
        <v>2141.0</v>
      </c>
      <c r="C116" s="121" t="s">
        <v>1511</v>
      </c>
      <c r="D116" s="122" t="s">
        <v>2316</v>
      </c>
      <c r="E116" s="121" t="s">
        <v>2053</v>
      </c>
      <c r="F116" s="121" t="s">
        <v>2053</v>
      </c>
      <c r="G116" s="35">
        <f t="shared" si="1"/>
        <v>2141</v>
      </c>
      <c r="I116" s="35" t="str">
        <f>iFERROR(vlookup(G116,Masters!C$6:D1000,2, fALSE),"MISSING")</f>
        <v>Industrial and Manufacturing Engineers</v>
      </c>
    </row>
    <row r="117">
      <c r="A117" s="121" t="s">
        <v>2317</v>
      </c>
      <c r="B117" s="121">
        <v>2142.0</v>
      </c>
      <c r="C117" s="121" t="s">
        <v>1434</v>
      </c>
      <c r="D117" s="122" t="s">
        <v>2318</v>
      </c>
      <c r="E117" s="121" t="s">
        <v>2053</v>
      </c>
      <c r="F117" s="121" t="s">
        <v>2053</v>
      </c>
      <c r="G117" s="35">
        <f t="shared" si="1"/>
        <v>2142</v>
      </c>
      <c r="I117" s="35" t="str">
        <f>iFERROR(vlookup(G117,Masters!C$6:D1000,2, fALSE),"MISSING")</f>
        <v>Metallurgical and Materials Engineers</v>
      </c>
    </row>
    <row r="118">
      <c r="A118" s="121" t="s">
        <v>2319</v>
      </c>
      <c r="B118" s="121">
        <v>2143.0</v>
      </c>
      <c r="C118" s="121" t="s">
        <v>1436</v>
      </c>
      <c r="D118" s="122" t="s">
        <v>2320</v>
      </c>
      <c r="E118" s="121" t="s">
        <v>2053</v>
      </c>
      <c r="F118" s="121" t="s">
        <v>2053</v>
      </c>
      <c r="G118" s="35">
        <f t="shared" si="1"/>
        <v>2143</v>
      </c>
      <c r="I118" s="35" t="str">
        <f>iFERROR(vlookup(G118,Masters!C$6:D1000,2, fALSE),"MISSING")</f>
        <v>Mining Engineers</v>
      </c>
    </row>
    <row r="119">
      <c r="A119" s="121" t="s">
        <v>2321</v>
      </c>
      <c r="B119" s="121">
        <v>2144.0</v>
      </c>
      <c r="C119" s="121" t="s">
        <v>1249</v>
      </c>
      <c r="D119" s="122" t="s">
        <v>2322</v>
      </c>
      <c r="E119" s="121" t="s">
        <v>2053</v>
      </c>
      <c r="F119" s="121" t="s">
        <v>2053</v>
      </c>
      <c r="G119" s="35">
        <f t="shared" si="1"/>
        <v>2144</v>
      </c>
      <c r="I119" s="35" t="str">
        <f>iFERROR(vlookup(G119,Masters!C$6:D1000,2, fALSE),"MISSING")</f>
        <v>Geological Engineers</v>
      </c>
    </row>
    <row r="120">
      <c r="A120" s="121" t="s">
        <v>2323</v>
      </c>
      <c r="B120" s="121">
        <v>2145.0</v>
      </c>
      <c r="C120" s="121" t="s">
        <v>1442</v>
      </c>
      <c r="D120" s="122" t="s">
        <v>2324</v>
      </c>
      <c r="E120" s="121" t="s">
        <v>2053</v>
      </c>
      <c r="F120" s="121" t="s">
        <v>2053</v>
      </c>
      <c r="G120" s="35">
        <f t="shared" si="1"/>
        <v>2145</v>
      </c>
      <c r="I120" s="35" t="str">
        <f>iFERROR(vlookup(G120,Masters!C$6:D1000,2, fALSE),"MISSING")</f>
        <v>Petroleum Engineers</v>
      </c>
    </row>
    <row r="121">
      <c r="A121" s="121" t="s">
        <v>2325</v>
      </c>
      <c r="B121" s="121">
        <v>2146.0</v>
      </c>
      <c r="C121" s="121" t="s">
        <v>1520</v>
      </c>
      <c r="D121" s="122" t="s">
        <v>2326</v>
      </c>
      <c r="E121" s="121" t="s">
        <v>2053</v>
      </c>
      <c r="F121" s="121" t="s">
        <v>2053</v>
      </c>
      <c r="G121" s="35">
        <f t="shared" si="1"/>
        <v>2146</v>
      </c>
      <c r="I121" s="35" t="str">
        <f>iFERROR(vlookup(G121,Masters!C$6:D1000,2, fALSE),"MISSING")</f>
        <v>Aerospace Engineers</v>
      </c>
    </row>
    <row r="122">
      <c r="A122" s="121" t="s">
        <v>2327</v>
      </c>
      <c r="B122" s="121">
        <v>2147.0</v>
      </c>
      <c r="C122" s="121" t="s">
        <v>1456</v>
      </c>
      <c r="D122" s="122" t="s">
        <v>2328</v>
      </c>
      <c r="E122" s="121" t="s">
        <v>2053</v>
      </c>
      <c r="F122" s="121" t="s">
        <v>2053</v>
      </c>
      <c r="G122" s="35">
        <f t="shared" si="1"/>
        <v>2147</v>
      </c>
      <c r="I122" s="35" t="str">
        <f>iFERROR(vlookup(G122,Masters!C$6:D1000,2, fALSE),"MISSING")</f>
        <v>Software Engineers</v>
      </c>
    </row>
    <row r="123">
      <c r="A123" s="121" t="s">
        <v>2329</v>
      </c>
      <c r="B123" s="121">
        <v>2148.0</v>
      </c>
      <c r="C123" s="121" t="s">
        <v>1462</v>
      </c>
      <c r="D123" s="122" t="s">
        <v>2330</v>
      </c>
      <c r="E123" s="121" t="s">
        <v>2053</v>
      </c>
      <c r="F123" s="121" t="s">
        <v>2053</v>
      </c>
      <c r="G123" s="35">
        <f t="shared" si="1"/>
        <v>2148</v>
      </c>
      <c r="I123" s="35" t="str">
        <f>iFERROR(vlookup(G123,Masters!C$6:D1000,2, fALSE),"MISSING")</f>
        <v>Textile Engineers</v>
      </c>
    </row>
    <row r="124">
      <c r="A124" s="121" t="s">
        <v>2331</v>
      </c>
      <c r="B124" s="121">
        <v>2151.0</v>
      </c>
      <c r="C124" s="121" t="s">
        <v>295</v>
      </c>
      <c r="D124" s="122" t="s">
        <v>2332</v>
      </c>
      <c r="E124" s="121" t="s">
        <v>2333</v>
      </c>
      <c r="F124" s="121" t="s">
        <v>2053</v>
      </c>
      <c r="G124" s="35">
        <f t="shared" si="1"/>
        <v>2151</v>
      </c>
      <c r="I124" s="35" t="str">
        <f>iFERROR(vlookup(G124,Masters!C$6:D1000,2, fALSE),"MISSING")</f>
        <v>Architects</v>
      </c>
    </row>
    <row r="125">
      <c r="A125" s="121" t="s">
        <v>2334</v>
      </c>
      <c r="B125" s="121">
        <v>2152.0</v>
      </c>
      <c r="C125" s="121" t="s">
        <v>1122</v>
      </c>
      <c r="D125" s="122" t="s">
        <v>2335</v>
      </c>
      <c r="E125" s="121" t="s">
        <v>2053</v>
      </c>
      <c r="F125" s="121" t="s">
        <v>2053</v>
      </c>
      <c r="G125" s="35">
        <f t="shared" si="1"/>
        <v>2152</v>
      </c>
      <c r="I125" s="35" t="str">
        <f>iFERROR(vlookup(G125,Masters!C$6:D1000,2, fALSE),"MISSING")</f>
        <v>Landscape Architects</v>
      </c>
    </row>
    <row r="126">
      <c r="A126" s="121" t="s">
        <v>2336</v>
      </c>
      <c r="B126" s="121">
        <v>2153.0</v>
      </c>
      <c r="C126" s="121" t="s">
        <v>1208</v>
      </c>
      <c r="D126" s="122" t="s">
        <v>2337</v>
      </c>
      <c r="E126" s="121" t="s">
        <v>2338</v>
      </c>
      <c r="F126" s="121" t="s">
        <v>2053</v>
      </c>
      <c r="G126" s="35">
        <f t="shared" si="1"/>
        <v>2153</v>
      </c>
      <c r="I126" s="35" t="str">
        <f>iFERROR(vlookup(G126,Masters!C$6:D1000,2, fALSE),"MISSING")</f>
        <v>Urban and Land Use Planners</v>
      </c>
    </row>
    <row r="127">
      <c r="A127" s="121" t="s">
        <v>2339</v>
      </c>
      <c r="B127" s="121">
        <v>2154.0</v>
      </c>
      <c r="C127" s="121" t="s">
        <v>1121</v>
      </c>
      <c r="D127" s="122" t="s">
        <v>2340</v>
      </c>
      <c r="E127" s="121" t="s">
        <v>2341</v>
      </c>
      <c r="F127" s="121" t="s">
        <v>2053</v>
      </c>
      <c r="G127" s="35">
        <f t="shared" si="1"/>
        <v>2154</v>
      </c>
      <c r="I127" s="35" t="str">
        <f>iFERROR(vlookup(G127,Masters!C$6:D1000,2, fALSE),"MISSING")</f>
        <v>Land Surveyors</v>
      </c>
    </row>
    <row r="128">
      <c r="A128" s="121" t="s">
        <v>2342</v>
      </c>
      <c r="B128" s="121">
        <v>2161.0</v>
      </c>
      <c r="C128" s="121" t="s">
        <v>1501</v>
      </c>
      <c r="D128" s="122" t="s">
        <v>2343</v>
      </c>
      <c r="E128" s="121" t="s">
        <v>2053</v>
      </c>
      <c r="F128" s="121" t="s">
        <v>2053</v>
      </c>
      <c r="G128" s="35">
        <f t="shared" si="1"/>
        <v>2161</v>
      </c>
      <c r="I128" s="35" t="str">
        <f>iFERROR(vlookup(G128,Masters!C$6:D1000,2, fALSE),"MISSING")</f>
        <v>Actuaries</v>
      </c>
    </row>
    <row r="129">
      <c r="A129" s="121" t="s">
        <v>2344</v>
      </c>
      <c r="B129" s="121">
        <v>2171.0</v>
      </c>
      <c r="C129" s="121" t="s">
        <v>1173</v>
      </c>
      <c r="D129" s="122" t="s">
        <v>2345</v>
      </c>
      <c r="E129" s="121" t="s">
        <v>2346</v>
      </c>
      <c r="F129" s="121" t="s">
        <v>2053</v>
      </c>
      <c r="G129" s="35">
        <f t="shared" si="1"/>
        <v>2171</v>
      </c>
      <c r="I129" s="35" t="str">
        <f>iFERROR(vlookup(G129,Masters!C$6:D1000,2, fALSE),"MISSING")</f>
        <v>Information Systems Quality Assurance Analysts</v>
      </c>
    </row>
    <row r="130">
      <c r="A130" s="121" t="s">
        <v>2347</v>
      </c>
      <c r="B130" s="121">
        <v>2172.0</v>
      </c>
      <c r="C130" s="121" t="s">
        <v>1428</v>
      </c>
      <c r="D130" s="122" t="s">
        <v>2348</v>
      </c>
      <c r="E130" s="121" t="s">
        <v>2053</v>
      </c>
      <c r="F130" s="121" t="s">
        <v>2053</v>
      </c>
      <c r="G130" s="35">
        <f t="shared" si="1"/>
        <v>2172</v>
      </c>
      <c r="I130" s="35" t="str">
        <f>iFERROR(vlookup(G130,Masters!C$6:D1000,2, fALSE),"MISSING")</f>
        <v>Data Administrators</v>
      </c>
    </row>
    <row r="131">
      <c r="A131" s="121" t="s">
        <v>2349</v>
      </c>
      <c r="B131" s="121">
        <v>2173.0</v>
      </c>
      <c r="C131" s="121" t="s">
        <v>1473</v>
      </c>
      <c r="D131" s="122" t="s">
        <v>2350</v>
      </c>
      <c r="E131" s="121" t="s">
        <v>2351</v>
      </c>
      <c r="F131" s="121" t="s">
        <v>2053</v>
      </c>
      <c r="G131" s="35">
        <f t="shared" si="1"/>
        <v>2173</v>
      </c>
      <c r="I131" s="35" t="str">
        <f>iFERROR(vlookup(G131,Masters!C$6:D1000,2, fALSE),"MISSING")</f>
        <v>Computer and Telecommunications Hardware Engineers</v>
      </c>
    </row>
    <row r="132">
      <c r="A132" s="121" t="s">
        <v>2352</v>
      </c>
      <c r="B132" s="121">
        <v>2174.0</v>
      </c>
      <c r="C132" s="121" t="s">
        <v>1506</v>
      </c>
      <c r="D132" s="122" t="s">
        <v>2353</v>
      </c>
      <c r="E132" s="121" t="s">
        <v>2354</v>
      </c>
      <c r="F132" s="121" t="s">
        <v>2053</v>
      </c>
      <c r="G132" s="35">
        <f t="shared" si="1"/>
        <v>2174</v>
      </c>
      <c r="I132" s="35" t="str">
        <f>iFERROR(vlookup(G132,Masters!C$6:D1000,2, fALSE),"MISSING")</f>
        <v>Computer Programmers</v>
      </c>
    </row>
    <row r="133">
      <c r="A133" s="121" t="s">
        <v>2355</v>
      </c>
      <c r="B133" s="121">
        <v>2175.0</v>
      </c>
      <c r="C133" s="121" t="s">
        <v>1500</v>
      </c>
      <c r="D133" s="122" t="s">
        <v>2356</v>
      </c>
      <c r="E133" s="121" t="s">
        <v>2357</v>
      </c>
      <c r="F133" s="121" t="s">
        <v>2358</v>
      </c>
      <c r="G133" s="35">
        <f t="shared" si="1"/>
        <v>2175</v>
      </c>
      <c r="I133" s="35" t="str">
        <f>iFERROR(vlookup(G133,Masters!C$6:D1000,2, fALSE),"MISSING")</f>
        <v>Web Designers and Developers</v>
      </c>
    </row>
    <row r="134">
      <c r="A134" s="121" t="s">
        <v>2359</v>
      </c>
      <c r="B134" s="121">
        <v>2211.0</v>
      </c>
      <c r="C134" s="121" t="s">
        <v>1294</v>
      </c>
      <c r="D134" s="122" t="s">
        <v>2360</v>
      </c>
      <c r="E134" s="121" t="s">
        <v>2361</v>
      </c>
      <c r="F134" s="121" t="s">
        <v>2053</v>
      </c>
      <c r="G134" s="35">
        <f t="shared" si="1"/>
        <v>2211</v>
      </c>
      <c r="I134" s="35" t="str">
        <f>iFERROR(vlookup(G134,Masters!C$6:D1000,2, fALSE),"MISSING")</f>
        <v>Chemical Technicians</v>
      </c>
    </row>
    <row r="135">
      <c r="A135" s="121" t="s">
        <v>2362</v>
      </c>
      <c r="B135" s="121">
        <v>2212.0</v>
      </c>
      <c r="C135" s="121" t="s">
        <v>1113</v>
      </c>
      <c r="D135" s="122" t="s">
        <v>2363</v>
      </c>
      <c r="E135" s="121" t="s">
        <v>2364</v>
      </c>
      <c r="F135" s="121" t="s">
        <v>2053</v>
      </c>
      <c r="G135" s="35">
        <f t="shared" si="1"/>
        <v>2212</v>
      </c>
      <c r="I135" s="35" t="str">
        <f>iFERROR(vlookup(G135,Masters!C$6:D1000,2, fALSE),"MISSING")</f>
        <v>Geological and Mineral Technologists</v>
      </c>
    </row>
    <row r="136">
      <c r="A136" s="123">
        <v>2214.0</v>
      </c>
      <c r="B136" s="123">
        <v>2214.0</v>
      </c>
      <c r="C136" s="124"/>
      <c r="D136" s="124"/>
      <c r="E136" s="124"/>
      <c r="F136" s="124"/>
      <c r="G136" s="35">
        <f t="shared" si="1"/>
        <v>2214</v>
      </c>
      <c r="I136" s="35" t="str">
        <f>iFERROR(vlookup(G136,Masters!C$6:D1000,2, fALSE),"MISSING")</f>
        <v>MISSING</v>
      </c>
    </row>
    <row r="137">
      <c r="A137" s="121" t="s">
        <v>2365</v>
      </c>
      <c r="B137" s="121">
        <v>2221.0</v>
      </c>
      <c r="C137" s="121" t="s">
        <v>122</v>
      </c>
      <c r="D137" s="122" t="s">
        <v>2366</v>
      </c>
      <c r="E137" s="121" t="s">
        <v>2053</v>
      </c>
      <c r="F137" s="121" t="s">
        <v>2053</v>
      </c>
      <c r="G137" s="35">
        <f t="shared" si="1"/>
        <v>2221</v>
      </c>
      <c r="I137" s="35" t="str">
        <f>iFERROR(vlookup(G137,Masters!C$6:D1000,2, fALSE),"MISSING")</f>
        <v>Biological Technicians</v>
      </c>
    </row>
    <row r="138">
      <c r="A138" s="121" t="s">
        <v>2367</v>
      </c>
      <c r="B138" s="121">
        <v>2222.0</v>
      </c>
      <c r="C138" s="121" t="s">
        <v>1083</v>
      </c>
      <c r="D138" s="122" t="s">
        <v>2368</v>
      </c>
      <c r="E138" s="121" t="s">
        <v>2053</v>
      </c>
      <c r="F138" s="121" t="s">
        <v>2053</v>
      </c>
      <c r="G138" s="35">
        <f t="shared" si="1"/>
        <v>2222</v>
      </c>
      <c r="I138" s="35" t="str">
        <f>iFERROR(vlookup(G138,Masters!C$6:D1000,2, fALSE),"MISSING")</f>
        <v>Agricultural and Related Service Contractors and Managers</v>
      </c>
    </row>
    <row r="139">
      <c r="A139" s="121" t="s">
        <v>2369</v>
      </c>
      <c r="B139" s="121">
        <v>2223.0</v>
      </c>
      <c r="C139" s="121" t="s">
        <v>1277</v>
      </c>
      <c r="D139" s="122" t="s">
        <v>2370</v>
      </c>
      <c r="E139" s="121" t="s">
        <v>2053</v>
      </c>
      <c r="F139" s="121" t="s">
        <v>2053</v>
      </c>
      <c r="G139" s="35">
        <f t="shared" si="1"/>
        <v>2223</v>
      </c>
      <c r="I139" s="35" t="str">
        <f>iFERROR(vlookup(G139,Masters!C$6:D1000,2, fALSE),"MISSING")</f>
        <v>Forestry Technologists and Technicians</v>
      </c>
    </row>
    <row r="140">
      <c r="A140" s="121" t="s">
        <v>2371</v>
      </c>
      <c r="B140" s="121">
        <v>2224.0</v>
      </c>
      <c r="C140" s="121" t="s">
        <v>1322</v>
      </c>
      <c r="D140" s="122" t="s">
        <v>2372</v>
      </c>
      <c r="E140" s="121" t="s">
        <v>2373</v>
      </c>
      <c r="F140" s="121" t="s">
        <v>2053</v>
      </c>
      <c r="G140" s="35">
        <f t="shared" si="1"/>
        <v>2224</v>
      </c>
      <c r="I140" s="35" t="str">
        <f>iFERROR(vlookup(G140,Masters!C$6:D1000,2, fALSE),"MISSING")</f>
        <v>Conservation and Fishery Officers</v>
      </c>
    </row>
    <row r="141">
      <c r="A141" s="121" t="s">
        <v>2374</v>
      </c>
      <c r="B141" s="121">
        <v>2225.0</v>
      </c>
      <c r="C141" s="121" t="s">
        <v>1116</v>
      </c>
      <c r="D141" s="122" t="s">
        <v>2375</v>
      </c>
      <c r="E141" s="121" t="s">
        <v>2376</v>
      </c>
      <c r="F141" s="121" t="s">
        <v>2053</v>
      </c>
      <c r="G141" s="35">
        <f t="shared" si="1"/>
        <v>2225</v>
      </c>
      <c r="I141" s="35" t="str">
        <f>iFERROR(vlookup(G141,Masters!C$6:D1000,2, fALSE),"MISSING")</f>
        <v>Golf Course Superintendents</v>
      </c>
    </row>
    <row r="142">
      <c r="A142" s="121" t="s">
        <v>2377</v>
      </c>
      <c r="B142" s="121">
        <v>2231.0</v>
      </c>
      <c r="C142" s="121" t="s">
        <v>1266</v>
      </c>
      <c r="D142" s="122" t="s">
        <v>2378</v>
      </c>
      <c r="E142" s="121" t="s">
        <v>2053</v>
      </c>
      <c r="F142" s="121" t="s">
        <v>2053</v>
      </c>
      <c r="G142" s="35">
        <f t="shared" si="1"/>
        <v>2231</v>
      </c>
      <c r="I142" s="35" t="str">
        <f>iFERROR(vlookup(G142,Masters!C$6:D1000,2, fALSE),"MISSING")</f>
        <v>Civil Engineering Technicians</v>
      </c>
    </row>
    <row r="143">
      <c r="A143" s="121" t="s">
        <v>2379</v>
      </c>
      <c r="B143" s="121">
        <v>2232.0</v>
      </c>
      <c r="C143" s="121" t="s">
        <v>1133</v>
      </c>
      <c r="D143" s="122" t="s">
        <v>2380</v>
      </c>
      <c r="E143" s="121" t="s">
        <v>2053</v>
      </c>
      <c r="F143" s="121" t="s">
        <v>2053</v>
      </c>
      <c r="G143" s="35">
        <f t="shared" si="1"/>
        <v>2232</v>
      </c>
      <c r="I143" s="35" t="str">
        <f>iFERROR(vlookup(G143,Masters!C$6:D1000,2, fALSE),"MISSING")</f>
        <v>Mechanical Engineering Technologists</v>
      </c>
    </row>
    <row r="144">
      <c r="A144" s="121" t="s">
        <v>2381</v>
      </c>
      <c r="B144" s="121">
        <v>2233.0</v>
      </c>
      <c r="C144" s="121" t="s">
        <v>1267</v>
      </c>
      <c r="D144" s="122" t="s">
        <v>2382</v>
      </c>
      <c r="E144" s="121" t="s">
        <v>2053</v>
      </c>
      <c r="F144" s="121" t="s">
        <v>2053</v>
      </c>
      <c r="G144" s="35">
        <f t="shared" si="1"/>
        <v>2233</v>
      </c>
      <c r="I144" s="35" t="str">
        <f>iFERROR(vlookup(G144,Masters!C$6:D1000,2, fALSE),"MISSING")</f>
        <v>Industrial Engineering and Manufacturing Technicians</v>
      </c>
    </row>
    <row r="145">
      <c r="A145" s="121" t="s">
        <v>2383</v>
      </c>
      <c r="B145" s="121">
        <v>2234.0</v>
      </c>
      <c r="C145" s="121" t="s">
        <v>1425</v>
      </c>
      <c r="D145" s="122" t="s">
        <v>2384</v>
      </c>
      <c r="E145" s="121" t="s">
        <v>2053</v>
      </c>
      <c r="F145" s="121" t="s">
        <v>2053</v>
      </c>
      <c r="G145" s="35">
        <f t="shared" si="1"/>
        <v>2234</v>
      </c>
      <c r="I145" s="35" t="str">
        <f>iFERROR(vlookup(G145,Masters!C$6:D1000,2, fALSE),"MISSING")</f>
        <v>Construction Estimators</v>
      </c>
    </row>
    <row r="146">
      <c r="A146" s="121" t="s">
        <v>2385</v>
      </c>
      <c r="B146" s="121">
        <v>2241.0</v>
      </c>
      <c r="C146" s="121" t="s">
        <v>124</v>
      </c>
      <c r="D146" s="122" t="s">
        <v>2386</v>
      </c>
      <c r="E146" s="121" t="s">
        <v>2053</v>
      </c>
      <c r="F146" s="121" t="s">
        <v>2053</v>
      </c>
      <c r="G146" s="35">
        <f t="shared" si="1"/>
        <v>2241</v>
      </c>
      <c r="I146" s="35" t="str">
        <f>iFERROR(vlookup(G146,Masters!C$6:D1000,2, fALSE),"MISSING")</f>
        <v>Electrical and Electronics Engineering Technologists</v>
      </c>
    </row>
    <row r="147">
      <c r="A147" s="121" t="s">
        <v>2387</v>
      </c>
      <c r="B147" s="121">
        <v>2242.0</v>
      </c>
      <c r="C147" s="121" t="s">
        <v>1272</v>
      </c>
      <c r="D147" s="122" t="s">
        <v>2388</v>
      </c>
      <c r="E147" s="121" t="s">
        <v>2053</v>
      </c>
      <c r="F147" s="121" t="s">
        <v>2053</v>
      </c>
      <c r="G147" s="35">
        <f t="shared" si="1"/>
        <v>2242</v>
      </c>
      <c r="I147" s="35" t="str">
        <f>iFERROR(vlookup(G147,Masters!C$6:D1000,2, fALSE),"MISSING")</f>
        <v>Electronic Service Technicians (Household and Business Equipment)</v>
      </c>
    </row>
    <row r="148">
      <c r="A148" s="121" t="s">
        <v>2389</v>
      </c>
      <c r="B148" s="121">
        <v>2243.0</v>
      </c>
      <c r="C148" s="121" t="s">
        <v>1302</v>
      </c>
      <c r="D148" s="122" t="s">
        <v>2390</v>
      </c>
      <c r="E148" s="121" t="s">
        <v>2391</v>
      </c>
      <c r="F148" s="121" t="s">
        <v>2053</v>
      </c>
      <c r="G148" s="35">
        <f t="shared" si="1"/>
        <v>2243</v>
      </c>
      <c r="I148" s="35" t="str">
        <f>iFERROR(vlookup(G148,Masters!C$6:D1000,2, fALSE),"MISSING")</f>
        <v>Industrial Instrument Technicians and Mechanics</v>
      </c>
    </row>
    <row r="149">
      <c r="A149" s="121" t="s">
        <v>2392</v>
      </c>
      <c r="B149" s="121">
        <v>2244.0</v>
      </c>
      <c r="C149" s="121" t="s">
        <v>121</v>
      </c>
      <c r="D149" s="122" t="s">
        <v>2393</v>
      </c>
      <c r="E149" s="121" t="s">
        <v>2053</v>
      </c>
      <c r="F149" s="121" t="s">
        <v>2053</v>
      </c>
      <c r="G149" s="35">
        <f t="shared" si="1"/>
        <v>2244</v>
      </c>
      <c r="I149" s="35" t="str">
        <f>iFERROR(vlookup(G149,Masters!C$6:D1000,2, fALSE),"MISSING")</f>
        <v>Avionics Inspectors</v>
      </c>
    </row>
    <row r="150">
      <c r="A150" s="121" t="s">
        <v>2394</v>
      </c>
      <c r="B150" s="121">
        <v>2251.0</v>
      </c>
      <c r="C150" s="121" t="s">
        <v>1317</v>
      </c>
      <c r="D150" s="122" t="s">
        <v>2395</v>
      </c>
      <c r="E150" s="121" t="s">
        <v>2053</v>
      </c>
      <c r="F150" s="121" t="s">
        <v>2053</v>
      </c>
      <c r="G150" s="35">
        <f t="shared" si="1"/>
        <v>2251</v>
      </c>
      <c r="I150" s="35" t="str">
        <f>iFERROR(vlookup(G150,Masters!C$6:D1000,2, fALSE),"MISSING")</f>
        <v>Architectural Technologists and Technicians</v>
      </c>
    </row>
    <row r="151">
      <c r="A151" s="121" t="s">
        <v>2396</v>
      </c>
      <c r="B151" s="121">
        <v>2252.0</v>
      </c>
      <c r="C151" s="121" t="s">
        <v>1119</v>
      </c>
      <c r="D151" s="122" t="s">
        <v>2397</v>
      </c>
      <c r="E151" s="121" t="s">
        <v>2053</v>
      </c>
      <c r="F151" s="121" t="s">
        <v>2053</v>
      </c>
      <c r="G151" s="35">
        <f t="shared" si="1"/>
        <v>2252</v>
      </c>
      <c r="I151" s="35" t="str">
        <f>iFERROR(vlookup(G151,Masters!C$6:D1000,2, fALSE),"MISSING")</f>
        <v>Industrial Designers</v>
      </c>
    </row>
    <row r="152">
      <c r="A152" s="121" t="s">
        <v>2398</v>
      </c>
      <c r="B152" s="121">
        <v>2253.0</v>
      </c>
      <c r="C152" s="121" t="s">
        <v>114</v>
      </c>
      <c r="D152" s="122" t="s">
        <v>2399</v>
      </c>
      <c r="E152" s="121" t="e">
        <v>#NAME?</v>
      </c>
      <c r="F152" s="121" t="s">
        <v>2053</v>
      </c>
      <c r="G152" s="35">
        <f t="shared" si="1"/>
        <v>2253</v>
      </c>
      <c r="I152" s="35" t="str">
        <f>iFERROR(vlookup(G152,Masters!C$6:D1000,2, fALSE),"MISSING")</f>
        <v>Drafting Technologists</v>
      </c>
    </row>
    <row r="153">
      <c r="A153" s="121" t="s">
        <v>2400</v>
      </c>
      <c r="B153" s="121">
        <v>2254.0</v>
      </c>
      <c r="C153" s="121" t="s">
        <v>1305</v>
      </c>
      <c r="D153" s="122" t="s">
        <v>2401</v>
      </c>
      <c r="E153" s="121" t="s">
        <v>2053</v>
      </c>
      <c r="F153" s="121" t="s">
        <v>2053</v>
      </c>
      <c r="G153" s="35">
        <f t="shared" si="1"/>
        <v>2254</v>
      </c>
      <c r="I153" s="35" t="str">
        <f>iFERROR(vlookup(G153,Masters!C$6:D1000,2, fALSE),"MISSING")</f>
        <v>Land Survey Technicians</v>
      </c>
    </row>
    <row r="154">
      <c r="A154" s="121" t="s">
        <v>2402</v>
      </c>
      <c r="B154" s="121">
        <v>2255.0</v>
      </c>
      <c r="C154" s="121" t="s">
        <v>1139</v>
      </c>
      <c r="D154" s="122" t="s">
        <v>2403</v>
      </c>
      <c r="E154" s="121" t="s">
        <v>2053</v>
      </c>
      <c r="F154" s="121" t="s">
        <v>2053</v>
      </c>
      <c r="G154" s="35">
        <f t="shared" si="1"/>
        <v>2255</v>
      </c>
      <c r="I154" s="35" t="str">
        <f>iFERROR(vlookup(G154,Masters!C$6:D1000,2, fALSE),"MISSING")</f>
        <v>Meteorological Technicians</v>
      </c>
    </row>
    <row r="155">
      <c r="A155" s="121" t="s">
        <v>2404</v>
      </c>
      <c r="B155" s="121">
        <v>2261.0</v>
      </c>
      <c r="C155" s="121" t="s">
        <v>1342</v>
      </c>
      <c r="D155" s="122" t="s">
        <v>2405</v>
      </c>
      <c r="E155" s="121" t="s">
        <v>2053</v>
      </c>
      <c r="F155" s="121" t="s">
        <v>2053</v>
      </c>
      <c r="G155" s="35">
        <f t="shared" si="1"/>
        <v>2261</v>
      </c>
      <c r="I155" s="35" t="str">
        <f>iFERROR(vlookup(G155,Masters!C$6:D1000,2, fALSE),"MISSING")</f>
        <v>Nondestructive Testers and Inspectors</v>
      </c>
    </row>
    <row r="156">
      <c r="A156" s="121" t="s">
        <v>2406</v>
      </c>
      <c r="B156" s="121">
        <v>2262.0</v>
      </c>
      <c r="C156" s="121" t="s">
        <v>1165</v>
      </c>
      <c r="D156" s="122" t="s">
        <v>2407</v>
      </c>
      <c r="E156" s="121" t="s">
        <v>2053</v>
      </c>
      <c r="F156" s="121" t="s">
        <v>2053</v>
      </c>
      <c r="G156" s="35">
        <f t="shared" si="1"/>
        <v>2262</v>
      </c>
      <c r="I156" s="35" t="str">
        <f>iFERROR(vlookup(G156,Masters!C$6:D1000,2, fALSE),"MISSING")</f>
        <v>Airworthiness Inspectors</v>
      </c>
    </row>
    <row r="157">
      <c r="A157" s="121" t="s">
        <v>2408</v>
      </c>
      <c r="B157" s="121">
        <v>2263.0</v>
      </c>
      <c r="C157" s="121" t="s">
        <v>1395</v>
      </c>
      <c r="D157" s="122" t="s">
        <v>2409</v>
      </c>
      <c r="E157" s="121" t="s">
        <v>2410</v>
      </c>
      <c r="F157" s="121" t="s">
        <v>2053</v>
      </c>
      <c r="G157" s="35">
        <f t="shared" si="1"/>
        <v>2263</v>
      </c>
      <c r="I157" s="35" t="str">
        <f>iFERROR(vlookup(G157,Masters!C$6:D1000,2, fALSE),"MISSING")</f>
        <v>Inspectors in Public and Environmental Health and Occupational Health and Safety</v>
      </c>
    </row>
    <row r="158">
      <c r="A158" s="121" t="s">
        <v>2411</v>
      </c>
      <c r="B158" s="121">
        <v>2264.0</v>
      </c>
      <c r="C158" s="121" t="s">
        <v>1384</v>
      </c>
      <c r="D158" s="122" t="s">
        <v>2412</v>
      </c>
      <c r="E158" s="121" t="s">
        <v>2413</v>
      </c>
      <c r="F158" s="121" t="s">
        <v>2053</v>
      </c>
      <c r="G158" s="35">
        <f t="shared" si="1"/>
        <v>2264</v>
      </c>
      <c r="I158" s="35" t="str">
        <f>iFERROR(vlookup(G158,Masters!C$6:D1000,2, fALSE),"MISSING")</f>
        <v>Construction Inspectors</v>
      </c>
    </row>
    <row r="159">
      <c r="A159" s="121" t="s">
        <v>2414</v>
      </c>
      <c r="B159" s="121">
        <v>2271.0</v>
      </c>
      <c r="C159" s="121" t="s">
        <v>1276</v>
      </c>
      <c r="D159" s="122" t="s">
        <v>2415</v>
      </c>
      <c r="E159" s="121" t="s">
        <v>2416</v>
      </c>
      <c r="F159" s="121" t="s">
        <v>2053</v>
      </c>
      <c r="G159" s="35">
        <f t="shared" si="1"/>
        <v>2271</v>
      </c>
      <c r="I159" s="35" t="str">
        <f>iFERROR(vlookup(G159,Masters!C$6:D1000,2, fALSE),"MISSING")</f>
        <v>Flight Engineers (Second Officers)</v>
      </c>
    </row>
    <row r="160">
      <c r="A160" s="121" t="s">
        <v>2417</v>
      </c>
      <c r="B160" s="121">
        <v>2272.0</v>
      </c>
      <c r="C160" s="121" t="s">
        <v>1164</v>
      </c>
      <c r="D160" s="122" t="s">
        <v>2418</v>
      </c>
      <c r="E160" s="121" t="s">
        <v>2053</v>
      </c>
      <c r="F160" s="121" t="s">
        <v>2053</v>
      </c>
      <c r="G160" s="35">
        <f t="shared" si="1"/>
        <v>2272</v>
      </c>
      <c r="I160" s="35" t="str">
        <f>iFERROR(vlookup(G160,Masters!C$6:D1000,2, fALSE),"MISSING")</f>
        <v>Air Traffic Controllers</v>
      </c>
    </row>
    <row r="161">
      <c r="A161" s="121" t="s">
        <v>2419</v>
      </c>
      <c r="B161" s="121">
        <v>2273.0</v>
      </c>
      <c r="C161" s="121" t="s">
        <v>1324</v>
      </c>
      <c r="D161" s="122" t="s">
        <v>2420</v>
      </c>
      <c r="E161" s="121" t="s">
        <v>2421</v>
      </c>
      <c r="F161" s="121" t="s">
        <v>2053</v>
      </c>
      <c r="G161" s="35">
        <f t="shared" si="1"/>
        <v>2273</v>
      </c>
      <c r="I161" s="35" t="str">
        <f>iFERROR(vlookup(G161,Masters!C$6:D1000,2, fALSE),"MISSING")</f>
        <v>Deck Officers, Water Transport</v>
      </c>
    </row>
    <row r="162">
      <c r="A162" s="121" t="s">
        <v>2422</v>
      </c>
      <c r="B162" s="121">
        <v>2274.0</v>
      </c>
      <c r="C162" s="121" t="s">
        <v>1298</v>
      </c>
      <c r="D162" s="122" t="s">
        <v>2423</v>
      </c>
      <c r="E162" s="121" t="s">
        <v>2053</v>
      </c>
      <c r="F162" s="121" t="s">
        <v>2053</v>
      </c>
      <c r="G162" s="35">
        <f t="shared" si="1"/>
        <v>2274</v>
      </c>
      <c r="I162" s="35" t="str">
        <f>iFERROR(vlookup(G162,Masters!C$6:D1000,2, fALSE),"MISSING")</f>
        <v>Engineer Officers, Water Transport</v>
      </c>
    </row>
    <row r="163">
      <c r="A163" s="121" t="s">
        <v>2424</v>
      </c>
      <c r="B163" s="121">
        <v>2275.0</v>
      </c>
      <c r="C163" s="121" t="s">
        <v>1398</v>
      </c>
      <c r="D163" s="122" t="s">
        <v>2425</v>
      </c>
      <c r="E163" s="121" t="s">
        <v>2426</v>
      </c>
      <c r="F163" s="121" t="s">
        <v>2053</v>
      </c>
      <c r="G163" s="35">
        <f t="shared" si="1"/>
        <v>2275</v>
      </c>
      <c r="I163" s="35" t="str">
        <f>iFERROR(vlookup(G163,Masters!C$6:D1000,2, fALSE),"MISSING")</f>
        <v>Marine Traffic Regulators</v>
      </c>
    </row>
    <row r="164">
      <c r="A164" s="121" t="s">
        <v>2427</v>
      </c>
      <c r="B164" s="121">
        <v>2281.0</v>
      </c>
      <c r="C164" s="121" t="s">
        <v>1295</v>
      </c>
      <c r="D164" s="122" t="s">
        <v>2428</v>
      </c>
      <c r="E164" s="121" t="s">
        <v>2429</v>
      </c>
      <c r="F164" s="121" t="s">
        <v>2053</v>
      </c>
      <c r="G164" s="35">
        <f t="shared" si="1"/>
        <v>2281</v>
      </c>
      <c r="I164" s="35" t="str">
        <f>iFERROR(vlookup(G164,Masters!C$6:D1000,2, fALSE),"MISSING")</f>
        <v>Computer and Network Operators</v>
      </c>
    </row>
    <row r="165">
      <c r="A165" s="121" t="s">
        <v>2430</v>
      </c>
      <c r="B165" s="121">
        <v>2282.0</v>
      </c>
      <c r="C165" s="121" t="s">
        <v>1421</v>
      </c>
      <c r="D165" s="122" t="s">
        <v>2431</v>
      </c>
      <c r="E165" s="121" t="s">
        <v>2432</v>
      </c>
      <c r="F165" s="121" t="s">
        <v>2053</v>
      </c>
      <c r="G165" s="35">
        <f t="shared" si="1"/>
        <v>2282</v>
      </c>
      <c r="I165" s="35" t="str">
        <f>iFERROR(vlookup(G165,Masters!C$6:D1000,2, fALSE),"MISSING")</f>
        <v>User Support Technicians</v>
      </c>
    </row>
    <row r="166">
      <c r="A166" s="121" t="s">
        <v>2433</v>
      </c>
      <c r="B166" s="121">
        <v>2283.0</v>
      </c>
      <c r="C166" s="121" t="s">
        <v>1204</v>
      </c>
      <c r="D166" s="122" t="s">
        <v>2434</v>
      </c>
      <c r="E166" s="121" t="s">
        <v>2053</v>
      </c>
      <c r="F166" s="121" t="s">
        <v>2053</v>
      </c>
      <c r="G166" s="35">
        <f t="shared" si="1"/>
        <v>2283</v>
      </c>
      <c r="I166" s="35" t="str">
        <f>iFERROR(vlookup(G166,Masters!C$6:D1000,2, fALSE),"MISSING")</f>
        <v>Systems Testing Technicians</v>
      </c>
    </row>
    <row r="167">
      <c r="A167" s="121" t="s">
        <v>2435</v>
      </c>
      <c r="B167" s="121">
        <v>3011.0</v>
      </c>
      <c r="C167" s="121" t="s">
        <v>1169</v>
      </c>
      <c r="D167" s="122" t="s">
        <v>2436</v>
      </c>
      <c r="E167" s="121" t="s">
        <v>2053</v>
      </c>
      <c r="F167" s="121" t="s">
        <v>2053</v>
      </c>
      <c r="G167" s="35">
        <f t="shared" si="1"/>
        <v>3011</v>
      </c>
      <c r="I167" s="35" t="str">
        <f>iFERROR(vlookup(G167,Masters!C$6:D1000,2, fALSE),"MISSING")</f>
        <v>Head Nurses and Supervisors</v>
      </c>
    </row>
    <row r="168">
      <c r="A168" s="121" t="s">
        <v>2437</v>
      </c>
      <c r="B168" s="121">
        <v>3012.0</v>
      </c>
      <c r="C168" s="121" t="s">
        <v>1143</v>
      </c>
      <c r="D168" s="122" t="s">
        <v>2438</v>
      </c>
      <c r="E168" s="121" t="s">
        <v>2439</v>
      </c>
      <c r="F168" s="121" t="s">
        <v>2053</v>
      </c>
      <c r="G168" s="35">
        <f t="shared" si="1"/>
        <v>3012</v>
      </c>
      <c r="I168" s="35" t="str">
        <f>iFERROR(vlookup(G168,Masters!C$6:D1000,2, fALSE),"MISSING")</f>
        <v>Occupational Health Nurses</v>
      </c>
    </row>
    <row r="169">
      <c r="A169" s="121" t="s">
        <v>2440</v>
      </c>
      <c r="B169" s="121">
        <v>3111.0</v>
      </c>
      <c r="C169" s="121" t="s">
        <v>1414</v>
      </c>
      <c r="D169" s="122" t="s">
        <v>2441</v>
      </c>
      <c r="E169" s="121" t="s">
        <v>2442</v>
      </c>
      <c r="F169" s="121" t="s">
        <v>2053</v>
      </c>
      <c r="G169" s="35">
        <f t="shared" si="1"/>
        <v>3111</v>
      </c>
      <c r="I169" s="35" t="str">
        <f>iFERROR(vlookup(G169,Masters!C$6:D1000,2, fALSE),"MISSING")</f>
        <v>Specialists in Clinical Medicine</v>
      </c>
    </row>
    <row r="170">
      <c r="A170" s="121" t="s">
        <v>2443</v>
      </c>
      <c r="B170" s="121">
        <v>3112.0</v>
      </c>
      <c r="C170" s="121" t="s">
        <v>1430</v>
      </c>
      <c r="D170" s="122" t="s">
        <v>2444</v>
      </c>
      <c r="E170" s="121" t="s">
        <v>2445</v>
      </c>
      <c r="F170" s="121" t="s">
        <v>2053</v>
      </c>
      <c r="G170" s="35">
        <f t="shared" si="1"/>
        <v>3112</v>
      </c>
      <c r="I170" s="35" t="str">
        <f>iFERROR(vlookup(G170,Masters!C$6:D1000,2, fALSE),"MISSING")</f>
        <v>General Practitioners and Family Physicians</v>
      </c>
    </row>
    <row r="171">
      <c r="A171" s="121" t="s">
        <v>2446</v>
      </c>
      <c r="B171" s="121">
        <v>3113.0</v>
      </c>
      <c r="C171" s="121" t="s">
        <v>603</v>
      </c>
      <c r="D171" s="122" t="s">
        <v>2447</v>
      </c>
      <c r="E171" s="121" t="s">
        <v>2448</v>
      </c>
      <c r="F171" s="121" t="s">
        <v>2053</v>
      </c>
      <c r="G171" s="35">
        <f t="shared" si="1"/>
        <v>3113</v>
      </c>
      <c r="I171" s="35" t="str">
        <f>iFERROR(vlookup(G171,Masters!C$6:D1000,2, fALSE),"MISSING")</f>
        <v>Dentists</v>
      </c>
    </row>
    <row r="172">
      <c r="A172" s="121" t="s">
        <v>2449</v>
      </c>
      <c r="B172" s="121">
        <v>3114.0</v>
      </c>
      <c r="C172" s="121" t="s">
        <v>285</v>
      </c>
      <c r="D172" s="122" t="s">
        <v>2450</v>
      </c>
      <c r="E172" s="121" t="s">
        <v>2053</v>
      </c>
      <c r="F172" s="121" t="s">
        <v>2053</v>
      </c>
      <c r="G172" s="35">
        <f t="shared" si="1"/>
        <v>3114</v>
      </c>
      <c r="I172" s="35" t="str">
        <f>iFERROR(vlookup(G172,Masters!C$6:D1000,2, fALSE),"MISSING")</f>
        <v>Veterinarians</v>
      </c>
    </row>
    <row r="173">
      <c r="A173" s="121" t="s">
        <v>2451</v>
      </c>
      <c r="B173" s="121">
        <v>3121.0</v>
      </c>
      <c r="C173" s="121" t="s">
        <v>250</v>
      </c>
      <c r="D173" s="122" t="s">
        <v>2452</v>
      </c>
      <c r="E173" s="121" t="s">
        <v>2053</v>
      </c>
      <c r="F173" s="121" t="s">
        <v>2053</v>
      </c>
      <c r="G173" s="35">
        <f t="shared" si="1"/>
        <v>3121</v>
      </c>
      <c r="I173" s="35" t="str">
        <f>iFERROR(vlookup(G173,Masters!C$6:D1000,2, fALSE),"MISSING")</f>
        <v>Optometrists</v>
      </c>
    </row>
    <row r="174">
      <c r="A174" s="121" t="s">
        <v>2453</v>
      </c>
      <c r="B174" s="121">
        <v>3122.0</v>
      </c>
      <c r="C174" s="121" t="s">
        <v>504</v>
      </c>
      <c r="D174" s="122" t="s">
        <v>2454</v>
      </c>
      <c r="E174" s="121" t="s">
        <v>2053</v>
      </c>
      <c r="F174" s="121" t="s">
        <v>2053</v>
      </c>
      <c r="G174" s="35">
        <f t="shared" si="1"/>
        <v>3122</v>
      </c>
      <c r="I174" s="35" t="str">
        <f>iFERROR(vlookup(G174,Masters!C$6:D1000,2, fALSE),"MISSING")</f>
        <v>Chiropodists and Podiatrists</v>
      </c>
    </row>
    <row r="175">
      <c r="A175" s="121" t="s">
        <v>2455</v>
      </c>
      <c r="B175" s="121">
        <v>3124.0</v>
      </c>
      <c r="C175" s="121" t="s">
        <v>1308</v>
      </c>
      <c r="D175" s="122" t="s">
        <v>2456</v>
      </c>
      <c r="E175" s="121" t="s">
        <v>2457</v>
      </c>
      <c r="F175" s="121" t="s">
        <v>2458</v>
      </c>
      <c r="G175" s="35">
        <f t="shared" si="1"/>
        <v>3124</v>
      </c>
      <c r="I175" s="35" t="str">
        <f>iFERROR(vlookup(G175,Masters!C$6:D1000,2, fALSE),"MISSING")</f>
        <v>Midwives</v>
      </c>
    </row>
    <row r="176">
      <c r="A176" s="121" t="s">
        <v>2459</v>
      </c>
      <c r="B176" s="121">
        <v>3125.0</v>
      </c>
      <c r="C176" s="121" t="s">
        <v>1102</v>
      </c>
      <c r="D176" s="122" t="s">
        <v>2460</v>
      </c>
      <c r="E176" s="121" t="s">
        <v>2053</v>
      </c>
      <c r="F176" s="121" t="s">
        <v>2053</v>
      </c>
      <c r="G176" s="35">
        <f t="shared" si="1"/>
        <v>3125</v>
      </c>
      <c r="I176" s="35" t="str">
        <f>iFERROR(vlookup(G176,Masters!C$6:D1000,2, fALSE),"MISSING")</f>
        <v>Doctors of Podiatric Medicine</v>
      </c>
    </row>
    <row r="177">
      <c r="A177" s="121" t="s">
        <v>2461</v>
      </c>
      <c r="B177" s="121">
        <v>3131.0</v>
      </c>
      <c r="C177" s="121" t="s">
        <v>1321</v>
      </c>
      <c r="D177" s="122" t="s">
        <v>2462</v>
      </c>
      <c r="E177" s="121" t="s">
        <v>2463</v>
      </c>
      <c r="F177" s="121" t="s">
        <v>2053</v>
      </c>
      <c r="G177" s="35">
        <f t="shared" si="1"/>
        <v>3131</v>
      </c>
      <c r="I177" s="35" t="str">
        <f>iFERROR(vlookup(G177,Masters!C$6:D1000,2, fALSE),"MISSING")</f>
        <v>Community Pharmacists and Hospital Pharmacists</v>
      </c>
    </row>
    <row r="178">
      <c r="A178" s="121" t="s">
        <v>2464</v>
      </c>
      <c r="B178" s="121">
        <v>3132.0</v>
      </c>
      <c r="C178" s="121" t="s">
        <v>1234</v>
      </c>
      <c r="D178" s="122" t="s">
        <v>2465</v>
      </c>
      <c r="E178" s="121" t="s">
        <v>2466</v>
      </c>
      <c r="F178" s="121" t="s">
        <v>2053</v>
      </c>
      <c r="G178" s="35">
        <f t="shared" si="1"/>
        <v>3132</v>
      </c>
      <c r="I178" s="35" t="str">
        <f>iFERROR(vlookup(G178,Masters!C$6:D1000,2, fALSE),"MISSING")</f>
        <v>Dietitians and Nutritionists</v>
      </c>
    </row>
    <row r="179">
      <c r="A179" s="121" t="s">
        <v>2467</v>
      </c>
      <c r="B179" s="121">
        <v>3141.0</v>
      </c>
      <c r="C179" s="121" t="s">
        <v>1375</v>
      </c>
      <c r="D179" s="122" t="s">
        <v>2468</v>
      </c>
      <c r="E179" s="121" t="s">
        <v>2053</v>
      </c>
      <c r="F179" s="121" t="s">
        <v>2053</v>
      </c>
      <c r="G179" s="35">
        <f t="shared" si="1"/>
        <v>3141</v>
      </c>
      <c r="I179" s="35" t="str">
        <f>iFERROR(vlookup(G179,Masters!C$6:D1000,2, fALSE),"MISSING")</f>
        <v>Audiologists</v>
      </c>
    </row>
    <row r="180">
      <c r="A180" s="121" t="s">
        <v>2469</v>
      </c>
      <c r="B180" s="121">
        <v>3142.0</v>
      </c>
      <c r="C180" s="121" t="s">
        <v>256</v>
      </c>
      <c r="D180" s="122" t="s">
        <v>2470</v>
      </c>
      <c r="E180" s="121" t="s">
        <v>2471</v>
      </c>
      <c r="F180" s="121" t="s">
        <v>2053</v>
      </c>
      <c r="G180" s="35">
        <f t="shared" si="1"/>
        <v>3142</v>
      </c>
      <c r="I180" s="35" t="str">
        <f>iFERROR(vlookup(G180,Masters!C$6:D1000,2, fALSE),"MISSING")</f>
        <v>Physiotherapists</v>
      </c>
    </row>
    <row r="181">
      <c r="A181" s="121" t="s">
        <v>2472</v>
      </c>
      <c r="B181" s="121">
        <v>3143.0</v>
      </c>
      <c r="C181" s="121" t="s">
        <v>1144</v>
      </c>
      <c r="D181" s="122" t="s">
        <v>2473</v>
      </c>
      <c r="E181" s="121" t="s">
        <v>2474</v>
      </c>
      <c r="F181" s="121" t="s">
        <v>2053</v>
      </c>
      <c r="G181" s="35">
        <f t="shared" si="1"/>
        <v>3143</v>
      </c>
      <c r="I181" s="35" t="str">
        <f>iFERROR(vlookup(G181,Masters!C$6:D1000,2, fALSE),"MISSING")</f>
        <v>Occupational Therapists</v>
      </c>
    </row>
    <row r="182">
      <c r="A182" s="121" t="s">
        <v>2475</v>
      </c>
      <c r="B182" s="121">
        <v>3144.0</v>
      </c>
      <c r="C182" s="121" t="s">
        <v>1396</v>
      </c>
      <c r="D182" s="122" t="s">
        <v>2476</v>
      </c>
      <c r="E182" s="121" t="s">
        <v>2053</v>
      </c>
      <c r="F182" s="121" t="s">
        <v>2053</v>
      </c>
      <c r="G182" s="35">
        <f t="shared" si="1"/>
        <v>3144</v>
      </c>
      <c r="I182" s="35" t="str">
        <f>iFERROR(vlookup(G182,Masters!C$6:D1000,2, fALSE),"MISSING")</f>
        <v>Kinesiologists</v>
      </c>
    </row>
    <row r="183">
      <c r="A183" s="121" t="s">
        <v>2477</v>
      </c>
      <c r="B183" s="121">
        <v>3211.0</v>
      </c>
      <c r="C183" s="121" t="s">
        <v>1341</v>
      </c>
      <c r="D183" s="122" t="s">
        <v>2478</v>
      </c>
      <c r="E183" s="121" t="s">
        <v>2479</v>
      </c>
      <c r="F183" s="121" t="s">
        <v>2053</v>
      </c>
      <c r="G183" s="35">
        <f t="shared" si="1"/>
        <v>3211</v>
      </c>
      <c r="I183" s="35" t="str">
        <f>iFERROR(vlookup(G183,Masters!C$6:D1000,2, fALSE),"MISSING")</f>
        <v>Medical Laboratory Technologists</v>
      </c>
    </row>
    <row r="184">
      <c r="A184" s="121" t="s">
        <v>2480</v>
      </c>
      <c r="B184" s="121">
        <v>3212.0</v>
      </c>
      <c r="C184" s="121" t="s">
        <v>1135</v>
      </c>
      <c r="D184" s="122" t="s">
        <v>2481</v>
      </c>
      <c r="E184" s="121" t="s">
        <v>2053</v>
      </c>
      <c r="F184" s="121" t="s">
        <v>2053</v>
      </c>
      <c r="G184" s="35">
        <f t="shared" si="1"/>
        <v>3212</v>
      </c>
      <c r="I184" s="35" t="str">
        <f>iFERROR(vlookup(G184,Masters!C$6:D1000,2, fALSE),"MISSING")</f>
        <v>Medical Laboratory Technicians</v>
      </c>
    </row>
    <row r="185">
      <c r="A185" s="121" t="s">
        <v>2482</v>
      </c>
      <c r="B185" s="121">
        <v>3213.0</v>
      </c>
      <c r="C185" s="121" t="s">
        <v>1315</v>
      </c>
      <c r="D185" s="122" t="s">
        <v>2483</v>
      </c>
      <c r="E185" s="121" t="s">
        <v>2484</v>
      </c>
      <c r="F185" s="121" t="s">
        <v>2053</v>
      </c>
      <c r="G185" s="35">
        <f t="shared" si="1"/>
        <v>3213</v>
      </c>
      <c r="I185" s="35" t="str">
        <f>iFERROR(vlookup(G185,Masters!C$6:D1000,2, fALSE),"MISSING")</f>
        <v>Veterinary and Animal Health Technologists and Technicians</v>
      </c>
    </row>
    <row r="186">
      <c r="A186" s="121" t="s">
        <v>2485</v>
      </c>
      <c r="B186" s="121">
        <v>3214.0</v>
      </c>
      <c r="C186" s="121" t="s">
        <v>1088</v>
      </c>
      <c r="D186" s="122" t="s">
        <v>2486</v>
      </c>
      <c r="E186" s="121" t="s">
        <v>2487</v>
      </c>
      <c r="F186" s="121" t="s">
        <v>2053</v>
      </c>
      <c r="G186" s="35">
        <f t="shared" si="1"/>
        <v>3214</v>
      </c>
      <c r="I186" s="35" t="str">
        <f>iFERROR(vlookup(G186,Masters!C$6:D1000,2, fALSE),"MISSING")</f>
        <v>Cardiopulmonary Technologists</v>
      </c>
    </row>
    <row r="187">
      <c r="A187" s="121" t="s">
        <v>2488</v>
      </c>
      <c r="B187" s="121">
        <v>3215.0</v>
      </c>
      <c r="C187" s="121" t="s">
        <v>1153</v>
      </c>
      <c r="D187" s="122" t="s">
        <v>2489</v>
      </c>
      <c r="E187" s="121" t="s">
        <v>2053</v>
      </c>
      <c r="F187" s="121" t="s">
        <v>2053</v>
      </c>
      <c r="G187" s="35">
        <f t="shared" si="1"/>
        <v>3215</v>
      </c>
      <c r="I187" s="35" t="str">
        <f>iFERROR(vlookup(G187,Masters!C$6:D1000,2, fALSE),"MISSING")</f>
        <v>Radiation Therapists</v>
      </c>
    </row>
    <row r="188">
      <c r="A188" s="121" t="s">
        <v>2490</v>
      </c>
      <c r="B188" s="121">
        <v>3216.0</v>
      </c>
      <c r="C188" s="121" t="s">
        <v>1136</v>
      </c>
      <c r="D188" s="122" t="s">
        <v>2491</v>
      </c>
      <c r="E188" s="121" t="s">
        <v>2492</v>
      </c>
      <c r="F188" s="121" t="s">
        <v>2053</v>
      </c>
      <c r="G188" s="35">
        <f t="shared" si="1"/>
        <v>3216</v>
      </c>
      <c r="I188" s="35" t="str">
        <f>iFERROR(vlookup(G188,Masters!C$6:D1000,2, fALSE),"MISSING")</f>
        <v>Medical Sonographers</v>
      </c>
    </row>
    <row r="189">
      <c r="A189" s="121" t="s">
        <v>2493</v>
      </c>
      <c r="B189" s="121">
        <v>3217.0</v>
      </c>
      <c r="C189" s="121" t="s">
        <v>116</v>
      </c>
      <c r="D189" s="122" t="s">
        <v>2494</v>
      </c>
      <c r="E189" s="121" t="s">
        <v>2053</v>
      </c>
      <c r="F189" s="121" t="s">
        <v>2053</v>
      </c>
      <c r="G189" s="35">
        <f t="shared" si="1"/>
        <v>3217</v>
      </c>
      <c r="I189" s="35" t="str">
        <f>iFERROR(vlookup(G189,Masters!C$6:D1000,2, fALSE),"MISSING")</f>
        <v>Cardiology Technologists</v>
      </c>
    </row>
    <row r="190">
      <c r="A190" s="121" t="s">
        <v>2495</v>
      </c>
      <c r="B190" s="121">
        <v>3219.0</v>
      </c>
      <c r="C190" s="121" t="s">
        <v>1145</v>
      </c>
      <c r="D190" s="122" t="s">
        <v>2496</v>
      </c>
      <c r="E190" s="121" t="s">
        <v>2053</v>
      </c>
      <c r="F190" s="121" t="s">
        <v>2053</v>
      </c>
      <c r="G190" s="35">
        <f t="shared" si="1"/>
        <v>3219</v>
      </c>
      <c r="I190" s="35" t="str">
        <f>iFERROR(vlookup(G190,Masters!C$6:D1000,2, fALSE),"MISSING")</f>
        <v>Ocularists</v>
      </c>
    </row>
    <row r="191">
      <c r="A191" s="121" t="s">
        <v>2497</v>
      </c>
      <c r="B191" s="121">
        <v>3221.0</v>
      </c>
      <c r="C191" s="121" t="s">
        <v>125</v>
      </c>
      <c r="D191" s="122" t="s">
        <v>2498</v>
      </c>
      <c r="E191" s="121" t="s">
        <v>2053</v>
      </c>
      <c r="F191" s="121" t="s">
        <v>2053</v>
      </c>
      <c r="G191" s="35">
        <f t="shared" si="1"/>
        <v>3221</v>
      </c>
      <c r="I191" s="35" t="str">
        <f>iFERROR(vlookup(G191,Masters!C$6:D1000,2, fALSE),"MISSING")</f>
        <v>Denturists</v>
      </c>
    </row>
    <row r="192">
      <c r="A192" s="121" t="s">
        <v>2499</v>
      </c>
      <c r="B192" s="121">
        <v>3222.0</v>
      </c>
      <c r="C192" s="121" t="s">
        <v>1101</v>
      </c>
      <c r="D192" s="122" t="s">
        <v>2500</v>
      </c>
      <c r="E192" s="121" t="s">
        <v>2501</v>
      </c>
      <c r="F192" s="121" t="s">
        <v>2053</v>
      </c>
      <c r="G192" s="35">
        <f t="shared" si="1"/>
        <v>3222</v>
      </c>
      <c r="I192" s="35" t="str">
        <f>iFERROR(vlookup(G192,Masters!C$6:D1000,2, fALSE),"MISSING")</f>
        <v>Dental Hygienists</v>
      </c>
    </row>
    <row r="193">
      <c r="A193" s="121" t="s">
        <v>2502</v>
      </c>
      <c r="B193" s="121">
        <v>3223.0</v>
      </c>
      <c r="C193" s="121" t="s">
        <v>123</v>
      </c>
      <c r="D193" s="122" t="s">
        <v>2503</v>
      </c>
      <c r="E193" s="121" t="s">
        <v>2053</v>
      </c>
      <c r="F193" s="121" t="s">
        <v>2053</v>
      </c>
      <c r="G193" s="35">
        <f t="shared" si="1"/>
        <v>3223</v>
      </c>
      <c r="I193" s="35" t="str">
        <f>iFERROR(vlookup(G193,Masters!C$6:D1000,2, fALSE),"MISSING")</f>
        <v>Dental Laboratory Bench Workers</v>
      </c>
    </row>
    <row r="194">
      <c r="A194" s="121" t="s">
        <v>2504</v>
      </c>
      <c r="B194" s="121">
        <v>3231.0</v>
      </c>
      <c r="C194" s="121" t="s">
        <v>656</v>
      </c>
      <c r="D194" s="122" t="s">
        <v>2505</v>
      </c>
      <c r="E194" s="121" t="s">
        <v>2506</v>
      </c>
      <c r="F194" s="121" t="s">
        <v>2053</v>
      </c>
      <c r="G194" s="35">
        <f t="shared" si="1"/>
        <v>3231</v>
      </c>
      <c r="I194" s="35" t="str">
        <f>iFERROR(vlookup(G194,Masters!C$6:D1000,2, fALSE),"MISSING")</f>
        <v>Opticians</v>
      </c>
    </row>
    <row r="195">
      <c r="A195" s="121" t="s">
        <v>2507</v>
      </c>
      <c r="B195" s="121">
        <v>3232.0</v>
      </c>
      <c r="C195" s="121" t="s">
        <v>1163</v>
      </c>
      <c r="D195" s="122" t="s">
        <v>2508</v>
      </c>
      <c r="E195" s="121" t="s">
        <v>2053</v>
      </c>
      <c r="F195" s="121" t="s">
        <v>2053</v>
      </c>
      <c r="G195" s="35">
        <f t="shared" si="1"/>
        <v>3232</v>
      </c>
      <c r="I195" s="35" t="str">
        <f>iFERROR(vlookup(G195,Masters!C$6:D1000,2, fALSE),"MISSING")</f>
        <v>Acupuncturists</v>
      </c>
    </row>
    <row r="196">
      <c r="A196" s="121" t="s">
        <v>2509</v>
      </c>
      <c r="B196" s="121">
        <v>3233.0</v>
      </c>
      <c r="C196" s="121" t="s">
        <v>1125</v>
      </c>
      <c r="D196" s="122" t="s">
        <v>2510</v>
      </c>
      <c r="E196" s="121" t="s">
        <v>2511</v>
      </c>
      <c r="F196" s="121" t="s">
        <v>2053</v>
      </c>
      <c r="G196" s="35">
        <f t="shared" si="1"/>
        <v>3233</v>
      </c>
      <c r="I196" s="35" t="str">
        <f>iFERROR(vlookup(G196,Masters!C$6:D1000,2, fALSE),"MISSING")</f>
        <v>Licensed Practical Nurses</v>
      </c>
    </row>
    <row r="197">
      <c r="A197" s="121" t="s">
        <v>2512</v>
      </c>
      <c r="B197" s="121">
        <v>3234.0</v>
      </c>
      <c r="C197" s="121" t="s">
        <v>1166</v>
      </c>
      <c r="D197" s="122" t="s">
        <v>2513</v>
      </c>
      <c r="E197" s="121" t="s">
        <v>2514</v>
      </c>
      <c r="F197" s="121" t="s">
        <v>2053</v>
      </c>
      <c r="G197" s="35">
        <f t="shared" si="1"/>
        <v>3234</v>
      </c>
      <c r="I197" s="35" t="str">
        <f>iFERROR(vlookup(G197,Masters!C$6:D1000,2, fALSE),"MISSING")</f>
        <v>Ambulance Attendants and Other Paramedical Occupations</v>
      </c>
    </row>
    <row r="198">
      <c r="A198" s="121" t="s">
        <v>2515</v>
      </c>
      <c r="B198" s="121">
        <v>3236.0</v>
      </c>
      <c r="C198" s="121" t="s">
        <v>1339</v>
      </c>
      <c r="D198" s="122" t="s">
        <v>2516</v>
      </c>
      <c r="E198" s="121" t="s">
        <v>2517</v>
      </c>
      <c r="F198" s="121" t="s">
        <v>2053</v>
      </c>
      <c r="G198" s="35">
        <f t="shared" si="1"/>
        <v>3236</v>
      </c>
      <c r="I198" s="35" t="str">
        <f>iFERROR(vlookup(G198,Masters!C$6:D1000,2, fALSE),"MISSING")</f>
        <v>Massage Therapists</v>
      </c>
    </row>
    <row r="199">
      <c r="A199" s="121" t="s">
        <v>2518</v>
      </c>
      <c r="B199" s="121">
        <v>3237.0</v>
      </c>
      <c r="C199" s="121" t="s">
        <v>1146</v>
      </c>
      <c r="D199" s="122" t="s">
        <v>2519</v>
      </c>
      <c r="E199" s="121" t="s">
        <v>2053</v>
      </c>
      <c r="F199" s="121" t="s">
        <v>2053</v>
      </c>
      <c r="G199" s="35">
        <f t="shared" si="1"/>
        <v>3237</v>
      </c>
      <c r="I199" s="35" t="str">
        <f>iFERROR(vlookup(G199,Masters!C$6:D1000,2, fALSE),"MISSING")</f>
        <v>Ophthalmic Medical Assistants</v>
      </c>
    </row>
    <row r="200">
      <c r="A200" s="121" t="s">
        <v>2520</v>
      </c>
      <c r="B200" s="121">
        <v>3411.0</v>
      </c>
      <c r="C200" s="121" t="s">
        <v>1326</v>
      </c>
      <c r="D200" s="122" t="s">
        <v>2521</v>
      </c>
      <c r="E200" s="121" t="s">
        <v>2522</v>
      </c>
      <c r="F200" s="121" t="s">
        <v>2053</v>
      </c>
      <c r="G200" s="35">
        <f t="shared" si="1"/>
        <v>3411</v>
      </c>
      <c r="I200" s="35" t="str">
        <f>iFERROR(vlookup(G200,Masters!C$6:D1000,2, fALSE),"MISSING")</f>
        <v>Dental Assistants</v>
      </c>
    </row>
    <row r="201">
      <c r="A201" s="121" t="s">
        <v>2523</v>
      </c>
      <c r="B201" s="121">
        <v>3413.0</v>
      </c>
      <c r="C201" s="121" t="s">
        <v>1401</v>
      </c>
      <c r="D201" s="122" t="s">
        <v>2524</v>
      </c>
      <c r="E201" s="121" t="s">
        <v>2525</v>
      </c>
      <c r="F201" s="121" t="s">
        <v>2053</v>
      </c>
      <c r="G201" s="35">
        <f t="shared" si="1"/>
        <v>3413</v>
      </c>
      <c r="I201" s="35" t="str">
        <f>iFERROR(vlookup(G201,Masters!C$6:D1000,2, fALSE),"MISSING")</f>
        <v>Nurse Aides, Orderlies and Patient Service Associates</v>
      </c>
    </row>
    <row r="202">
      <c r="A202" s="121" t="s">
        <v>2526</v>
      </c>
      <c r="B202" s="121">
        <v>3414.0</v>
      </c>
      <c r="C202" s="121" t="s">
        <v>1150</v>
      </c>
      <c r="D202" s="122" t="s">
        <v>2527</v>
      </c>
      <c r="E202" s="121" t="s">
        <v>2053</v>
      </c>
      <c r="F202" s="121" t="s">
        <v>2053</v>
      </c>
      <c r="G202" s="35">
        <f t="shared" si="1"/>
        <v>3414</v>
      </c>
      <c r="I202" s="35" t="str">
        <f>iFERROR(vlookup(G202,Masters!C$6:D1000,2, fALSE),"MISSING")</f>
        <v>Pharmacy Assistants</v>
      </c>
    </row>
    <row r="203">
      <c r="A203" s="121" t="s">
        <v>2528</v>
      </c>
      <c r="B203" s="121">
        <v>4011.0</v>
      </c>
      <c r="C203" s="121" t="s">
        <v>1499</v>
      </c>
      <c r="D203" s="122" t="s">
        <v>2529</v>
      </c>
      <c r="E203" s="121" t="e">
        <v>#NAME?</v>
      </c>
      <c r="F203" s="121" t="s">
        <v>2053</v>
      </c>
      <c r="G203" s="35">
        <f t="shared" si="1"/>
        <v>4011</v>
      </c>
      <c r="I203" s="35" t="str">
        <f>iFERROR(vlookup(G203,Masters!C$6:D1000,2, fALSE),"MISSING")</f>
        <v>University Professors</v>
      </c>
    </row>
    <row r="204">
      <c r="A204" s="121" t="s">
        <v>2530</v>
      </c>
      <c r="B204" s="121">
        <v>4012.0</v>
      </c>
      <c r="C204" s="121" t="s">
        <v>1406</v>
      </c>
      <c r="D204" s="122" t="s">
        <v>2531</v>
      </c>
      <c r="E204" s="121" t="s">
        <v>2053</v>
      </c>
      <c r="F204" s="121" t="s">
        <v>2053</v>
      </c>
      <c r="G204" s="35">
        <f t="shared" si="1"/>
        <v>4012</v>
      </c>
      <c r="I204" s="35" t="str">
        <f>iFERROR(vlookup(G204,Masters!C$6:D1000,2, fALSE),"MISSING")</f>
        <v>Post-Secondary Research Assistants</v>
      </c>
    </row>
    <row r="205">
      <c r="A205" s="121" t="s">
        <v>2532</v>
      </c>
      <c r="B205" s="121">
        <v>4021.0</v>
      </c>
      <c r="C205" s="121" t="s">
        <v>1380</v>
      </c>
      <c r="D205" s="122" t="s">
        <v>2533</v>
      </c>
      <c r="E205" s="121" t="s">
        <v>2534</v>
      </c>
      <c r="F205" s="121" t="s">
        <v>2053</v>
      </c>
      <c r="G205" s="35">
        <f t="shared" si="1"/>
        <v>4021</v>
      </c>
      <c r="I205" s="35" t="str">
        <f>iFERROR(vlookup(G205,Masters!C$6:D1000,2, fALSE),"MISSING")</f>
        <v>College and Other Vocational Instructors</v>
      </c>
    </row>
    <row r="206">
      <c r="A206" s="121" t="s">
        <v>2535</v>
      </c>
      <c r="B206" s="121">
        <v>4031.0</v>
      </c>
      <c r="C206" s="121" t="s">
        <v>1453</v>
      </c>
      <c r="D206" s="122" t="s">
        <v>2536</v>
      </c>
      <c r="E206" s="121" t="s">
        <v>2053</v>
      </c>
      <c r="F206" s="121" t="s">
        <v>2053</v>
      </c>
      <c r="G206" s="35">
        <f t="shared" si="1"/>
        <v>4031</v>
      </c>
      <c r="I206" s="35" t="str">
        <f>iFERROR(vlookup(G206,Masters!C$6:D1000,2, fALSE),"MISSING")</f>
        <v>Secondary School Teachers</v>
      </c>
    </row>
    <row r="207">
      <c r="A207" s="121" t="s">
        <v>2537</v>
      </c>
      <c r="B207" s="121">
        <v>4032.0</v>
      </c>
      <c r="C207" s="121" t="s">
        <v>1237</v>
      </c>
      <c r="D207" s="122" t="s">
        <v>2538</v>
      </c>
      <c r="E207" s="121" t="s">
        <v>2053</v>
      </c>
      <c r="F207" s="121" t="s">
        <v>2053</v>
      </c>
      <c r="G207" s="35">
        <f t="shared" si="1"/>
        <v>4032</v>
      </c>
      <c r="I207" s="35" t="str">
        <f>iFERROR(vlookup(G207,Masters!C$6:D1000,2, fALSE),"MISSING")</f>
        <v>Elementary School and Kindergarten Teachers</v>
      </c>
    </row>
    <row r="208">
      <c r="A208" s="121" t="s">
        <v>2539</v>
      </c>
      <c r="B208" s="121">
        <v>4033.0</v>
      </c>
      <c r="C208" s="121" t="s">
        <v>1475</v>
      </c>
      <c r="D208" s="122" t="s">
        <v>2540</v>
      </c>
      <c r="E208" s="121" t="s">
        <v>2053</v>
      </c>
      <c r="F208" s="121" t="s">
        <v>2053</v>
      </c>
      <c r="G208" s="35">
        <f t="shared" si="1"/>
        <v>4033</v>
      </c>
      <c r="I208" s="35" t="str">
        <f>iFERROR(vlookup(G208,Masters!C$6:D1000,2, fALSE),"MISSING")</f>
        <v>Educational Counsellors</v>
      </c>
    </row>
    <row r="209">
      <c r="A209" s="121" t="s">
        <v>2541</v>
      </c>
      <c r="B209" s="121">
        <v>4111.0</v>
      </c>
      <c r="C209" s="121" t="s">
        <v>1070</v>
      </c>
      <c r="D209" s="122" t="s">
        <v>2542</v>
      </c>
      <c r="E209" s="121" t="s">
        <v>2053</v>
      </c>
      <c r="F209" s="121" t="s">
        <v>2053</v>
      </c>
      <c r="G209" s="35">
        <f t="shared" si="1"/>
        <v>4111</v>
      </c>
      <c r="I209" s="35" t="str">
        <f>iFERROR(vlookup(G209,Masters!C$6:D1000,2, fALSE),"MISSING")</f>
        <v>Judges</v>
      </c>
    </row>
    <row r="210">
      <c r="A210" s="121" t="s">
        <v>2543</v>
      </c>
      <c r="B210" s="121">
        <v>4112.0</v>
      </c>
      <c r="C210" s="121" t="s">
        <v>1512</v>
      </c>
      <c r="D210" s="122" t="s">
        <v>2544</v>
      </c>
      <c r="E210" s="121" t="s">
        <v>2545</v>
      </c>
      <c r="F210" s="121" t="s">
        <v>2053</v>
      </c>
      <c r="G210" s="35">
        <f t="shared" si="1"/>
        <v>4112</v>
      </c>
      <c r="I210" s="35" t="str">
        <f>iFERROR(vlookup(G210,Masters!C$6:D1000,2, fALSE),"MISSING")</f>
        <v>Lawyers and Quebec Notaries</v>
      </c>
    </row>
    <row r="211">
      <c r="A211" s="121" t="s">
        <v>2546</v>
      </c>
      <c r="B211" s="121">
        <v>4151.0</v>
      </c>
      <c r="C211" s="121" t="s">
        <v>1048</v>
      </c>
      <c r="D211" s="122" t="s">
        <v>2547</v>
      </c>
      <c r="E211" s="121" t="s">
        <v>2548</v>
      </c>
      <c r="F211" s="121" t="s">
        <v>2053</v>
      </c>
      <c r="G211" s="35">
        <f t="shared" si="1"/>
        <v>4151</v>
      </c>
      <c r="I211" s="35" t="str">
        <f>iFERROR(vlookup(G211,Masters!C$6:D1000,2, fALSE),"MISSING")</f>
        <v>Psychologists</v>
      </c>
    </row>
    <row r="212">
      <c r="A212" s="121" t="s">
        <v>2549</v>
      </c>
      <c r="B212" s="121">
        <v>4152.0</v>
      </c>
      <c r="C212" s="121" t="s">
        <v>1455</v>
      </c>
      <c r="D212" s="122" t="s">
        <v>2550</v>
      </c>
      <c r="E212" s="121" t="s">
        <v>2551</v>
      </c>
      <c r="F212" s="121" t="s">
        <v>2053</v>
      </c>
      <c r="G212" s="35">
        <f t="shared" si="1"/>
        <v>4152</v>
      </c>
      <c r="I212" s="35" t="str">
        <f>iFERROR(vlookup(G212,Masters!C$6:D1000,2, fALSE),"MISSING")</f>
        <v>Social Workers</v>
      </c>
    </row>
    <row r="213">
      <c r="A213" s="121" t="s">
        <v>2552</v>
      </c>
      <c r="B213" s="121">
        <v>4153.0</v>
      </c>
      <c r="C213" s="121" t="s">
        <v>1477</v>
      </c>
      <c r="D213" s="122" t="s">
        <v>2553</v>
      </c>
      <c r="E213" s="121" t="s">
        <v>2554</v>
      </c>
      <c r="F213" s="121" t="s">
        <v>2053</v>
      </c>
      <c r="G213" s="35">
        <f t="shared" si="1"/>
        <v>4153</v>
      </c>
      <c r="I213" s="35" t="str">
        <f>iFERROR(vlookup(G213,Masters!C$6:D1000,2, fALSE),"MISSING")</f>
        <v>Family, Marriage and Other Related Counsellors</v>
      </c>
    </row>
    <row r="214">
      <c r="A214" s="121" t="s">
        <v>2555</v>
      </c>
      <c r="B214" s="121">
        <v>4154.0</v>
      </c>
      <c r="C214" s="121" t="s">
        <v>1490</v>
      </c>
      <c r="D214" s="122" t="s">
        <v>2556</v>
      </c>
      <c r="E214" s="121" t="s">
        <v>2053</v>
      </c>
      <c r="F214" s="121" t="s">
        <v>2053</v>
      </c>
      <c r="G214" s="35">
        <f t="shared" si="1"/>
        <v>4154</v>
      </c>
      <c r="I214" s="35" t="str">
        <f>iFERROR(vlookup(G214,Masters!C$6:D1000,2, fALSE),"MISSING")</f>
        <v>Ministers of Religion</v>
      </c>
    </row>
    <row r="215">
      <c r="A215" s="121" t="s">
        <v>2557</v>
      </c>
      <c r="B215" s="121">
        <v>4155.0</v>
      </c>
      <c r="C215" s="121" t="s">
        <v>1222</v>
      </c>
      <c r="D215" s="122" t="s">
        <v>2558</v>
      </c>
      <c r="E215" s="121" t="s">
        <v>2053</v>
      </c>
      <c r="F215" s="121" t="s">
        <v>2053</v>
      </c>
      <c r="G215" s="35">
        <f t="shared" si="1"/>
        <v>4155</v>
      </c>
      <c r="I215" s="35" t="str">
        <f>iFERROR(vlookup(G215,Masters!C$6:D1000,2, fALSE),"MISSING")</f>
        <v>Classification Officers, Correctional Institutions</v>
      </c>
    </row>
    <row r="216">
      <c r="A216" s="121" t="s">
        <v>2559</v>
      </c>
      <c r="B216" s="121">
        <v>4156.0</v>
      </c>
      <c r="C216" s="121" t="s">
        <v>1476</v>
      </c>
      <c r="D216" s="122" t="s">
        <v>2560</v>
      </c>
      <c r="E216" s="121" t="s">
        <v>2561</v>
      </c>
      <c r="F216" s="121" t="s">
        <v>2053</v>
      </c>
      <c r="G216" s="35">
        <f t="shared" si="1"/>
        <v>4156</v>
      </c>
      <c r="I216" s="35" t="str">
        <f>iFERROR(vlookup(G216,Masters!C$6:D1000,2, fALSE),"MISSING")</f>
        <v>Employment Counsellors</v>
      </c>
    </row>
    <row r="217">
      <c r="A217" s="121" t="s">
        <v>2562</v>
      </c>
      <c r="B217" s="121">
        <v>4161.0</v>
      </c>
      <c r="C217" s="121" t="s">
        <v>1184</v>
      </c>
      <c r="D217" s="122" t="s">
        <v>2563</v>
      </c>
      <c r="E217" s="121" t="s">
        <v>2564</v>
      </c>
      <c r="F217" s="121" t="s">
        <v>2053</v>
      </c>
      <c r="G217" s="35">
        <f t="shared" si="1"/>
        <v>4161</v>
      </c>
      <c r="I217" s="35" t="str">
        <f>iFERROR(vlookup(G217,Masters!C$6:D1000,2, fALSE),"MISSING")</f>
        <v>Occupational/Industrial Hygienists</v>
      </c>
    </row>
    <row r="218">
      <c r="A218" s="121" t="s">
        <v>2565</v>
      </c>
      <c r="B218" s="121">
        <v>4162.0</v>
      </c>
      <c r="C218" s="121" t="s">
        <v>1522</v>
      </c>
      <c r="D218" s="122" t="s">
        <v>2566</v>
      </c>
      <c r="E218" s="121" t="s">
        <v>2567</v>
      </c>
      <c r="F218" s="121" t="s">
        <v>2053</v>
      </c>
      <c r="G218" s="35">
        <f t="shared" si="1"/>
        <v>4162</v>
      </c>
      <c r="I218" s="35" t="str">
        <f>iFERROR(vlookup(G218,Masters!C$6:D1000,2, fALSE),"MISSING")</f>
        <v>Economists and Economic Policy Researchers and Analysts</v>
      </c>
    </row>
    <row r="219">
      <c r="A219" s="121" t="s">
        <v>2568</v>
      </c>
      <c r="B219" s="121">
        <v>4163.0</v>
      </c>
      <c r="C219" s="121" t="s">
        <v>1470</v>
      </c>
      <c r="D219" s="122" t="s">
        <v>2569</v>
      </c>
      <c r="E219" s="121" t="s">
        <v>2053</v>
      </c>
      <c r="F219" s="121" t="s">
        <v>2053</v>
      </c>
      <c r="G219" s="35">
        <f t="shared" si="1"/>
        <v>4163</v>
      </c>
      <c r="I219" s="35" t="str">
        <f>iFERROR(vlookup(G219,Masters!C$6:D1000,2, fALSE),"MISSING")</f>
        <v>Business Development Officers and Marketing Researchers and Consultants</v>
      </c>
    </row>
    <row r="220">
      <c r="A220" s="121" t="s">
        <v>2570</v>
      </c>
      <c r="B220" s="121">
        <v>4164.0</v>
      </c>
      <c r="C220" s="121" t="s">
        <v>1170</v>
      </c>
      <c r="D220" s="122" t="s">
        <v>2571</v>
      </c>
      <c r="E220" s="121" t="s">
        <v>2572</v>
      </c>
      <c r="F220" s="121" t="s">
        <v>2053</v>
      </c>
      <c r="G220" s="35">
        <f t="shared" si="1"/>
        <v>4164</v>
      </c>
      <c r="I220" s="35" t="str">
        <f>iFERROR(vlookup(G220,Masters!C$6:D1000,2, fALSE),"MISSING")</f>
        <v>Home Economists</v>
      </c>
    </row>
    <row r="221">
      <c r="A221" s="121" t="s">
        <v>2573</v>
      </c>
      <c r="B221" s="121">
        <v>4165.0</v>
      </c>
      <c r="C221" s="121" t="s">
        <v>1252</v>
      </c>
      <c r="D221" s="122" t="s">
        <v>2574</v>
      </c>
      <c r="E221" s="121" t="s">
        <v>2575</v>
      </c>
      <c r="F221" s="121" t="s">
        <v>2053</v>
      </c>
      <c r="G221" s="35">
        <f t="shared" si="1"/>
        <v>4165</v>
      </c>
      <c r="I221" s="35" t="str">
        <f>iFERROR(vlookup(G221,Masters!C$6:D1000,2, fALSE),"MISSING")</f>
        <v>Health Policy Researchers, Consultants and Program Officers</v>
      </c>
    </row>
    <row r="222">
      <c r="A222" s="121" t="s">
        <v>2576</v>
      </c>
      <c r="B222" s="121">
        <v>4166.0</v>
      </c>
      <c r="C222" s="121" t="s">
        <v>1236</v>
      </c>
      <c r="D222" s="122" t="s">
        <v>2577</v>
      </c>
      <c r="E222" s="121" t="s">
        <v>2053</v>
      </c>
      <c r="F222" s="121" t="s">
        <v>2053</v>
      </c>
      <c r="G222" s="35">
        <f t="shared" si="1"/>
        <v>4166</v>
      </c>
      <c r="I222" s="35" t="str">
        <f>iFERROR(vlookup(G222,Masters!C$6:D1000,2, fALSE),"MISSING")</f>
        <v>Education Policy Researchers, Consultants and Program Officers</v>
      </c>
    </row>
    <row r="223">
      <c r="A223" s="121" t="s">
        <v>2578</v>
      </c>
      <c r="B223" s="121">
        <v>4167.0</v>
      </c>
      <c r="C223" s="121" t="s">
        <v>1197</v>
      </c>
      <c r="D223" s="122" t="s">
        <v>2579</v>
      </c>
      <c r="E223" s="121" t="s">
        <v>2053</v>
      </c>
      <c r="F223" s="121" t="s">
        <v>2053</v>
      </c>
      <c r="G223" s="35">
        <f t="shared" si="1"/>
        <v>4167</v>
      </c>
      <c r="I223" s="35" t="str">
        <f>iFERROR(vlookup(G223,Masters!C$6:D1000,2, fALSE),"MISSING")</f>
        <v>Recreation Consultants</v>
      </c>
    </row>
    <row r="224">
      <c r="A224" s="121" t="s">
        <v>2580</v>
      </c>
      <c r="B224" s="121">
        <v>4168.0</v>
      </c>
      <c r="C224" s="121" t="s">
        <v>1445</v>
      </c>
      <c r="D224" s="122" t="s">
        <v>2581</v>
      </c>
      <c r="E224" s="121" t="s">
        <v>2053</v>
      </c>
      <c r="F224" s="121" t="s">
        <v>2053</v>
      </c>
      <c r="G224" s="35">
        <f t="shared" si="1"/>
        <v>4168</v>
      </c>
      <c r="I224" s="35" t="str">
        <f>iFERROR(vlookup(G224,Masters!C$6:D1000,2, fALSE),"MISSING")</f>
        <v>Program Officers Unique to Government</v>
      </c>
    </row>
    <row r="225">
      <c r="A225" s="121" t="s">
        <v>2582</v>
      </c>
      <c r="B225" s="121">
        <v>4169.0</v>
      </c>
      <c r="C225" s="121" t="s">
        <v>1504</v>
      </c>
      <c r="D225" s="122" t="s">
        <v>2583</v>
      </c>
      <c r="E225" s="121" t="s">
        <v>2053</v>
      </c>
      <c r="F225" s="121" t="s">
        <v>2053</v>
      </c>
      <c r="G225" s="35">
        <f t="shared" si="1"/>
        <v>4169</v>
      </c>
      <c r="I225" s="35" t="str">
        <f>iFERROR(vlookup(G225,Masters!C$6:D1000,2, fALSE),"MISSING")</f>
        <v>Anthropologists</v>
      </c>
    </row>
    <row r="226">
      <c r="A226" s="121" t="s">
        <v>2584</v>
      </c>
      <c r="B226" s="121">
        <v>4211.0</v>
      </c>
      <c r="C226" s="121" t="s">
        <v>1432</v>
      </c>
      <c r="D226" s="122" t="s">
        <v>2585</v>
      </c>
      <c r="E226" s="121" t="s">
        <v>2586</v>
      </c>
      <c r="F226" s="121" t="s">
        <v>2053</v>
      </c>
      <c r="G226" s="35">
        <f t="shared" si="1"/>
        <v>4211</v>
      </c>
      <c r="I226" s="35" t="str">
        <f>iFERROR(vlookup(G226,Masters!C$6:D1000,2, fALSE),"MISSING")</f>
        <v>Legal Assistants and Paralegals</v>
      </c>
    </row>
    <row r="227">
      <c r="A227" s="121" t="s">
        <v>2587</v>
      </c>
      <c r="B227" s="121">
        <v>4212.0</v>
      </c>
      <c r="C227" s="121" t="s">
        <v>1224</v>
      </c>
      <c r="D227" s="122" t="s">
        <v>2588</v>
      </c>
      <c r="E227" s="121" t="s">
        <v>2589</v>
      </c>
      <c r="F227" s="121" t="s">
        <v>2053</v>
      </c>
      <c r="G227" s="35">
        <f t="shared" si="1"/>
        <v>4212</v>
      </c>
      <c r="I227" s="35" t="str">
        <f>iFERROR(vlookup(G227,Masters!C$6:D1000,2, fALSE),"MISSING")</f>
        <v>Community and Social Service Workers</v>
      </c>
    </row>
    <row r="228">
      <c r="A228" s="121" t="s">
        <v>2590</v>
      </c>
      <c r="B228" s="121">
        <v>4214.0</v>
      </c>
      <c r="C228" s="121" t="s">
        <v>1235</v>
      </c>
      <c r="D228" s="122" t="s">
        <v>2591</v>
      </c>
      <c r="E228" s="121" t="e">
        <v>#NAME?</v>
      </c>
      <c r="F228" s="121" t="s">
        <v>2053</v>
      </c>
      <c r="G228" s="35">
        <f t="shared" si="1"/>
        <v>4214</v>
      </c>
      <c r="I228" s="35" t="str">
        <f>iFERROR(vlookup(G228,Masters!C$6:D1000,2, fALSE),"MISSING")</f>
        <v>Early Childhood Educator Assistants</v>
      </c>
    </row>
    <row r="229">
      <c r="A229" s="121" t="s">
        <v>2592</v>
      </c>
      <c r="B229" s="121">
        <v>4215.0</v>
      </c>
      <c r="C229" s="121" t="s">
        <v>1332</v>
      </c>
      <c r="D229" s="122" t="s">
        <v>2593</v>
      </c>
      <c r="E229" s="121" t="s">
        <v>2053</v>
      </c>
      <c r="F229" s="121" t="s">
        <v>2053</v>
      </c>
      <c r="G229" s="35">
        <f t="shared" si="1"/>
        <v>4215</v>
      </c>
      <c r="I229" s="35" t="str">
        <f>iFERROR(vlookup(G229,Masters!C$6:D1000,2, fALSE),"MISSING")</f>
        <v>Instructors and Teachers of Persons with Disabilities</v>
      </c>
    </row>
    <row r="230">
      <c r="A230" s="121" t="s">
        <v>2594</v>
      </c>
      <c r="B230" s="121">
        <v>4216.0</v>
      </c>
      <c r="C230" s="121" t="s">
        <v>1285</v>
      </c>
      <c r="D230" s="122" t="s">
        <v>2595</v>
      </c>
      <c r="E230" s="121" t="s">
        <v>2053</v>
      </c>
      <c r="F230" s="121" t="s">
        <v>2053</v>
      </c>
      <c r="G230" s="35">
        <f t="shared" si="1"/>
        <v>4216</v>
      </c>
      <c r="I230" s="35" t="str">
        <f>iFERROR(vlookup(G230,Masters!C$6:D1000,2, fALSE),"MISSING")</f>
        <v>Sewing Instructors</v>
      </c>
    </row>
    <row r="231">
      <c r="A231" s="121" t="s">
        <v>2596</v>
      </c>
      <c r="B231" s="121">
        <v>4217.0</v>
      </c>
      <c r="C231" s="121" t="s">
        <v>1494</v>
      </c>
      <c r="D231" s="122" t="s">
        <v>2597</v>
      </c>
      <c r="E231" s="121" t="s">
        <v>2053</v>
      </c>
      <c r="F231" s="121" t="s">
        <v>2053</v>
      </c>
      <c r="G231" s="35">
        <f t="shared" si="1"/>
        <v>4217</v>
      </c>
      <c r="I231" s="35" t="str">
        <f>iFERROR(vlookup(G231,Masters!C$6:D1000,2, fALSE),"MISSING")</f>
        <v>Other Religious Occupations</v>
      </c>
    </row>
    <row r="232">
      <c r="A232" s="121" t="s">
        <v>2598</v>
      </c>
      <c r="B232" s="121">
        <v>4311.0</v>
      </c>
      <c r="C232" s="121" t="s">
        <v>1352</v>
      </c>
      <c r="D232" s="122" t="s">
        <v>2599</v>
      </c>
      <c r="E232" s="121" t="s">
        <v>2600</v>
      </c>
      <c r="F232" s="121" t="s">
        <v>2053</v>
      </c>
      <c r="G232" s="35">
        <f t="shared" si="1"/>
        <v>4311</v>
      </c>
      <c r="I232" s="35" t="str">
        <f>iFERROR(vlookup(G232,Masters!C$6:D1000,2, fALSE),"MISSING")</f>
        <v>Police Officers (Except Commissioned)</v>
      </c>
    </row>
    <row r="233">
      <c r="A233" s="121" t="s">
        <v>2601</v>
      </c>
      <c r="B233" s="121">
        <v>4312.0</v>
      </c>
      <c r="C233" s="121" t="s">
        <v>612</v>
      </c>
      <c r="D233" s="122" t="s">
        <v>2602</v>
      </c>
      <c r="E233" s="121" t="s">
        <v>2603</v>
      </c>
      <c r="F233" s="121" t="s">
        <v>2053</v>
      </c>
      <c r="G233" s="35">
        <f t="shared" si="1"/>
        <v>4312</v>
      </c>
      <c r="I233" s="35" t="str">
        <f>iFERROR(vlookup(G233,Masters!C$6:D1000,2, fALSE),"MISSING")</f>
        <v>Firefighters</v>
      </c>
    </row>
    <row r="234">
      <c r="A234" s="121" t="s">
        <v>2604</v>
      </c>
      <c r="B234" s="121">
        <v>4313.0</v>
      </c>
      <c r="C234" s="121" t="s">
        <v>1309</v>
      </c>
      <c r="D234" s="122" t="s">
        <v>2605</v>
      </c>
      <c r="E234" s="121" t="s">
        <v>2053</v>
      </c>
      <c r="F234" s="121" t="s">
        <v>2053</v>
      </c>
      <c r="G234" s="35">
        <f t="shared" si="1"/>
        <v>4313</v>
      </c>
      <c r="I234" s="35" t="str">
        <f>iFERROR(vlookup(G234,Masters!C$6:D1000,2, fALSE),"MISSING")</f>
        <v>Occupations Unique to the Armed Forces</v>
      </c>
    </row>
    <row r="235">
      <c r="A235" s="121" t="s">
        <v>2606</v>
      </c>
      <c r="B235" s="121">
        <v>4411.0</v>
      </c>
      <c r="C235" s="121" t="s">
        <v>1214</v>
      </c>
      <c r="D235" s="122" t="s">
        <v>2607</v>
      </c>
      <c r="E235" s="121" t="s">
        <v>2608</v>
      </c>
      <c r="F235" s="121" t="s">
        <v>2053</v>
      </c>
      <c r="G235" s="35">
        <f t="shared" si="1"/>
        <v>4411</v>
      </c>
      <c r="I235" s="35" t="str">
        <f>iFERROR(vlookup(G235,Masters!C$6:D1000,2, fALSE),"MISSING")</f>
        <v>Babysitters</v>
      </c>
    </row>
    <row r="236">
      <c r="A236" s="121" t="s">
        <v>2609</v>
      </c>
      <c r="B236" s="121">
        <v>4412.0</v>
      </c>
      <c r="C236" s="121" t="s">
        <v>1225</v>
      </c>
      <c r="D236" s="122" t="s">
        <v>2610</v>
      </c>
      <c r="E236" s="121" t="s">
        <v>2611</v>
      </c>
      <c r="F236" s="121" t="s">
        <v>2053</v>
      </c>
      <c r="G236" s="35">
        <f t="shared" si="1"/>
        <v>4412</v>
      </c>
      <c r="I236" s="35" t="str">
        <f>iFERROR(vlookup(G236,Masters!C$6:D1000,2, fALSE),"MISSING")</f>
        <v>Companions</v>
      </c>
    </row>
    <row r="237">
      <c r="A237" s="121" t="s">
        <v>2612</v>
      </c>
      <c r="B237" s="121">
        <v>4413.0</v>
      </c>
      <c r="C237" s="121" t="s">
        <v>112</v>
      </c>
      <c r="D237" s="122" t="s">
        <v>2613</v>
      </c>
      <c r="E237" s="121" t="s">
        <v>2614</v>
      </c>
      <c r="F237" s="121" t="s">
        <v>2053</v>
      </c>
      <c r="G237" s="35">
        <f t="shared" si="1"/>
        <v>4413</v>
      </c>
      <c r="I237" s="35" t="str">
        <f>iFERROR(vlookup(G237,Masters!C$6:D1000,2, fALSE),"MISSING")</f>
        <v>Elementary and Secondary School Teacher Assistants</v>
      </c>
    </row>
    <row r="238">
      <c r="A238" s="121" t="s">
        <v>2615</v>
      </c>
      <c r="B238" s="121">
        <v>4421.0</v>
      </c>
      <c r="C238" s="121" t="s">
        <v>1198</v>
      </c>
      <c r="D238" s="122" t="s">
        <v>2616</v>
      </c>
      <c r="E238" s="121" t="s">
        <v>2053</v>
      </c>
      <c r="F238" s="121" t="s">
        <v>2053</v>
      </c>
      <c r="G238" s="35">
        <f t="shared" si="1"/>
        <v>4421</v>
      </c>
      <c r="I238" s="35" t="str">
        <f>iFERROR(vlookup(G238,Masters!C$6:D1000,2, fALSE),"MISSING")</f>
        <v>Sheriffs and Bailiffs</v>
      </c>
    </row>
    <row r="239">
      <c r="A239" s="121" t="s">
        <v>2617</v>
      </c>
      <c r="B239" s="121">
        <v>4422.0</v>
      </c>
      <c r="C239" s="121" t="s">
        <v>1387</v>
      </c>
      <c r="D239" s="122" t="s">
        <v>2618</v>
      </c>
      <c r="E239" s="121" t="s">
        <v>2053</v>
      </c>
      <c r="F239" s="121" t="s">
        <v>2053</v>
      </c>
      <c r="G239" s="35">
        <f t="shared" si="1"/>
        <v>4422</v>
      </c>
      <c r="I239" s="35" t="str">
        <f>iFERROR(vlookup(G239,Masters!C$6:D1000,2, fALSE),"MISSING")</f>
        <v>Correctional Service Officers</v>
      </c>
    </row>
    <row r="240">
      <c r="A240" s="121" t="s">
        <v>2619</v>
      </c>
      <c r="B240" s="121">
        <v>4423.0</v>
      </c>
      <c r="C240" s="121" t="s">
        <v>1218</v>
      </c>
      <c r="D240" s="122" t="s">
        <v>2620</v>
      </c>
      <c r="E240" s="121" t="s">
        <v>2053</v>
      </c>
      <c r="F240" s="121" t="s">
        <v>2053</v>
      </c>
      <c r="G240" s="35">
        <f t="shared" si="1"/>
        <v>4423</v>
      </c>
      <c r="I240" s="35" t="str">
        <f>iFERROR(vlookup(G240,Masters!C$6:D1000,2, fALSE),"MISSING")</f>
        <v>By-law Enforcement Officers</v>
      </c>
    </row>
    <row r="241">
      <c r="A241" s="121" t="s">
        <v>2621</v>
      </c>
      <c r="B241" s="121">
        <v>5111.0</v>
      </c>
      <c r="C241" s="121" t="s">
        <v>859</v>
      </c>
      <c r="D241" s="122" t="s">
        <v>2622</v>
      </c>
      <c r="E241" s="121" t="s">
        <v>2623</v>
      </c>
      <c r="F241" s="121" t="s">
        <v>2053</v>
      </c>
      <c r="G241" s="35">
        <f t="shared" si="1"/>
        <v>5111</v>
      </c>
      <c r="I241" s="35" t="str">
        <f>iFERROR(vlookup(G241,Masters!C$6:D1000,2, fALSE),"MISSING")</f>
        <v>Librarians</v>
      </c>
    </row>
    <row r="242">
      <c r="A242" s="121" t="s">
        <v>2624</v>
      </c>
      <c r="B242" s="121">
        <v>5112.0</v>
      </c>
      <c r="C242" s="121" t="s">
        <v>1092</v>
      </c>
      <c r="D242" s="122" t="s">
        <v>2625</v>
      </c>
      <c r="E242" s="121" t="s">
        <v>2053</v>
      </c>
      <c r="F242" s="121" t="s">
        <v>2053</v>
      </c>
      <c r="G242" s="35">
        <f t="shared" si="1"/>
        <v>5112</v>
      </c>
      <c r="I242" s="35" t="str">
        <f>iFERROR(vlookup(G242,Masters!C$6:D1000,2, fALSE),"MISSING")</f>
        <v>Conservators</v>
      </c>
    </row>
    <row r="243">
      <c r="A243" s="121" t="s">
        <v>2626</v>
      </c>
      <c r="B243" s="121">
        <v>5113.0</v>
      </c>
      <c r="C243" s="121" t="s">
        <v>365</v>
      </c>
      <c r="D243" s="122" t="s">
        <v>2627</v>
      </c>
      <c r="E243" s="121" t="s">
        <v>2053</v>
      </c>
      <c r="F243" s="121" t="s">
        <v>2053</v>
      </c>
      <c r="G243" s="35">
        <f t="shared" si="1"/>
        <v>5113</v>
      </c>
      <c r="I243" s="35" t="str">
        <f>iFERROR(vlookup(G243,Masters!C$6:D1000,2, fALSE),"MISSING")</f>
        <v>Archivists</v>
      </c>
    </row>
    <row r="244">
      <c r="A244" s="121" t="s">
        <v>2628</v>
      </c>
      <c r="B244" s="121">
        <v>5121.0</v>
      </c>
      <c r="C244" s="121" t="s">
        <v>1229</v>
      </c>
      <c r="D244" s="122" t="s">
        <v>2629</v>
      </c>
      <c r="E244" s="121" t="s">
        <v>2630</v>
      </c>
      <c r="F244" s="121" t="s">
        <v>2053</v>
      </c>
      <c r="G244" s="35">
        <f t="shared" si="1"/>
        <v>5121</v>
      </c>
      <c r="I244" s="35" t="str">
        <f>iFERROR(vlookup(G244,Masters!C$6:D1000,2, fALSE),"MISSING")</f>
        <v>Creative Writers</v>
      </c>
    </row>
    <row r="245">
      <c r="A245" s="121" t="s">
        <v>2631</v>
      </c>
      <c r="B245" s="121">
        <v>5122.0</v>
      </c>
      <c r="C245" s="121" t="s">
        <v>396</v>
      </c>
      <c r="D245" s="122" t="s">
        <v>2632</v>
      </c>
      <c r="E245" s="121" t="s">
        <v>2633</v>
      </c>
      <c r="F245" s="121" t="s">
        <v>2053</v>
      </c>
      <c r="G245" s="35">
        <f t="shared" si="1"/>
        <v>5122</v>
      </c>
      <c r="I245" s="35" t="str">
        <f>iFERROR(vlookup(G245,Masters!C$6:D1000,2, fALSE),"MISSING")</f>
        <v>Editors</v>
      </c>
    </row>
    <row r="246">
      <c r="A246" s="121" t="s">
        <v>2634</v>
      </c>
      <c r="B246" s="121">
        <v>5123.0</v>
      </c>
      <c r="C246" s="121" t="s">
        <v>972</v>
      </c>
      <c r="D246" s="122" t="s">
        <v>2635</v>
      </c>
      <c r="E246" s="121" t="s">
        <v>2636</v>
      </c>
      <c r="F246" s="121" t="s">
        <v>2053</v>
      </c>
      <c r="G246" s="35">
        <f t="shared" si="1"/>
        <v>5123</v>
      </c>
      <c r="I246" s="35" t="str">
        <f>iFERROR(vlookup(G246,Masters!C$6:D1000,2, fALSE),"MISSING")</f>
        <v>Journalists</v>
      </c>
    </row>
    <row r="247">
      <c r="A247" s="121" t="s">
        <v>2637</v>
      </c>
      <c r="B247" s="121">
        <v>5125.0</v>
      </c>
      <c r="C247" s="121" t="s">
        <v>1257</v>
      </c>
      <c r="D247" s="122" t="s">
        <v>2638</v>
      </c>
      <c r="E247" s="121" t="s">
        <v>2053</v>
      </c>
      <c r="F247" s="121" t="s">
        <v>2053</v>
      </c>
      <c r="G247" s="35">
        <f t="shared" si="1"/>
        <v>5125</v>
      </c>
      <c r="I247" s="35" t="str">
        <f>iFERROR(vlookup(G247,Masters!C$6:D1000,2, fALSE),"MISSING")</f>
        <v>Interpreters</v>
      </c>
    </row>
    <row r="248">
      <c r="A248" s="121" t="s">
        <v>2639</v>
      </c>
      <c r="B248" s="121">
        <v>5131.0</v>
      </c>
      <c r="C248" s="121" t="s">
        <v>1318</v>
      </c>
      <c r="D248" s="122" t="s">
        <v>2640</v>
      </c>
      <c r="E248" s="121" t="s">
        <v>2641</v>
      </c>
      <c r="F248" s="121" t="s">
        <v>2053</v>
      </c>
      <c r="G248" s="35">
        <f t="shared" si="1"/>
        <v>5131</v>
      </c>
      <c r="I248" s="35" t="str">
        <f>iFERROR(vlookup(G248,Masters!C$6:D1000,2, fALSE),"MISSING")</f>
        <v>Art Directors</v>
      </c>
    </row>
    <row r="249">
      <c r="A249" s="121" t="s">
        <v>2642</v>
      </c>
      <c r="B249" s="121">
        <v>5132.0</v>
      </c>
      <c r="C249" s="121" t="s">
        <v>1090</v>
      </c>
      <c r="D249" s="122" t="s">
        <v>2643</v>
      </c>
      <c r="E249" s="121" t="s">
        <v>2053</v>
      </c>
      <c r="F249" s="121" t="s">
        <v>2053</v>
      </c>
      <c r="G249" s="35">
        <f t="shared" si="1"/>
        <v>5132</v>
      </c>
      <c r="I249" s="35" t="str">
        <f>iFERROR(vlookup(G249,Masters!C$6:D1000,2, fALSE),"MISSING")</f>
        <v>Conductors</v>
      </c>
    </row>
    <row r="250">
      <c r="A250" s="121" t="s">
        <v>2644</v>
      </c>
      <c r="B250" s="121">
        <v>5133.0</v>
      </c>
      <c r="C250" s="121" t="s">
        <v>1142</v>
      </c>
      <c r="D250" s="122" t="s">
        <v>2645</v>
      </c>
      <c r="E250" s="121" t="s">
        <v>2053</v>
      </c>
      <c r="F250" s="121" t="s">
        <v>2053</v>
      </c>
      <c r="G250" s="35">
        <f t="shared" si="1"/>
        <v>5133</v>
      </c>
      <c r="I250" s="35" t="str">
        <f>iFERROR(vlookup(G250,Masters!C$6:D1000,2, fALSE),"MISSING")</f>
        <v>Musicians</v>
      </c>
    </row>
    <row r="251">
      <c r="A251" s="121" t="s">
        <v>2646</v>
      </c>
      <c r="B251" s="121">
        <v>5134.0</v>
      </c>
      <c r="C251" s="121" t="s">
        <v>438</v>
      </c>
      <c r="D251" s="122" t="s">
        <v>2647</v>
      </c>
      <c r="E251" s="121" t="s">
        <v>2053</v>
      </c>
      <c r="F251" s="121" t="s">
        <v>2053</v>
      </c>
      <c r="G251" s="35">
        <f t="shared" si="1"/>
        <v>5134</v>
      </c>
      <c r="I251" s="35" t="str">
        <f>iFERROR(vlookup(G251,Masters!C$6:D1000,2, fALSE),"MISSING")</f>
        <v>Dance Teachers</v>
      </c>
    </row>
    <row r="252">
      <c r="A252" s="121" t="s">
        <v>2648</v>
      </c>
      <c r="B252" s="121">
        <v>5135.0</v>
      </c>
      <c r="C252" s="121" t="s">
        <v>1370</v>
      </c>
      <c r="D252" s="122" t="s">
        <v>2649</v>
      </c>
      <c r="E252" s="121" t="s">
        <v>2053</v>
      </c>
      <c r="F252" s="121" t="s">
        <v>2053</v>
      </c>
      <c r="G252" s="35">
        <f t="shared" si="1"/>
        <v>5135</v>
      </c>
      <c r="I252" s="35" t="str">
        <f>iFERROR(vlookup(G252,Masters!C$6:D1000,2, fALSE),"MISSING")</f>
        <v>Acting Teachers</v>
      </c>
    </row>
    <row r="253">
      <c r="A253" s="121" t="s">
        <v>2650</v>
      </c>
      <c r="B253" s="121">
        <v>5136.0</v>
      </c>
      <c r="C253" s="121" t="s">
        <v>1290</v>
      </c>
      <c r="D253" s="122" t="s">
        <v>2651</v>
      </c>
      <c r="E253" s="121" t="s">
        <v>2053</v>
      </c>
      <c r="F253" s="121" t="s">
        <v>2053</v>
      </c>
      <c r="G253" s="35">
        <f t="shared" si="1"/>
        <v>5136</v>
      </c>
      <c r="I253" s="35" t="str">
        <f>iFERROR(vlookup(G253,Masters!C$6:D1000,2, fALSE),"MISSING")</f>
        <v>Art Instructors and Teachers</v>
      </c>
    </row>
    <row r="254">
      <c r="A254" s="121" t="s">
        <v>2652</v>
      </c>
      <c r="B254" s="121">
        <v>5211.0</v>
      </c>
      <c r="C254" s="121" t="s">
        <v>1212</v>
      </c>
      <c r="D254" s="122" t="s">
        <v>2653</v>
      </c>
      <c r="E254" s="121" t="s">
        <v>2053</v>
      </c>
      <c r="F254" s="121" t="s">
        <v>2053</v>
      </c>
      <c r="G254" s="35">
        <f t="shared" si="1"/>
        <v>5211</v>
      </c>
      <c r="I254" s="35" t="str">
        <f>iFERROR(vlookup(G254,Masters!C$6:D1000,2, fALSE),"MISSING")</f>
        <v>Archive Technicians and Assistants</v>
      </c>
    </row>
    <row r="255">
      <c r="A255" s="121" t="s">
        <v>2654</v>
      </c>
      <c r="B255" s="121">
        <v>5212.0</v>
      </c>
      <c r="C255" s="121" t="s">
        <v>1091</v>
      </c>
      <c r="D255" s="122" t="s">
        <v>2655</v>
      </c>
      <c r="E255" s="121" t="s">
        <v>2053</v>
      </c>
      <c r="F255" s="121" t="s">
        <v>2053</v>
      </c>
      <c r="G255" s="35">
        <f t="shared" si="1"/>
        <v>5212</v>
      </c>
      <c r="I255" s="35" t="str">
        <f>iFERROR(vlookup(G255,Masters!C$6:D1000,2, fALSE),"MISSING")</f>
        <v>Conservation and Restoration Technicians</v>
      </c>
    </row>
    <row r="256">
      <c r="A256" s="121" t="s">
        <v>2656</v>
      </c>
      <c r="B256" s="121">
        <v>5221.0</v>
      </c>
      <c r="C256" s="121" t="s">
        <v>255</v>
      </c>
      <c r="D256" s="122" t="s">
        <v>2657</v>
      </c>
      <c r="E256" s="121" t="s">
        <v>2053</v>
      </c>
      <c r="F256" s="121" t="s">
        <v>2053</v>
      </c>
      <c r="G256" s="35">
        <f t="shared" si="1"/>
        <v>5221</v>
      </c>
      <c r="I256" s="35" t="str">
        <f>iFERROR(vlookup(G256,Masters!C$6:D1000,2, fALSE),"MISSING")</f>
        <v>Photographers</v>
      </c>
    </row>
    <row r="257">
      <c r="A257" s="121" t="s">
        <v>2658</v>
      </c>
      <c r="B257" s="121">
        <v>5222.0</v>
      </c>
      <c r="C257" s="121" t="s">
        <v>1299</v>
      </c>
      <c r="D257" s="122" t="s">
        <v>2659</v>
      </c>
      <c r="E257" s="121" t="s">
        <v>2660</v>
      </c>
      <c r="F257" s="121" t="s">
        <v>2053</v>
      </c>
      <c r="G257" s="35">
        <f t="shared" si="1"/>
        <v>5222</v>
      </c>
      <c r="I257" s="35" t="str">
        <f>iFERROR(vlookup(G257,Masters!C$6:D1000,2, fALSE),"MISSING")</f>
        <v>Film and Video Camera Operators</v>
      </c>
    </row>
    <row r="258">
      <c r="A258" s="121" t="s">
        <v>2661</v>
      </c>
      <c r="B258" s="121">
        <v>5223.0</v>
      </c>
      <c r="C258" s="121" t="s">
        <v>1301</v>
      </c>
      <c r="D258" s="122" t="s">
        <v>2662</v>
      </c>
      <c r="E258" s="121" t="s">
        <v>2053</v>
      </c>
      <c r="F258" s="121" t="s">
        <v>2053</v>
      </c>
      <c r="G258" s="35">
        <f t="shared" si="1"/>
        <v>5223</v>
      </c>
      <c r="I258" s="35" t="str">
        <f>iFERROR(vlookup(G258,Masters!C$6:D1000,2, fALSE),"MISSING")</f>
        <v>Graphic Arts Technicians</v>
      </c>
    </row>
    <row r="259">
      <c r="A259" s="121" t="s">
        <v>2663</v>
      </c>
      <c r="B259" s="121">
        <v>5224.0</v>
      </c>
      <c r="C259" s="121" t="s">
        <v>1292</v>
      </c>
      <c r="D259" s="122" t="s">
        <v>2664</v>
      </c>
      <c r="E259" s="121" t="s">
        <v>2053</v>
      </c>
      <c r="F259" s="121" t="s">
        <v>2053</v>
      </c>
      <c r="G259" s="35">
        <f t="shared" si="1"/>
        <v>5224</v>
      </c>
      <c r="I259" s="35" t="str">
        <f>iFERROR(vlookup(G259,Masters!C$6:D1000,2, fALSE),"MISSING")</f>
        <v>Broadcast Technicians</v>
      </c>
    </row>
    <row r="260">
      <c r="A260" s="121" t="s">
        <v>2665</v>
      </c>
      <c r="B260" s="121">
        <v>5225.0</v>
      </c>
      <c r="C260" s="121" t="s">
        <v>1080</v>
      </c>
      <c r="D260" s="122" t="s">
        <v>2666</v>
      </c>
      <c r="E260" s="121" t="s">
        <v>2667</v>
      </c>
      <c r="F260" s="121" t="s">
        <v>2053</v>
      </c>
      <c r="G260" s="35">
        <f t="shared" si="1"/>
        <v>5225</v>
      </c>
      <c r="I260" s="35" t="str">
        <f>iFERROR(vlookup(G260,Masters!C$6:D1000,2, fALSE),"MISSING")</f>
        <v>Audio and Video Recording Technicians</v>
      </c>
    </row>
    <row r="261">
      <c r="A261" s="121" t="s">
        <v>2668</v>
      </c>
      <c r="B261" s="121">
        <v>5226.0</v>
      </c>
      <c r="C261" s="121" t="s">
        <v>120</v>
      </c>
      <c r="D261" s="122" t="s">
        <v>2669</v>
      </c>
      <c r="E261" s="121" t="s">
        <v>2670</v>
      </c>
      <c r="F261" s="121" t="s">
        <v>2053</v>
      </c>
      <c r="G261" s="35">
        <f t="shared" si="1"/>
        <v>5226</v>
      </c>
      <c r="I261" s="35" t="str">
        <f>iFERROR(vlookup(G261,Masters!C$6:D1000,2, fALSE),"MISSING")</f>
        <v>Gaffers and Lighting Technicians</v>
      </c>
    </row>
    <row r="262">
      <c r="A262" s="121" t="s">
        <v>2671</v>
      </c>
      <c r="B262" s="121">
        <v>5227.0</v>
      </c>
      <c r="C262" s="121" t="s">
        <v>1108</v>
      </c>
      <c r="D262" s="122" t="s">
        <v>2672</v>
      </c>
      <c r="E262" s="121" t="s">
        <v>2673</v>
      </c>
      <c r="F262" s="121" t="s">
        <v>2053</v>
      </c>
      <c r="G262" s="35">
        <f t="shared" si="1"/>
        <v>5227</v>
      </c>
      <c r="I262" s="35" t="str">
        <f>iFERROR(vlookup(G262,Masters!C$6:D1000,2, fALSE),"MISSING")</f>
        <v>Dressers</v>
      </c>
    </row>
    <row r="263">
      <c r="A263" s="121" t="s">
        <v>2674</v>
      </c>
      <c r="B263" s="121">
        <v>5231.0</v>
      </c>
      <c r="C263" s="121" t="s">
        <v>1468</v>
      </c>
      <c r="D263" s="122" t="s">
        <v>2675</v>
      </c>
      <c r="E263" s="121" t="s">
        <v>2053</v>
      </c>
      <c r="F263" s="121" t="s">
        <v>2053</v>
      </c>
      <c r="G263" s="35">
        <f t="shared" si="1"/>
        <v>5231</v>
      </c>
      <c r="I263" s="35" t="str">
        <f>iFERROR(vlookup(G263,Masters!C$6:D1000,2, fALSE),"MISSING")</f>
        <v>Announcers and Other Broadcasters</v>
      </c>
    </row>
    <row r="264">
      <c r="A264" s="121" t="s">
        <v>2676</v>
      </c>
      <c r="B264" s="121">
        <v>5232.0</v>
      </c>
      <c r="C264" s="121" t="s">
        <v>1086</v>
      </c>
      <c r="D264" s="122" t="s">
        <v>2677</v>
      </c>
      <c r="E264" s="121" t="s">
        <v>2053</v>
      </c>
      <c r="F264" s="121" t="s">
        <v>2053</v>
      </c>
      <c r="G264" s="35">
        <f t="shared" si="1"/>
        <v>5232</v>
      </c>
      <c r="I264" s="35" t="str">
        <f>iFERROR(vlookup(G264,Masters!C$6:D1000,2, fALSE),"MISSING")</f>
        <v>Buskers</v>
      </c>
    </row>
    <row r="265">
      <c r="A265" s="121" t="s">
        <v>2678</v>
      </c>
      <c r="B265" s="121">
        <v>5241.0</v>
      </c>
      <c r="C265" s="121" t="s">
        <v>1278</v>
      </c>
      <c r="D265" s="122" t="s">
        <v>2679</v>
      </c>
      <c r="E265" s="121" t="s">
        <v>2680</v>
      </c>
      <c r="F265" s="121" t="s">
        <v>2053</v>
      </c>
      <c r="G265" s="35">
        <f t="shared" si="1"/>
        <v>5241</v>
      </c>
      <c r="I265" s="35" t="str">
        <f>iFERROR(vlookup(G265,Masters!C$6:D1000,2, fALSE),"MISSING")</f>
        <v>Graphic Designers</v>
      </c>
    </row>
    <row r="266">
      <c r="A266" s="121" t="s">
        <v>2681</v>
      </c>
      <c r="B266" s="121">
        <v>5242.0</v>
      </c>
      <c r="C266" s="121" t="s">
        <v>1303</v>
      </c>
      <c r="D266" s="122" t="s">
        <v>2682</v>
      </c>
      <c r="E266" s="121" t="s">
        <v>2053</v>
      </c>
      <c r="F266" s="121" t="s">
        <v>2053</v>
      </c>
      <c r="G266" s="35">
        <f t="shared" si="1"/>
        <v>5242</v>
      </c>
      <c r="I266" s="35" t="str">
        <f>iFERROR(vlookup(G266,Masters!C$6:D1000,2, fALSE),"MISSING")</f>
        <v>Interior Designers</v>
      </c>
    </row>
    <row r="267">
      <c r="A267" s="121" t="s">
        <v>2683</v>
      </c>
      <c r="B267" s="121">
        <v>5243.0</v>
      </c>
      <c r="C267" s="121" t="s">
        <v>1275</v>
      </c>
      <c r="D267" s="122" t="s">
        <v>2684</v>
      </c>
      <c r="E267" s="121" t="s">
        <v>2685</v>
      </c>
      <c r="F267" s="121" t="s">
        <v>2053</v>
      </c>
      <c r="G267" s="35">
        <f t="shared" si="1"/>
        <v>5243</v>
      </c>
      <c r="I267" s="35" t="str">
        <f>iFERROR(vlookup(G267,Masters!C$6:D1000,2, fALSE),"MISSING")</f>
        <v>Exhibit Designers</v>
      </c>
    </row>
    <row r="268">
      <c r="A268" s="121" t="s">
        <v>2686</v>
      </c>
      <c r="B268" s="121">
        <v>5244.0</v>
      </c>
      <c r="C268" s="121" t="s">
        <v>1265</v>
      </c>
      <c r="D268" s="122" t="s">
        <v>2687</v>
      </c>
      <c r="E268" s="121" t="s">
        <v>2053</v>
      </c>
      <c r="F268" s="121" t="s">
        <v>2053</v>
      </c>
      <c r="G268" s="35">
        <f t="shared" si="1"/>
        <v>5244</v>
      </c>
      <c r="I268" s="35" t="str">
        <f>iFERROR(vlookup(G268,Masters!C$6:D1000,2, fALSE),"MISSING")</f>
        <v>Artistic Floral Arrangers</v>
      </c>
    </row>
    <row r="269">
      <c r="A269" s="121" t="s">
        <v>2688</v>
      </c>
      <c r="B269" s="121">
        <v>5245.0</v>
      </c>
      <c r="C269" s="121" t="s">
        <v>1310</v>
      </c>
      <c r="D269" s="122" t="s">
        <v>2689</v>
      </c>
      <c r="E269" s="121" t="s">
        <v>2053</v>
      </c>
      <c r="F269" s="121" t="s">
        <v>2053</v>
      </c>
      <c r="G269" s="35">
        <f t="shared" si="1"/>
        <v>5245</v>
      </c>
      <c r="I269" s="35" t="str">
        <f>iFERROR(vlookup(G269,Masters!C$6:D1000,2, fALSE),"MISSING")</f>
        <v>Patternmakers _x0013_ Textile, Leather and Fur Products</v>
      </c>
    </row>
    <row r="270">
      <c r="A270" s="121" t="s">
        <v>2690</v>
      </c>
      <c r="B270" s="121">
        <v>5251.0</v>
      </c>
      <c r="C270" s="121" t="s">
        <v>440</v>
      </c>
      <c r="D270" s="122" t="s">
        <v>2691</v>
      </c>
      <c r="E270" s="121" t="s">
        <v>2053</v>
      </c>
      <c r="F270" s="121" t="s">
        <v>2053</v>
      </c>
      <c r="G270" s="35">
        <f t="shared" si="1"/>
        <v>5251</v>
      </c>
      <c r="I270" s="35" t="str">
        <f>iFERROR(vlookup(G270,Masters!C$6:D1000,2, fALSE),"MISSING")</f>
        <v>Athletes</v>
      </c>
    </row>
    <row r="271">
      <c r="A271" s="121" t="s">
        <v>2692</v>
      </c>
      <c r="B271" s="121">
        <v>5252.0</v>
      </c>
      <c r="C271" s="121" t="s">
        <v>507</v>
      </c>
      <c r="D271" s="122" t="s">
        <v>2693</v>
      </c>
      <c r="E271" s="121" t="s">
        <v>2053</v>
      </c>
      <c r="F271" s="121" t="s">
        <v>2053</v>
      </c>
      <c r="G271" s="35">
        <f t="shared" si="1"/>
        <v>5252</v>
      </c>
      <c r="I271" s="35" t="str">
        <f>iFERROR(vlookup(G271,Masters!C$6:D1000,2, fALSE),"MISSING")</f>
        <v>Coaches</v>
      </c>
    </row>
    <row r="272">
      <c r="A272" s="121" t="s">
        <v>2694</v>
      </c>
      <c r="B272" s="121">
        <v>5253.0</v>
      </c>
      <c r="C272" s="121" t="s">
        <v>1356</v>
      </c>
      <c r="D272" s="122" t="s">
        <v>2695</v>
      </c>
      <c r="E272" s="121" t="s">
        <v>2053</v>
      </c>
      <c r="F272" s="121" t="s">
        <v>2053</v>
      </c>
      <c r="G272" s="35">
        <f t="shared" si="1"/>
        <v>5253</v>
      </c>
      <c r="I272" s="35" t="str">
        <f>iFERROR(vlookup(G272,Masters!C$6:D1000,2, fALSE),"MISSING")</f>
        <v>Sports Officials and Referees</v>
      </c>
    </row>
    <row r="273">
      <c r="A273" s="121" t="s">
        <v>2696</v>
      </c>
      <c r="B273" s="121">
        <v>5254.0</v>
      </c>
      <c r="C273" s="121" t="s">
        <v>1311</v>
      </c>
      <c r="D273" s="122" t="s">
        <v>2697</v>
      </c>
      <c r="E273" s="121" t="s">
        <v>2698</v>
      </c>
      <c r="F273" s="121" t="s">
        <v>2053</v>
      </c>
      <c r="G273" s="35">
        <f t="shared" si="1"/>
        <v>5254</v>
      </c>
      <c r="I273" s="35" t="str">
        <f>iFERROR(vlookup(G273,Masters!C$6:D1000,2, fALSE),"MISSING")</f>
        <v>Program Leaders and Instructors in Recreation and Sport</v>
      </c>
    </row>
    <row r="274">
      <c r="A274" s="121" t="s">
        <v>2699</v>
      </c>
      <c r="B274" s="121">
        <v>6211.0</v>
      </c>
      <c r="C274" s="121" t="s">
        <v>1451</v>
      </c>
      <c r="D274" s="122" t="s">
        <v>2700</v>
      </c>
      <c r="E274" s="121" t="s">
        <v>2701</v>
      </c>
      <c r="F274" s="121" t="s">
        <v>2053</v>
      </c>
      <c r="G274" s="35">
        <f t="shared" si="1"/>
        <v>6211</v>
      </c>
      <c r="I274" s="35" t="str">
        <f>iFERROR(vlookup(G274,Masters!C$6:D1000,2, fALSE),"MISSING")</f>
        <v>Retail Trade Supervisors</v>
      </c>
    </row>
    <row r="275">
      <c r="A275" s="121" t="s">
        <v>2702</v>
      </c>
      <c r="B275" s="121">
        <v>6221.0</v>
      </c>
      <c r="C275" s="121" t="s">
        <v>1251</v>
      </c>
      <c r="D275" s="122" t="s">
        <v>2703</v>
      </c>
      <c r="E275" s="121" t="s">
        <v>2053</v>
      </c>
      <c r="F275" s="121" t="s">
        <v>2053</v>
      </c>
      <c r="G275" s="35">
        <f t="shared" si="1"/>
        <v>6221</v>
      </c>
      <c r="I275" s="35" t="str">
        <f>iFERROR(vlookup(G275,Masters!C$6:D1000,2, fALSE),"MISSING")</f>
        <v>Grain Elevator Operators</v>
      </c>
    </row>
    <row r="276">
      <c r="A276" s="121" t="s">
        <v>2704</v>
      </c>
      <c r="B276" s="121">
        <v>6222.0</v>
      </c>
      <c r="C276" s="121" t="s">
        <v>1411</v>
      </c>
      <c r="D276" s="122" t="s">
        <v>2705</v>
      </c>
      <c r="E276" s="121" t="s">
        <v>2053</v>
      </c>
      <c r="F276" s="121" t="s">
        <v>2053</v>
      </c>
      <c r="G276" s="35">
        <f t="shared" si="1"/>
        <v>6222</v>
      </c>
      <c r="I276" s="35" t="str">
        <f>iFERROR(vlookup(G276,Masters!C$6:D1000,2, fALSE),"MISSING")</f>
        <v>Retail and Wholesale Buyers</v>
      </c>
    </row>
    <row r="277">
      <c r="A277" s="121" t="s">
        <v>2706</v>
      </c>
      <c r="B277" s="121">
        <v>6231.0</v>
      </c>
      <c r="C277" s="121" t="s">
        <v>1256</v>
      </c>
      <c r="D277" s="122" t="s">
        <v>2707</v>
      </c>
      <c r="E277" s="121" t="s">
        <v>2708</v>
      </c>
      <c r="F277" s="121" t="s">
        <v>2053</v>
      </c>
      <c r="G277" s="35">
        <f t="shared" si="1"/>
        <v>6231</v>
      </c>
      <c r="I277" s="35" t="str">
        <f>iFERROR(vlookup(G277,Masters!C$6:D1000,2, fALSE),"MISSING")</f>
        <v>Insurance Agents and Brokers</v>
      </c>
    </row>
    <row r="278">
      <c r="A278" s="121" t="s">
        <v>2709</v>
      </c>
      <c r="B278" s="121">
        <v>6232.0</v>
      </c>
      <c r="C278" s="121" t="s">
        <v>1447</v>
      </c>
      <c r="D278" s="122" t="s">
        <v>2710</v>
      </c>
      <c r="E278" s="121" t="s">
        <v>2711</v>
      </c>
      <c r="F278" s="121" t="s">
        <v>2053</v>
      </c>
      <c r="G278" s="35">
        <f t="shared" si="1"/>
        <v>6232</v>
      </c>
      <c r="I278" s="35" t="str">
        <f>iFERROR(vlookup(G278,Masters!C$6:D1000,2, fALSE),"MISSING")</f>
        <v>Real Estate Agents and Salespersons</v>
      </c>
    </row>
    <row r="279">
      <c r="A279" s="121" t="s">
        <v>2712</v>
      </c>
      <c r="B279" s="121">
        <v>6235.0</v>
      </c>
      <c r="C279" s="121" t="s">
        <v>1484</v>
      </c>
      <c r="D279" s="122" t="s">
        <v>2713</v>
      </c>
      <c r="E279" s="121" t="s">
        <v>2053</v>
      </c>
      <c r="F279" s="121" t="s">
        <v>2053</v>
      </c>
      <c r="G279" s="35">
        <f t="shared" si="1"/>
        <v>6235</v>
      </c>
      <c r="I279" s="35" t="str">
        <f>iFERROR(vlookup(G279,Masters!C$6:D1000,2, fALSE),"MISSING")</f>
        <v>Loan Officers</v>
      </c>
    </row>
    <row r="280">
      <c r="A280" s="121" t="s">
        <v>2714</v>
      </c>
      <c r="B280" s="121">
        <v>6311.0</v>
      </c>
      <c r="C280" s="121" t="s">
        <v>1247</v>
      </c>
      <c r="D280" s="122" t="s">
        <v>2715</v>
      </c>
      <c r="E280" s="121" t="s">
        <v>2053</v>
      </c>
      <c r="F280" s="121" t="s">
        <v>2053</v>
      </c>
      <c r="G280" s="35">
        <f t="shared" si="1"/>
        <v>6311</v>
      </c>
      <c r="I280" s="35" t="str">
        <f>iFERROR(vlookup(G280,Masters!C$6:D1000,2, fALSE),"MISSING")</f>
        <v>Food Service Supervisors</v>
      </c>
    </row>
    <row r="281">
      <c r="A281" s="121" t="s">
        <v>2716</v>
      </c>
      <c r="B281" s="121">
        <v>6312.0</v>
      </c>
      <c r="C281" s="121" t="s">
        <v>1242</v>
      </c>
      <c r="D281" s="122" t="s">
        <v>2717</v>
      </c>
      <c r="E281" s="121" t="s">
        <v>2053</v>
      </c>
      <c r="F281" s="121" t="s">
        <v>2053</v>
      </c>
      <c r="G281" s="35">
        <f t="shared" si="1"/>
        <v>6312</v>
      </c>
      <c r="I281" s="35" t="str">
        <f>iFERROR(vlookup(G281,Masters!C$6:D1000,2, fALSE),"MISSING")</f>
        <v>Executive Housekeepers</v>
      </c>
    </row>
    <row r="282">
      <c r="A282" s="121" t="s">
        <v>2718</v>
      </c>
      <c r="B282" s="121">
        <v>6313.0</v>
      </c>
      <c r="C282" s="121" t="s">
        <v>1187</v>
      </c>
      <c r="D282" s="122" t="s">
        <v>2719</v>
      </c>
      <c r="E282" s="121" t="s">
        <v>2053</v>
      </c>
      <c r="F282" s="121" t="s">
        <v>2053</v>
      </c>
      <c r="G282" s="35">
        <f t="shared" si="1"/>
        <v>6313</v>
      </c>
      <c r="I282" s="35" t="str">
        <f>iFERROR(vlookup(G282,Masters!C$6:D1000,2, fALSE),"MISSING")</f>
        <v>Other Service Supervisors</v>
      </c>
    </row>
    <row r="283">
      <c r="A283" s="121" t="s">
        <v>2720</v>
      </c>
      <c r="B283" s="121">
        <v>6314.0</v>
      </c>
      <c r="C283" s="121" t="s">
        <v>1230</v>
      </c>
      <c r="D283" s="122" t="s">
        <v>2721</v>
      </c>
      <c r="E283" s="121" t="s">
        <v>2053</v>
      </c>
      <c r="F283" s="121" t="s">
        <v>2053</v>
      </c>
      <c r="G283" s="35">
        <f t="shared" si="1"/>
        <v>6314</v>
      </c>
      <c r="I283" s="35" t="str">
        <f>iFERROR(vlookup(G283,Masters!C$6:D1000,2, fALSE),"MISSING")</f>
        <v>Customer Service Clerks in Insurance, Telephone, Utility and Similar Companies</v>
      </c>
    </row>
    <row r="284">
      <c r="A284" s="121" t="s">
        <v>2722</v>
      </c>
      <c r="B284" s="121">
        <v>6315.0</v>
      </c>
      <c r="C284" s="121" t="s">
        <v>1223</v>
      </c>
      <c r="D284" s="122" t="s">
        <v>2723</v>
      </c>
      <c r="E284" s="121" t="s">
        <v>2053</v>
      </c>
      <c r="F284" s="121" t="s">
        <v>2053</v>
      </c>
      <c r="G284" s="35">
        <f t="shared" si="1"/>
        <v>6315</v>
      </c>
      <c r="I284" s="35" t="str">
        <f>iFERROR(vlookup(G284,Masters!C$6:D1000,2, fALSE),"MISSING")</f>
        <v>Cleaning Supervisors</v>
      </c>
    </row>
    <row r="285">
      <c r="A285" s="121" t="s">
        <v>2724</v>
      </c>
      <c r="B285" s="121">
        <v>6316.0</v>
      </c>
      <c r="C285" s="121" t="s">
        <v>1438</v>
      </c>
      <c r="D285" s="122" t="s">
        <v>2725</v>
      </c>
      <c r="E285" s="121" t="s">
        <v>2053</v>
      </c>
      <c r="F285" s="121" t="s">
        <v>2053</v>
      </c>
      <c r="G285" s="35">
        <f t="shared" si="1"/>
        <v>6316</v>
      </c>
      <c r="I285" s="35" t="str">
        <f>iFERROR(vlookup(G285,Masters!C$6:D1000,2, fALSE),"MISSING")</f>
        <v>Other Service Providers</v>
      </c>
    </row>
    <row r="286">
      <c r="A286" s="121" t="s">
        <v>2726</v>
      </c>
      <c r="B286" s="121">
        <v>6321.0</v>
      </c>
      <c r="C286" s="121" t="s">
        <v>1241</v>
      </c>
      <c r="D286" s="122" t="s">
        <v>2727</v>
      </c>
      <c r="E286" s="121" t="s">
        <v>2728</v>
      </c>
      <c r="F286" s="121" t="s">
        <v>2053</v>
      </c>
      <c r="G286" s="35">
        <f t="shared" si="1"/>
        <v>6321</v>
      </c>
      <c r="I286" s="35" t="str">
        <f>iFERROR(vlookup(G286,Masters!C$6:D1000,2, fALSE),"MISSING")</f>
        <v>Executive Chefs</v>
      </c>
    </row>
    <row r="287">
      <c r="A287" s="121" t="s">
        <v>2729</v>
      </c>
      <c r="B287" s="121">
        <v>6322.0</v>
      </c>
      <c r="C287" s="121" t="s">
        <v>725</v>
      </c>
      <c r="D287" s="122" t="s">
        <v>2730</v>
      </c>
      <c r="E287" s="121" t="s">
        <v>2731</v>
      </c>
      <c r="F287" s="121" t="s">
        <v>2053</v>
      </c>
      <c r="G287" s="35">
        <f t="shared" si="1"/>
        <v>6322</v>
      </c>
      <c r="I287" s="35" t="str">
        <f>iFERROR(vlookup(G287,Masters!C$6:D1000,2, fALSE),"MISSING")</f>
        <v>Cooks</v>
      </c>
    </row>
    <row r="288">
      <c r="A288" s="121" t="s">
        <v>2732</v>
      </c>
      <c r="B288" s="121">
        <v>6331.0</v>
      </c>
      <c r="C288" s="121" t="s">
        <v>1296</v>
      </c>
      <c r="D288" s="122" t="s">
        <v>2733</v>
      </c>
      <c r="E288" s="121" t="s">
        <v>2734</v>
      </c>
      <c r="F288" s="121" t="s">
        <v>2053</v>
      </c>
      <c r="G288" s="35">
        <f t="shared" si="1"/>
        <v>6331</v>
      </c>
      <c r="I288" s="35" t="str">
        <f>iFERROR(vlookup(G288,Masters!C$6:D1000,2, fALSE),"MISSING")</f>
        <v>Butchers and Meat Cutters - Retail and Wholesale</v>
      </c>
    </row>
    <row r="289">
      <c r="A289" s="121" t="s">
        <v>2735</v>
      </c>
      <c r="B289" s="121">
        <v>6332.0</v>
      </c>
      <c r="C289" s="121" t="s">
        <v>160</v>
      </c>
      <c r="D289" s="122" t="s">
        <v>2736</v>
      </c>
      <c r="E289" s="121" t="s">
        <v>2737</v>
      </c>
      <c r="F289" s="121" t="s">
        <v>2053</v>
      </c>
      <c r="G289" s="35">
        <f t="shared" si="1"/>
        <v>6332</v>
      </c>
      <c r="I289" s="35" t="str">
        <f>iFERROR(vlookup(G289,Masters!C$6:D1000,2, fALSE),"MISSING")</f>
        <v>Bakers</v>
      </c>
    </row>
    <row r="290">
      <c r="A290" s="121" t="s">
        <v>2738</v>
      </c>
      <c r="B290" s="121">
        <v>6341.0</v>
      </c>
      <c r="C290" s="121" t="s">
        <v>1081</v>
      </c>
      <c r="D290" s="122" t="s">
        <v>2739</v>
      </c>
      <c r="E290" s="121" t="s">
        <v>2740</v>
      </c>
      <c r="F290" s="121" t="s">
        <v>2053</v>
      </c>
      <c r="G290" s="35">
        <f t="shared" si="1"/>
        <v>6341</v>
      </c>
      <c r="I290" s="35" t="str">
        <f>iFERROR(vlookup(G290,Masters!C$6:D1000,2, fALSE),"MISSING")</f>
        <v>Barbers</v>
      </c>
    </row>
    <row r="291">
      <c r="A291" s="121" t="s">
        <v>2741</v>
      </c>
      <c r="B291" s="121">
        <v>6342.0</v>
      </c>
      <c r="C291" s="121" t="s">
        <v>1104</v>
      </c>
      <c r="D291" s="122" t="s">
        <v>2742</v>
      </c>
      <c r="E291" s="121" t="s">
        <v>2053</v>
      </c>
      <c r="F291" s="121" t="s">
        <v>2053</v>
      </c>
      <c r="G291" s="35">
        <f t="shared" si="1"/>
        <v>6342</v>
      </c>
      <c r="I291" s="35" t="str">
        <f>iFERROR(vlookup(G291,Masters!C$6:D1000,2, fALSE),"MISSING")</f>
        <v>Dressmakers</v>
      </c>
    </row>
    <row r="292">
      <c r="A292" s="121" t="s">
        <v>2743</v>
      </c>
      <c r="B292" s="121">
        <v>6343.0</v>
      </c>
      <c r="C292" s="121" t="s">
        <v>1157</v>
      </c>
      <c r="D292" s="122" t="s">
        <v>2744</v>
      </c>
      <c r="E292" s="121" t="s">
        <v>2053</v>
      </c>
      <c r="F292" s="121" t="s">
        <v>2053</v>
      </c>
      <c r="G292" s="35">
        <f t="shared" si="1"/>
        <v>6343</v>
      </c>
      <c r="I292" s="35" t="str">
        <f>iFERROR(vlookup(G292,Masters!C$6:D1000,2, fALSE),"MISSING")</f>
        <v>Shoe Repairers</v>
      </c>
    </row>
    <row r="293">
      <c r="A293" s="121" t="s">
        <v>2745</v>
      </c>
      <c r="B293" s="121">
        <v>6344.0</v>
      </c>
      <c r="C293" s="121" t="s">
        <v>1162</v>
      </c>
      <c r="D293" s="122" t="s">
        <v>2746</v>
      </c>
      <c r="E293" s="121" t="s">
        <v>2053</v>
      </c>
      <c r="F293" s="121" t="s">
        <v>2053</v>
      </c>
      <c r="G293" s="35">
        <f t="shared" si="1"/>
        <v>6344</v>
      </c>
      <c r="I293" s="35" t="str">
        <f>iFERROR(vlookup(G293,Masters!C$6:D1000,2, fALSE),"MISSING")</f>
        <v>Watch Repairers</v>
      </c>
    </row>
    <row r="294">
      <c r="A294" s="121" t="s">
        <v>2747</v>
      </c>
      <c r="B294" s="121">
        <v>6345.0</v>
      </c>
      <c r="C294" s="121" t="s">
        <v>564</v>
      </c>
      <c r="D294" s="122" t="s">
        <v>2748</v>
      </c>
      <c r="E294" s="121" t="s">
        <v>2053</v>
      </c>
      <c r="F294" s="121" t="s">
        <v>2053</v>
      </c>
      <c r="G294" s="35">
        <f t="shared" si="1"/>
        <v>6345</v>
      </c>
      <c r="I294" s="35" t="str">
        <f>iFERROR(vlookup(G294,Masters!C$6:D1000,2, fALSE),"MISSING")</f>
        <v>Upholsterers</v>
      </c>
    </row>
    <row r="295">
      <c r="A295" s="121" t="s">
        <v>2749</v>
      </c>
      <c r="B295" s="121">
        <v>6346.0</v>
      </c>
      <c r="C295" s="121" t="s">
        <v>1279</v>
      </c>
      <c r="D295" s="122" t="s">
        <v>2750</v>
      </c>
      <c r="E295" s="121" t="s">
        <v>2053</v>
      </c>
      <c r="F295" s="121" t="s">
        <v>2053</v>
      </c>
      <c r="G295" s="35">
        <f t="shared" si="1"/>
        <v>6346</v>
      </c>
      <c r="I295" s="35" t="str">
        <f>iFERROR(vlookup(G295,Masters!C$6:D1000,2, fALSE),"MISSING")</f>
        <v>Embalmers</v>
      </c>
    </row>
    <row r="296">
      <c r="A296" s="121" t="s">
        <v>2751</v>
      </c>
      <c r="B296" s="121">
        <v>6411.0</v>
      </c>
      <c r="C296" s="121" t="s">
        <v>1452</v>
      </c>
      <c r="D296" s="122" t="s">
        <v>2752</v>
      </c>
      <c r="E296" s="121" t="s">
        <v>2753</v>
      </c>
      <c r="F296" s="121" t="s">
        <v>2053</v>
      </c>
      <c r="G296" s="35">
        <f t="shared" si="1"/>
        <v>6411</v>
      </c>
      <c r="I296" s="35" t="str">
        <f>iFERROR(vlookup(G296,Masters!C$6:D1000,2, fALSE),"MISSING")</f>
        <v>Sales Representatives - Wholesale Trade (Non-Technical)</v>
      </c>
    </row>
    <row r="297">
      <c r="A297" s="121" t="s">
        <v>2754</v>
      </c>
      <c r="B297" s="121">
        <v>6421.0</v>
      </c>
      <c r="C297" s="121" t="s">
        <v>1450</v>
      </c>
      <c r="D297" s="122" t="s">
        <v>2755</v>
      </c>
      <c r="E297" s="121" t="s">
        <v>2756</v>
      </c>
      <c r="F297" s="121" t="s">
        <v>2053</v>
      </c>
      <c r="G297" s="35">
        <f t="shared" si="1"/>
        <v>6421</v>
      </c>
      <c r="I297" s="35" t="str">
        <f>iFERROR(vlookup(G297,Masters!C$6:D1000,2, fALSE),"MISSING")</f>
        <v>Retail Salespersons and Sales Clerks</v>
      </c>
    </row>
    <row r="298">
      <c r="A298" s="121" t="s">
        <v>2757</v>
      </c>
      <c r="B298" s="121">
        <v>6511.0</v>
      </c>
      <c r="C298" s="121" t="s">
        <v>1433</v>
      </c>
      <c r="D298" s="122" t="s">
        <v>2758</v>
      </c>
      <c r="E298" s="121" t="s">
        <v>2053</v>
      </c>
      <c r="F298" s="121" t="s">
        <v>2053</v>
      </c>
      <c r="G298" s="35">
        <f t="shared" si="1"/>
        <v>6511</v>
      </c>
      <c r="I298" s="35" t="str">
        <f>iFERROR(vlookup(G298,Masters!C$6:D1000,2, fALSE),"MISSING")</f>
        <v>Maîtres d'hôtel and Hosts/Hostesses</v>
      </c>
    </row>
    <row r="299">
      <c r="A299" s="121" t="s">
        <v>2759</v>
      </c>
      <c r="B299" s="121">
        <v>6512.0</v>
      </c>
      <c r="C299" s="121" t="s">
        <v>828</v>
      </c>
      <c r="D299" s="122" t="s">
        <v>2760</v>
      </c>
      <c r="E299" s="121" t="s">
        <v>2053</v>
      </c>
      <c r="F299" s="121" t="s">
        <v>2053</v>
      </c>
      <c r="G299" s="35">
        <f t="shared" si="1"/>
        <v>6512</v>
      </c>
      <c r="I299" s="35" t="str">
        <f>iFERROR(vlookup(G299,Masters!C$6:D1000,2, fALSE),"MISSING")</f>
        <v>Bartenders</v>
      </c>
    </row>
    <row r="300">
      <c r="A300" s="121" t="s">
        <v>2761</v>
      </c>
      <c r="B300" s="121">
        <v>6513.0</v>
      </c>
      <c r="C300" s="121" t="s">
        <v>1245</v>
      </c>
      <c r="D300" s="122" t="s">
        <v>2762</v>
      </c>
      <c r="E300" s="121" t="s">
        <v>2763</v>
      </c>
      <c r="F300" s="121" t="s">
        <v>2053</v>
      </c>
      <c r="G300" s="35">
        <f t="shared" si="1"/>
        <v>6513</v>
      </c>
      <c r="I300" s="35" t="str">
        <f>iFERROR(vlookup(G300,Masters!C$6:D1000,2, fALSE),"MISSING")</f>
        <v>Food and Beverage Servers</v>
      </c>
    </row>
    <row r="301">
      <c r="A301" s="121" t="s">
        <v>2764</v>
      </c>
      <c r="B301" s="121">
        <v>6521.0</v>
      </c>
      <c r="C301" s="121" t="s">
        <v>1207</v>
      </c>
      <c r="D301" s="122" t="s">
        <v>2765</v>
      </c>
      <c r="E301" s="121" t="s">
        <v>2053</v>
      </c>
      <c r="F301" s="121" t="s">
        <v>2053</v>
      </c>
      <c r="G301" s="35">
        <f t="shared" si="1"/>
        <v>6521</v>
      </c>
      <c r="I301" s="35" t="str">
        <f>iFERROR(vlookup(G301,Masters!C$6:D1000,2, fALSE),"MISSING")</f>
        <v>Travel Counsellors</v>
      </c>
    </row>
    <row r="302">
      <c r="A302" s="121" t="s">
        <v>2766</v>
      </c>
      <c r="B302" s="121">
        <v>6522.0</v>
      </c>
      <c r="C302" s="121" t="s">
        <v>1199</v>
      </c>
      <c r="D302" s="122" t="s">
        <v>2767</v>
      </c>
      <c r="E302" s="121" t="s">
        <v>2053</v>
      </c>
      <c r="F302" s="121" t="s">
        <v>2053</v>
      </c>
      <c r="G302" s="35">
        <f t="shared" si="1"/>
        <v>6522</v>
      </c>
      <c r="I302" s="35" t="str">
        <f>iFERROR(vlookup(G302,Masters!C$6:D1000,2, fALSE),"MISSING")</f>
        <v>Ship Pursers</v>
      </c>
    </row>
    <row r="303">
      <c r="A303" s="121" t="s">
        <v>2768</v>
      </c>
      <c r="B303" s="121">
        <v>6523.0</v>
      </c>
      <c r="C303" s="121" t="s">
        <v>1467</v>
      </c>
      <c r="D303" s="122" t="s">
        <v>2769</v>
      </c>
      <c r="E303" s="121" t="s">
        <v>2053</v>
      </c>
      <c r="F303" s="121" t="s">
        <v>2053</v>
      </c>
      <c r="G303" s="35">
        <f t="shared" si="1"/>
        <v>6523</v>
      </c>
      <c r="I303" s="35" t="str">
        <f>iFERROR(vlookup(G303,Masters!C$6:D1000,2, fALSE),"MISSING")</f>
        <v>Airline Baggage Agents</v>
      </c>
    </row>
    <row r="304">
      <c r="A304" s="121" t="s">
        <v>2770</v>
      </c>
      <c r="B304" s="121">
        <v>6524.0</v>
      </c>
      <c r="C304" s="121" t="s">
        <v>1220</v>
      </c>
      <c r="D304" s="122" t="s">
        <v>2771</v>
      </c>
      <c r="E304" s="121" t="s">
        <v>2053</v>
      </c>
      <c r="F304" s="121" t="s">
        <v>2053</v>
      </c>
      <c r="G304" s="35">
        <f t="shared" si="1"/>
        <v>6524</v>
      </c>
      <c r="I304" s="35" t="str">
        <f>iFERROR(vlookup(G304,Masters!C$6:D1000,2, fALSE),"MISSING")</f>
        <v>Cargo Service Representatives (Except Airline)</v>
      </c>
    </row>
    <row r="305">
      <c r="A305" s="121" t="s">
        <v>2772</v>
      </c>
      <c r="B305" s="121">
        <v>6525.0</v>
      </c>
      <c r="C305" s="121" t="s">
        <v>1253</v>
      </c>
      <c r="D305" s="122" t="s">
        <v>2773</v>
      </c>
      <c r="E305" s="121" t="s">
        <v>2053</v>
      </c>
      <c r="F305" s="121" t="s">
        <v>2053</v>
      </c>
      <c r="G305" s="35">
        <f t="shared" si="1"/>
        <v>6525</v>
      </c>
      <c r="I305" s="35" t="str">
        <f>iFERROR(vlookup(G305,Masters!C$6:D1000,2, fALSE),"MISSING")</f>
        <v>Hotel Front Desk Clerks</v>
      </c>
    </row>
    <row r="306">
      <c r="A306" s="121" t="s">
        <v>2774</v>
      </c>
      <c r="B306" s="121">
        <v>6531.0</v>
      </c>
      <c r="C306" s="121" t="s">
        <v>1463</v>
      </c>
      <c r="D306" s="122" t="s">
        <v>2775</v>
      </c>
      <c r="E306" s="121" t="s">
        <v>2053</v>
      </c>
      <c r="F306" s="121" t="s">
        <v>2053</v>
      </c>
      <c r="G306" s="35">
        <f t="shared" si="1"/>
        <v>6531</v>
      </c>
      <c r="I306" s="35" t="str">
        <f>iFERROR(vlookup(G306,Masters!C$6:D1000,2, fALSE),"MISSING")</f>
        <v>Tour Guides</v>
      </c>
    </row>
    <row r="307">
      <c r="A307" s="121" t="s">
        <v>2776</v>
      </c>
      <c r="B307" s="121">
        <v>6532.0</v>
      </c>
      <c r="C307" s="121" t="s">
        <v>1147</v>
      </c>
      <c r="D307" s="122" t="s">
        <v>2777</v>
      </c>
      <c r="E307" s="121" t="s">
        <v>2053</v>
      </c>
      <c r="F307" s="121" t="s">
        <v>2053</v>
      </c>
      <c r="G307" s="35">
        <f t="shared" si="1"/>
        <v>6532</v>
      </c>
      <c r="I307" s="35" t="str">
        <f>iFERROR(vlookup(G307,Masters!C$6:D1000,2, fALSE),"MISSING")</f>
        <v>Outdoor Sport and Recreational Guides</v>
      </c>
    </row>
    <row r="308">
      <c r="A308" s="121" t="s">
        <v>2778</v>
      </c>
      <c r="B308" s="121">
        <v>6533.0</v>
      </c>
      <c r="C308" s="121" t="s">
        <v>1248</v>
      </c>
      <c r="D308" s="122" t="s">
        <v>2779</v>
      </c>
      <c r="E308" s="121" t="s">
        <v>2053</v>
      </c>
      <c r="F308" s="121" t="s">
        <v>2053</v>
      </c>
      <c r="G308" s="35">
        <f t="shared" si="1"/>
        <v>6533</v>
      </c>
      <c r="I308" s="35" t="str">
        <f>iFERROR(vlookup(G308,Masters!C$6:D1000,2, fALSE),"MISSING")</f>
        <v>Gambling Casino Workers</v>
      </c>
    </row>
    <row r="309">
      <c r="A309" s="121" t="s">
        <v>2780</v>
      </c>
      <c r="B309" s="121">
        <v>6541.0</v>
      </c>
      <c r="C309" s="121" t="s">
        <v>1195</v>
      </c>
      <c r="D309" s="122" t="s">
        <v>2781</v>
      </c>
      <c r="E309" s="121" t="s">
        <v>2782</v>
      </c>
      <c r="F309" s="121" t="s">
        <v>2053</v>
      </c>
      <c r="G309" s="35">
        <f t="shared" si="1"/>
        <v>6541</v>
      </c>
      <c r="I309" s="35" t="str">
        <f>iFERROR(vlookup(G309,Masters!C$6:D1000,2, fALSE),"MISSING")</f>
        <v>Private Investigators</v>
      </c>
    </row>
    <row r="310">
      <c r="A310" s="121" t="s">
        <v>2783</v>
      </c>
      <c r="B310" s="121">
        <v>6551.0</v>
      </c>
      <c r="C310" s="121" t="s">
        <v>1232</v>
      </c>
      <c r="D310" s="122" t="s">
        <v>2784</v>
      </c>
      <c r="E310" s="121" t="s">
        <v>2053</v>
      </c>
      <c r="F310" s="121" t="s">
        <v>2053</v>
      </c>
      <c r="G310" s="35">
        <f t="shared" si="1"/>
        <v>6551</v>
      </c>
      <c r="I310" s="35" t="str">
        <f>iFERROR(vlookup(G310,Masters!C$6:D1000,2, fALSE),"MISSING")</f>
        <v>Customer Service Representatives - Financial Services</v>
      </c>
    </row>
    <row r="311">
      <c r="A311" s="121" t="s">
        <v>2785</v>
      </c>
      <c r="B311" s="121">
        <v>6552.0</v>
      </c>
      <c r="C311" s="121" t="s">
        <v>1231</v>
      </c>
      <c r="D311" s="122" t="s">
        <v>2786</v>
      </c>
      <c r="E311" s="121" t="s">
        <v>2053</v>
      </c>
      <c r="F311" s="121" t="s">
        <v>2053</v>
      </c>
      <c r="G311" s="35">
        <f t="shared" si="1"/>
        <v>6552</v>
      </c>
      <c r="I311" s="35" t="str">
        <f>iFERROR(vlookup(G311,Masters!C$6:D1000,2, fALSE),"MISSING")</f>
        <v>Customer Service Clerks in Retail Establishments</v>
      </c>
    </row>
    <row r="312">
      <c r="A312" s="121" t="s">
        <v>2787</v>
      </c>
      <c r="B312" s="121">
        <v>6561.0</v>
      </c>
      <c r="C312" s="121" t="s">
        <v>1171</v>
      </c>
      <c r="D312" s="122" t="s">
        <v>2788</v>
      </c>
      <c r="E312" s="121" t="s">
        <v>2053</v>
      </c>
      <c r="F312" s="121" t="s">
        <v>2053</v>
      </c>
      <c r="G312" s="35">
        <f t="shared" si="1"/>
        <v>6561</v>
      </c>
      <c r="I312" s="35" t="str">
        <f>iFERROR(vlookup(G312,Masters!C$6:D1000,2, fALSE),"MISSING")</f>
        <v>Image Consultants</v>
      </c>
    </row>
    <row r="313">
      <c r="A313" s="121" t="s">
        <v>2789</v>
      </c>
      <c r="B313" s="121">
        <v>6562.0</v>
      </c>
      <c r="C313" s="121" t="s">
        <v>1107</v>
      </c>
      <c r="D313" s="122" t="s">
        <v>2790</v>
      </c>
      <c r="E313" s="121" t="s">
        <v>2791</v>
      </c>
      <c r="F313" s="121" t="s">
        <v>2053</v>
      </c>
      <c r="G313" s="35">
        <f t="shared" si="1"/>
        <v>6562</v>
      </c>
      <c r="I313" s="35" t="str">
        <f>iFERROR(vlookup(G313,Masters!C$6:D1000,2, fALSE),"MISSING")</f>
        <v>Estheticians</v>
      </c>
    </row>
    <row r="314">
      <c r="A314" s="121" t="s">
        <v>2792</v>
      </c>
      <c r="B314" s="121">
        <v>6563.0</v>
      </c>
      <c r="C314" s="121" t="s">
        <v>1353</v>
      </c>
      <c r="D314" s="122" t="s">
        <v>2793</v>
      </c>
      <c r="E314" s="121" t="s">
        <v>2053</v>
      </c>
      <c r="F314" s="121" t="s">
        <v>2053</v>
      </c>
      <c r="G314" s="35">
        <f t="shared" si="1"/>
        <v>6563</v>
      </c>
      <c r="I314" s="35" t="str">
        <f>iFERROR(vlookup(G314,Masters!C$6:D1000,2, fALSE),"MISSING")</f>
        <v>Pet Groomers and Animal Care Workers</v>
      </c>
    </row>
    <row r="315">
      <c r="A315" s="121" t="s">
        <v>2794</v>
      </c>
      <c r="B315" s="121">
        <v>6564.0</v>
      </c>
      <c r="C315" s="121" t="s">
        <v>1219</v>
      </c>
      <c r="D315" s="122" t="s">
        <v>2795</v>
      </c>
      <c r="E315" s="121" t="s">
        <v>2053</v>
      </c>
      <c r="F315" s="121" t="s">
        <v>2053</v>
      </c>
      <c r="G315" s="35">
        <f t="shared" si="1"/>
        <v>6564</v>
      </c>
      <c r="I315" s="35" t="str">
        <f>iFERROR(vlookup(G315,Masters!C$6:D1000,2, fALSE),"MISSING")</f>
        <v>Call Centre Agents</v>
      </c>
    </row>
    <row r="316">
      <c r="A316" s="121" t="s">
        <v>2796</v>
      </c>
      <c r="B316" s="121">
        <v>6611.0</v>
      </c>
      <c r="C316" s="121" t="s">
        <v>727</v>
      </c>
      <c r="D316" s="122" t="s">
        <v>2797</v>
      </c>
      <c r="E316" s="121" t="s">
        <v>2053</v>
      </c>
      <c r="F316" s="121" t="s">
        <v>2053</v>
      </c>
      <c r="G316" s="35">
        <f t="shared" si="1"/>
        <v>6611</v>
      </c>
      <c r="I316" s="35" t="str">
        <f>iFERROR(vlookup(G316,Masters!C$6:D1000,2, fALSE),"MISSING")</f>
        <v>Cashiers</v>
      </c>
    </row>
    <row r="317">
      <c r="A317" s="121" t="s">
        <v>2798</v>
      </c>
      <c r="B317" s="121">
        <v>6621.0</v>
      </c>
      <c r="C317" s="121" t="s">
        <v>1180</v>
      </c>
      <c r="D317" s="122" t="s">
        <v>2799</v>
      </c>
      <c r="E317" s="121" t="s">
        <v>2053</v>
      </c>
      <c r="F317" s="121" t="s">
        <v>2053</v>
      </c>
      <c r="G317" s="35">
        <f t="shared" si="1"/>
        <v>6621</v>
      </c>
      <c r="I317" s="35" t="str">
        <f>iFERROR(vlookup(G317,Masters!C$6:D1000,2, fALSE),"MISSING")</f>
        <v>Marina Service Station Attendants</v>
      </c>
    </row>
    <row r="318">
      <c r="A318" s="121" t="s">
        <v>2800</v>
      </c>
      <c r="B318" s="121">
        <v>6622.0</v>
      </c>
      <c r="C318" s="121" t="s">
        <v>1397</v>
      </c>
      <c r="D318" s="122" t="s">
        <v>2801</v>
      </c>
      <c r="E318" s="121" t="s">
        <v>2053</v>
      </c>
      <c r="F318" s="121" t="s">
        <v>2053</v>
      </c>
      <c r="G318" s="35">
        <f t="shared" si="1"/>
        <v>6622</v>
      </c>
      <c r="I318" s="35" t="str">
        <f>iFERROR(vlookup(G318,Masters!C$6:D1000,2, fALSE),"MISSING")</f>
        <v>Grocery Clerks and Store Shelf Stockers</v>
      </c>
    </row>
    <row r="319">
      <c r="A319" s="121" t="s">
        <v>2802</v>
      </c>
      <c r="B319" s="121">
        <v>6623.0</v>
      </c>
      <c r="C319" s="121" t="s">
        <v>1458</v>
      </c>
      <c r="D319" s="122" t="s">
        <v>2803</v>
      </c>
      <c r="E319" s="121" t="s">
        <v>2053</v>
      </c>
      <c r="F319" s="121" t="s">
        <v>2053</v>
      </c>
      <c r="G319" s="35">
        <f t="shared" si="1"/>
        <v>6623</v>
      </c>
      <c r="I319" s="35" t="str">
        <f>iFERROR(vlookup(G319,Masters!C$6:D1000,2, fALSE),"MISSING")</f>
        <v>Street Vendors</v>
      </c>
    </row>
    <row r="320">
      <c r="A320" s="121" t="s">
        <v>2804</v>
      </c>
      <c r="B320" s="121">
        <v>6711.0</v>
      </c>
      <c r="C320" s="121" t="s">
        <v>1246</v>
      </c>
      <c r="D320" s="122" t="s">
        <v>2805</v>
      </c>
      <c r="E320" s="121" t="s">
        <v>2053</v>
      </c>
      <c r="F320" s="121" t="s">
        <v>2053</v>
      </c>
      <c r="G320" s="35">
        <f t="shared" si="1"/>
        <v>6711</v>
      </c>
      <c r="I320" s="35" t="str">
        <f>iFERROR(vlookup(G320,Masters!C$6:D1000,2, fALSE),"MISSING")</f>
        <v>Food Service Counter Attendants and Food Preparers</v>
      </c>
    </row>
    <row r="321">
      <c r="A321" s="121" t="s">
        <v>2806</v>
      </c>
      <c r="B321" s="121">
        <v>6721.0</v>
      </c>
      <c r="C321" s="121" t="s">
        <v>1454</v>
      </c>
      <c r="D321" s="122" t="s">
        <v>2807</v>
      </c>
      <c r="E321" s="121" t="s">
        <v>2053</v>
      </c>
      <c r="F321" s="121" t="s">
        <v>2053</v>
      </c>
      <c r="G321" s="35">
        <f t="shared" si="1"/>
        <v>6721</v>
      </c>
      <c r="I321" s="35" t="str">
        <f>iFERROR(vlookup(G321,Masters!C$6:D1000,2, fALSE),"MISSING")</f>
        <v>Ship Attendants</v>
      </c>
    </row>
    <row r="322">
      <c r="A322" s="121" t="s">
        <v>2808</v>
      </c>
      <c r="B322" s="121">
        <v>6722.0</v>
      </c>
      <c r="C322" s="121" t="s">
        <v>1319</v>
      </c>
      <c r="D322" s="122" t="s">
        <v>2809</v>
      </c>
      <c r="E322" s="121" t="s">
        <v>2053</v>
      </c>
      <c r="F322" s="121" t="s">
        <v>2053</v>
      </c>
      <c r="G322" s="35">
        <f t="shared" si="1"/>
        <v>6722</v>
      </c>
      <c r="I322" s="35" t="str">
        <f>iFERROR(vlookup(G322,Masters!C$6:D1000,2, fALSE),"MISSING")</f>
        <v>Amusement Attraction Operators</v>
      </c>
    </row>
    <row r="323">
      <c r="A323" s="121" t="s">
        <v>2810</v>
      </c>
      <c r="B323" s="121">
        <v>6731.0</v>
      </c>
      <c r="C323" s="121" t="s">
        <v>1483</v>
      </c>
      <c r="D323" s="122" t="s">
        <v>2811</v>
      </c>
      <c r="E323" s="121" t="s">
        <v>2053</v>
      </c>
      <c r="F323" s="121" t="s">
        <v>2053</v>
      </c>
      <c r="G323" s="35">
        <f t="shared" si="1"/>
        <v>6731</v>
      </c>
      <c r="I323" s="35" t="str">
        <f>iFERROR(vlookup(G323,Masters!C$6:D1000,2, fALSE),"MISSING")</f>
        <v>Light Duty Cleaners</v>
      </c>
    </row>
    <row r="324">
      <c r="A324" s="121" t="s">
        <v>2812</v>
      </c>
      <c r="B324" s="121">
        <v>6732.0</v>
      </c>
      <c r="C324" s="121" t="s">
        <v>1221</v>
      </c>
      <c r="D324" s="122" t="s">
        <v>2813</v>
      </c>
      <c r="E324" s="121" t="s">
        <v>2053</v>
      </c>
      <c r="F324" s="121" t="s">
        <v>2053</v>
      </c>
      <c r="G324" s="35">
        <f t="shared" si="1"/>
        <v>6732</v>
      </c>
      <c r="I324" s="35" t="str">
        <f>iFERROR(vlookup(G324,Masters!C$6:D1000,2, fALSE),"MISSING")</f>
        <v>Chimney Cleaners</v>
      </c>
    </row>
    <row r="325">
      <c r="A325" s="121" t="s">
        <v>2814</v>
      </c>
      <c r="B325" s="121">
        <v>6733.0</v>
      </c>
      <c r="C325" s="121" t="s">
        <v>1175</v>
      </c>
      <c r="D325" s="122" t="s">
        <v>2815</v>
      </c>
      <c r="E325" s="121" t="s">
        <v>2053</v>
      </c>
      <c r="F325" s="121" t="s">
        <v>2053</v>
      </c>
      <c r="G325" s="35">
        <f t="shared" si="1"/>
        <v>6733</v>
      </c>
      <c r="I325" s="35" t="str">
        <f>iFERROR(vlookup(G325,Masters!C$6:D1000,2, fALSE),"MISSING")</f>
        <v>Janitors, Caretakers and Building Superintendents</v>
      </c>
    </row>
    <row r="326">
      <c r="A326" s="121" t="s">
        <v>2816</v>
      </c>
      <c r="B326" s="121">
        <v>6741.0</v>
      </c>
      <c r="C326" s="121" t="s">
        <v>1259</v>
      </c>
      <c r="D326" s="122" t="s">
        <v>2817</v>
      </c>
      <c r="E326" s="121" t="s">
        <v>2053</v>
      </c>
      <c r="F326" s="121" t="s">
        <v>2053</v>
      </c>
      <c r="G326" s="35">
        <f t="shared" si="1"/>
        <v>6741</v>
      </c>
      <c r="I326" s="35" t="str">
        <f>iFERROR(vlookup(G326,Masters!C$6:D1000,2, fALSE),"MISSING")</f>
        <v>Ironing, Pressing and Finishing Occupations</v>
      </c>
    </row>
    <row r="327">
      <c r="A327" s="121" t="s">
        <v>2818</v>
      </c>
      <c r="B327" s="121">
        <v>6742.0</v>
      </c>
      <c r="C327" s="121" t="s">
        <v>1431</v>
      </c>
      <c r="D327" s="122" t="s">
        <v>2819</v>
      </c>
      <c r="E327" s="121" t="s">
        <v>2053</v>
      </c>
      <c r="F327" s="121" t="s">
        <v>2053</v>
      </c>
      <c r="G327" s="35">
        <f t="shared" si="1"/>
        <v>6742</v>
      </c>
      <c r="I327" s="35" t="str">
        <f>iFERROR(vlookup(G327,Masters!C$6:D1000,2, fALSE),"MISSING")</f>
        <v>Laundromat Attendants</v>
      </c>
    </row>
    <row r="328">
      <c r="A328" s="121" t="s">
        <v>2820</v>
      </c>
      <c r="B328" s="121">
        <v>7201.0</v>
      </c>
      <c r="C328" s="121" t="s">
        <v>1097</v>
      </c>
      <c r="D328" s="122" t="s">
        <v>2821</v>
      </c>
      <c r="E328" s="121" t="s">
        <v>2053</v>
      </c>
      <c r="F328" s="121" t="s">
        <v>2053</v>
      </c>
      <c r="G328" s="35">
        <f t="shared" si="1"/>
        <v>7201</v>
      </c>
      <c r="I328" s="35" t="str">
        <f>iFERROR(vlookup(G328,Masters!C$6:D1000,2, fALSE),"MISSING")</f>
        <v>Contractors and Supervisors, Metal Forming, Shaping and Erecting Trades</v>
      </c>
    </row>
    <row r="329">
      <c r="A329" s="121" t="s">
        <v>2822</v>
      </c>
      <c r="B329" s="121">
        <v>7202.0</v>
      </c>
      <c r="C329" s="121" t="s">
        <v>1094</v>
      </c>
      <c r="D329" s="122" t="s">
        <v>2823</v>
      </c>
      <c r="E329" s="121" t="s">
        <v>2053</v>
      </c>
      <c r="F329" s="121" t="s">
        <v>2053</v>
      </c>
      <c r="G329" s="35">
        <f t="shared" si="1"/>
        <v>7202</v>
      </c>
      <c r="I329" s="35" t="str">
        <f>iFERROR(vlookup(G329,Masters!C$6:D1000,2, fALSE),"MISSING")</f>
        <v>Contractors and Supervisors, Electrical Trades and Telecommunications Occupations</v>
      </c>
    </row>
    <row r="330">
      <c r="A330" s="121" t="s">
        <v>2824</v>
      </c>
      <c r="B330" s="121">
        <v>7203.0</v>
      </c>
      <c r="C330" s="121" t="s">
        <v>1099</v>
      </c>
      <c r="D330" s="122" t="s">
        <v>2825</v>
      </c>
      <c r="E330" s="121" t="s">
        <v>2053</v>
      </c>
      <c r="F330" s="121" t="s">
        <v>2053</v>
      </c>
      <c r="G330" s="35">
        <f t="shared" si="1"/>
        <v>7203</v>
      </c>
      <c r="I330" s="35" t="str">
        <f>iFERROR(vlookup(G330,Masters!C$6:D1000,2, fALSE),"MISSING")</f>
        <v>Contractors and Supervisors, Pipefitting Trades</v>
      </c>
    </row>
    <row r="331">
      <c r="A331" s="121" t="s">
        <v>2826</v>
      </c>
      <c r="B331" s="121">
        <v>7204.0</v>
      </c>
      <c r="C331" s="121" t="s">
        <v>1093</v>
      </c>
      <c r="D331" s="122" t="s">
        <v>2827</v>
      </c>
      <c r="E331" s="121" t="s">
        <v>2053</v>
      </c>
      <c r="F331" s="121" t="s">
        <v>2053</v>
      </c>
      <c r="G331" s="35">
        <f t="shared" si="1"/>
        <v>7204</v>
      </c>
      <c r="I331" s="35" t="str">
        <f>iFERROR(vlookup(G331,Masters!C$6:D1000,2, fALSE),"MISSING")</f>
        <v>Contractors and Supervisors, Carpentry Trades</v>
      </c>
    </row>
    <row r="332">
      <c r="A332" s="121" t="s">
        <v>2828</v>
      </c>
      <c r="B332" s="121">
        <v>7205.0</v>
      </c>
      <c r="C332" s="121" t="s">
        <v>1098</v>
      </c>
      <c r="D332" s="122" t="s">
        <v>2829</v>
      </c>
      <c r="E332" s="121" t="s">
        <v>2053</v>
      </c>
      <c r="F332" s="121" t="s">
        <v>2053</v>
      </c>
      <c r="G332" s="35">
        <f t="shared" si="1"/>
        <v>7205</v>
      </c>
      <c r="I332" s="35" t="str">
        <f>iFERROR(vlookup(G332,Masters!C$6:D1000,2, fALSE),"MISSING")</f>
        <v>Contractors and Supervisors, Other Construction Trades, Installers, Repairers and Servicers</v>
      </c>
    </row>
    <row r="333">
      <c r="A333" s="121" t="s">
        <v>2830</v>
      </c>
      <c r="B333" s="121">
        <v>7231.0</v>
      </c>
      <c r="C333" s="121" t="s">
        <v>1130</v>
      </c>
      <c r="D333" s="122" t="s">
        <v>2831</v>
      </c>
      <c r="E333" s="121" t="s">
        <v>2832</v>
      </c>
      <c r="F333" s="121" t="s">
        <v>2053</v>
      </c>
      <c r="G333" s="35">
        <f t="shared" si="1"/>
        <v>7231</v>
      </c>
      <c r="I333" s="35" t="str">
        <f>iFERROR(vlookup(G333,Masters!C$6:D1000,2, fALSE),"MISSING")</f>
        <v>Machining and Tooling Inspectors</v>
      </c>
    </row>
    <row r="334">
      <c r="A334" s="121" t="s">
        <v>2833</v>
      </c>
      <c r="B334" s="121">
        <v>7232.0</v>
      </c>
      <c r="C334" s="121" t="s">
        <v>1138</v>
      </c>
      <c r="D334" s="122" t="s">
        <v>2834</v>
      </c>
      <c r="E334" s="121" t="s">
        <v>2053</v>
      </c>
      <c r="F334" s="121" t="s">
        <v>2053</v>
      </c>
      <c r="G334" s="35">
        <f t="shared" si="1"/>
        <v>7232</v>
      </c>
      <c r="I334" s="35" t="str">
        <f>iFERROR(vlookup(G334,Masters!C$6:D1000,2, fALSE),"MISSING")</f>
        <v>Metal Patternmakers</v>
      </c>
    </row>
    <row r="335">
      <c r="A335" s="121" t="s">
        <v>2835</v>
      </c>
      <c r="B335" s="121">
        <v>7233.0</v>
      </c>
      <c r="C335" s="121" t="s">
        <v>1269</v>
      </c>
      <c r="D335" s="122" t="s">
        <v>2836</v>
      </c>
      <c r="E335" s="121" t="s">
        <v>2053</v>
      </c>
      <c r="F335" s="121" t="s">
        <v>2053</v>
      </c>
      <c r="G335" s="35">
        <f t="shared" si="1"/>
        <v>7233</v>
      </c>
      <c r="I335" s="35" t="str">
        <f>iFERROR(vlookup(G335,Masters!C$6:D1000,2, fALSE),"MISSING")</f>
        <v>Sheet Metal Workers</v>
      </c>
    </row>
    <row r="336">
      <c r="A336" s="121" t="s">
        <v>2837</v>
      </c>
      <c r="B336" s="121">
        <v>7234.0</v>
      </c>
      <c r="C336" s="121" t="s">
        <v>453</v>
      </c>
      <c r="D336" s="122" t="s">
        <v>2838</v>
      </c>
      <c r="E336" s="121" t="s">
        <v>2053</v>
      </c>
      <c r="F336" s="121" t="s">
        <v>2053</v>
      </c>
      <c r="G336" s="35">
        <f t="shared" si="1"/>
        <v>7234</v>
      </c>
      <c r="I336" s="35" t="str">
        <f>iFERROR(vlookup(G336,Masters!C$6:D1000,2, fALSE),"MISSING")</f>
        <v>Boilermakers</v>
      </c>
    </row>
    <row r="337">
      <c r="A337" s="121" t="s">
        <v>2839</v>
      </c>
      <c r="B337" s="121">
        <v>7235.0</v>
      </c>
      <c r="C337" s="121" t="s">
        <v>1316</v>
      </c>
      <c r="D337" s="122" t="s">
        <v>2840</v>
      </c>
      <c r="E337" s="121" t="s">
        <v>2053</v>
      </c>
      <c r="F337" s="121" t="s">
        <v>2053</v>
      </c>
      <c r="G337" s="35">
        <f t="shared" si="1"/>
        <v>7235</v>
      </c>
      <c r="I337" s="35" t="str">
        <f>iFERROR(vlookup(G337,Masters!C$6:D1000,2, fALSE),"MISSING")</f>
        <v>Structural Metal and Platework Fabricators and Fitters</v>
      </c>
    </row>
    <row r="338">
      <c r="A338" s="121" t="s">
        <v>2841</v>
      </c>
      <c r="B338" s="121">
        <v>7236.0</v>
      </c>
      <c r="C338" s="121" t="s">
        <v>540</v>
      </c>
      <c r="D338" s="122" t="s">
        <v>2842</v>
      </c>
      <c r="E338" s="121" t="s">
        <v>2843</v>
      </c>
      <c r="F338" s="121" t="s">
        <v>2053</v>
      </c>
      <c r="G338" s="35">
        <f t="shared" si="1"/>
        <v>7236</v>
      </c>
      <c r="I338" s="35" t="str">
        <f>iFERROR(vlookup(G338,Masters!C$6:D1000,2, fALSE),"MISSING")</f>
        <v>Ironworkers</v>
      </c>
    </row>
    <row r="339">
      <c r="A339" s="121" t="s">
        <v>2844</v>
      </c>
      <c r="B339" s="121">
        <v>7237.0</v>
      </c>
      <c r="C339" s="121" t="s">
        <v>1079</v>
      </c>
      <c r="D339" s="122" t="s">
        <v>2845</v>
      </c>
      <c r="E339" s="121" t="s">
        <v>2846</v>
      </c>
      <c r="F339" s="121" t="s">
        <v>2053</v>
      </c>
      <c r="G339" s="35">
        <f t="shared" si="1"/>
        <v>7237</v>
      </c>
      <c r="I339" s="35" t="str">
        <f>iFERROR(vlookup(G339,Masters!C$6:D1000,2, fALSE),"MISSING")</f>
        <v>Welders</v>
      </c>
    </row>
    <row r="340">
      <c r="A340" s="121" t="s">
        <v>2847</v>
      </c>
      <c r="B340" s="121">
        <v>7241.0</v>
      </c>
      <c r="C340" s="121" t="s">
        <v>1106</v>
      </c>
      <c r="D340" s="122" t="s">
        <v>2848</v>
      </c>
      <c r="E340" s="121" t="s">
        <v>2849</v>
      </c>
      <c r="F340" s="121" t="s">
        <v>2053</v>
      </c>
      <c r="G340" s="35">
        <f t="shared" si="1"/>
        <v>7241</v>
      </c>
      <c r="I340" s="35" t="str">
        <f>iFERROR(vlookup(G340,Masters!C$6:D1000,2, fALSE),"MISSING")</f>
        <v>Electricians (Except Industrial and Power System)</v>
      </c>
    </row>
    <row r="341">
      <c r="A341" s="121" t="s">
        <v>2850</v>
      </c>
      <c r="B341" s="121">
        <v>7242.0</v>
      </c>
      <c r="C341" s="121" t="s">
        <v>1120</v>
      </c>
      <c r="D341" s="122" t="s">
        <v>2851</v>
      </c>
      <c r="E341" s="121" t="s">
        <v>2053</v>
      </c>
      <c r="F341" s="121" t="s">
        <v>2053</v>
      </c>
      <c r="G341" s="35">
        <f t="shared" si="1"/>
        <v>7242</v>
      </c>
      <c r="I341" s="35" t="str">
        <f>iFERROR(vlookup(G341,Masters!C$6:D1000,2, fALSE),"MISSING")</f>
        <v>Industrial Electricians</v>
      </c>
    </row>
    <row r="342">
      <c r="A342" s="121" t="s">
        <v>2852</v>
      </c>
      <c r="B342" s="121">
        <v>7243.0</v>
      </c>
      <c r="C342" s="121" t="s">
        <v>1151</v>
      </c>
      <c r="D342" s="122" t="s">
        <v>2853</v>
      </c>
      <c r="E342" s="121" t="s">
        <v>2053</v>
      </c>
      <c r="F342" s="121" t="s">
        <v>2053</v>
      </c>
      <c r="G342" s="35">
        <f t="shared" si="1"/>
        <v>7243</v>
      </c>
      <c r="I342" s="35" t="str">
        <f>iFERROR(vlookup(G342,Masters!C$6:D1000,2, fALSE),"MISSING")</f>
        <v>Power System Electricians</v>
      </c>
    </row>
    <row r="343">
      <c r="A343" s="121" t="s">
        <v>2854</v>
      </c>
      <c r="B343" s="121">
        <v>7244.0</v>
      </c>
      <c r="C343" s="121" t="s">
        <v>1271</v>
      </c>
      <c r="D343" s="122" t="s">
        <v>2855</v>
      </c>
      <c r="E343" s="121" t="s">
        <v>2053</v>
      </c>
      <c r="F343" s="121" t="s">
        <v>2053</v>
      </c>
      <c r="G343" s="35">
        <f t="shared" si="1"/>
        <v>7244</v>
      </c>
      <c r="I343" s="35" t="str">
        <f>iFERROR(vlookup(G343,Masters!C$6:D1000,2, fALSE),"MISSING")</f>
        <v>Electrical Power Line and Cable Workers</v>
      </c>
    </row>
    <row r="344">
      <c r="A344" s="121" t="s">
        <v>2856</v>
      </c>
      <c r="B344" s="121">
        <v>7245.0</v>
      </c>
      <c r="C344" s="121" t="s">
        <v>1160</v>
      </c>
      <c r="D344" s="122" t="s">
        <v>2857</v>
      </c>
      <c r="E344" s="121" t="s">
        <v>2053</v>
      </c>
      <c r="F344" s="121" t="s">
        <v>2053</v>
      </c>
      <c r="G344" s="35">
        <f t="shared" si="1"/>
        <v>7245</v>
      </c>
      <c r="I344" s="35" t="str">
        <f>iFERROR(vlookup(G344,Masters!C$6:D1000,2, fALSE),"MISSING")</f>
        <v>Telecommunications Line and Cable Workers</v>
      </c>
    </row>
    <row r="345">
      <c r="A345" s="121" t="s">
        <v>2858</v>
      </c>
      <c r="B345" s="121">
        <v>7246.0</v>
      </c>
      <c r="C345" s="121" t="s">
        <v>1314</v>
      </c>
      <c r="D345" s="122" t="s">
        <v>2859</v>
      </c>
      <c r="E345" s="121" t="s">
        <v>2053</v>
      </c>
      <c r="F345" s="121" t="s">
        <v>2053</v>
      </c>
      <c r="G345" s="35">
        <f t="shared" si="1"/>
        <v>7246</v>
      </c>
      <c r="I345" s="35" t="str">
        <f>iFERROR(vlookup(G345,Masters!C$6:D1000,2, fALSE),"MISSING")</f>
        <v>Switch Network Installers and Repairers</v>
      </c>
    </row>
    <row r="346">
      <c r="A346" s="121" t="s">
        <v>2860</v>
      </c>
      <c r="B346" s="121">
        <v>7247.0</v>
      </c>
      <c r="C346" s="121" t="s">
        <v>1087</v>
      </c>
      <c r="D346" s="122" t="s">
        <v>2861</v>
      </c>
      <c r="E346" s="121" t="s">
        <v>2053</v>
      </c>
      <c r="F346" s="121" t="s">
        <v>2053</v>
      </c>
      <c r="G346" s="35">
        <f t="shared" si="1"/>
        <v>7247</v>
      </c>
      <c r="I346" s="35" t="str">
        <f>iFERROR(vlookup(G346,Masters!C$6:D1000,2, fALSE),"MISSING")</f>
        <v>Cable Television Maintenance Technicians</v>
      </c>
    </row>
    <row r="347">
      <c r="A347" s="121" t="s">
        <v>2862</v>
      </c>
      <c r="B347" s="121">
        <v>7251.0</v>
      </c>
      <c r="C347" s="121" t="s">
        <v>549</v>
      </c>
      <c r="D347" s="122" t="s">
        <v>2863</v>
      </c>
      <c r="E347" s="121" t="s">
        <v>2053</v>
      </c>
      <c r="F347" s="121" t="s">
        <v>2053</v>
      </c>
      <c r="G347" s="35">
        <f t="shared" si="1"/>
        <v>7251</v>
      </c>
      <c r="I347" s="35" t="str">
        <f>iFERROR(vlookup(G347,Masters!C$6:D1000,2, fALSE),"MISSING")</f>
        <v>Plumbers</v>
      </c>
    </row>
    <row r="348">
      <c r="A348" s="121" t="s">
        <v>2864</v>
      </c>
      <c r="B348" s="121">
        <v>7252.0</v>
      </c>
      <c r="C348" s="121" t="s">
        <v>1158</v>
      </c>
      <c r="D348" s="122" t="s">
        <v>2865</v>
      </c>
      <c r="E348" s="121" t="s">
        <v>2866</v>
      </c>
      <c r="F348" s="121" t="s">
        <v>2053</v>
      </c>
      <c r="G348" s="35">
        <f t="shared" si="1"/>
        <v>7252</v>
      </c>
      <c r="I348" s="35" t="str">
        <f>iFERROR(vlookup(G348,Masters!C$6:D1000,2, fALSE),"MISSING")</f>
        <v>Sprinkler System Installers</v>
      </c>
    </row>
    <row r="349">
      <c r="A349" s="121" t="s">
        <v>2867</v>
      </c>
      <c r="B349" s="121">
        <v>7253.0</v>
      </c>
      <c r="C349" s="121" t="s">
        <v>1300</v>
      </c>
      <c r="D349" s="122" t="s">
        <v>2868</v>
      </c>
      <c r="E349" s="121" t="s">
        <v>2053</v>
      </c>
      <c r="F349" s="121" t="s">
        <v>2053</v>
      </c>
      <c r="G349" s="35">
        <f t="shared" si="1"/>
        <v>7253</v>
      </c>
      <c r="I349" s="35" t="str">
        <f>iFERROR(vlookup(G349,Masters!C$6:D1000,2, fALSE),"MISSING")</f>
        <v>Gas Fitters</v>
      </c>
    </row>
    <row r="350">
      <c r="A350" s="121" t="s">
        <v>2869</v>
      </c>
      <c r="B350" s="121">
        <v>7271.0</v>
      </c>
      <c r="C350" s="121" t="s">
        <v>173</v>
      </c>
      <c r="D350" s="122" t="s">
        <v>2870</v>
      </c>
      <c r="E350" s="121" t="s">
        <v>2871</v>
      </c>
      <c r="F350" s="121" t="s">
        <v>2053</v>
      </c>
      <c r="G350" s="35">
        <f t="shared" si="1"/>
        <v>7271</v>
      </c>
      <c r="I350" s="35" t="str">
        <f>iFERROR(vlookup(G350,Masters!C$6:D1000,2, fALSE),"MISSING")</f>
        <v>Carpenters</v>
      </c>
    </row>
    <row r="351">
      <c r="A351" s="121" t="s">
        <v>2872</v>
      </c>
      <c r="B351" s="121">
        <v>7272.0</v>
      </c>
      <c r="C351" s="121" t="s">
        <v>456</v>
      </c>
      <c r="D351" s="122" t="s">
        <v>2873</v>
      </c>
      <c r="E351" s="121" t="s">
        <v>2053</v>
      </c>
      <c r="F351" s="121" t="s">
        <v>2053</v>
      </c>
      <c r="G351" s="35">
        <f t="shared" si="1"/>
        <v>7272</v>
      </c>
      <c r="I351" s="35" t="str">
        <f>iFERROR(vlookup(G351,Masters!C$6:D1000,2, fALSE),"MISSING")</f>
        <v>Cabinetmakers</v>
      </c>
    </row>
    <row r="352">
      <c r="A352" s="121" t="s">
        <v>2874</v>
      </c>
      <c r="B352" s="121">
        <v>7281.0</v>
      </c>
      <c r="C352" s="121" t="s">
        <v>583</v>
      </c>
      <c r="D352" s="122" t="s">
        <v>2875</v>
      </c>
      <c r="E352" s="121" t="s">
        <v>2053</v>
      </c>
      <c r="F352" s="121" t="s">
        <v>2053</v>
      </c>
      <c r="G352" s="35">
        <f t="shared" si="1"/>
        <v>7281</v>
      </c>
      <c r="I352" s="35" t="str">
        <f>iFERROR(vlookup(G352,Masters!C$6:D1000,2, fALSE),"MISSING")</f>
        <v>Bricklayers</v>
      </c>
    </row>
    <row r="353">
      <c r="A353" s="121" t="s">
        <v>2876</v>
      </c>
      <c r="B353" s="121">
        <v>7282.0</v>
      </c>
      <c r="C353" s="121" t="s">
        <v>1385</v>
      </c>
      <c r="D353" s="122" t="s">
        <v>2877</v>
      </c>
      <c r="E353" s="121" t="s">
        <v>2053</v>
      </c>
      <c r="F353" s="121" t="s">
        <v>2053</v>
      </c>
      <c r="G353" s="35">
        <f t="shared" si="1"/>
        <v>7282</v>
      </c>
      <c r="I353" s="35" t="str">
        <f>iFERROR(vlookup(G353,Masters!C$6:D1000,2, fALSE),"MISSING")</f>
        <v>Concrete Finishers</v>
      </c>
    </row>
    <row r="354">
      <c r="A354" s="121" t="s">
        <v>2878</v>
      </c>
      <c r="B354" s="121">
        <v>7283.0</v>
      </c>
      <c r="C354" s="121" t="s">
        <v>700</v>
      </c>
      <c r="D354" s="122" t="s">
        <v>2879</v>
      </c>
      <c r="E354" s="121" t="s">
        <v>2053</v>
      </c>
      <c r="F354" s="121" t="s">
        <v>2053</v>
      </c>
      <c r="G354" s="35">
        <f t="shared" si="1"/>
        <v>7283</v>
      </c>
      <c r="I354" s="35" t="str">
        <f>iFERROR(vlookup(G354,Masters!C$6:D1000,2, fALSE),"MISSING")</f>
        <v>Tilesetters</v>
      </c>
    </row>
    <row r="355">
      <c r="A355" s="121" t="s">
        <v>2880</v>
      </c>
      <c r="B355" s="121">
        <v>7284.0</v>
      </c>
      <c r="C355" s="121" t="s">
        <v>1126</v>
      </c>
      <c r="D355" s="122" t="s">
        <v>2881</v>
      </c>
      <c r="E355" s="121" t="s">
        <v>2053</v>
      </c>
      <c r="F355" s="121" t="s">
        <v>2053</v>
      </c>
      <c r="G355" s="35">
        <f t="shared" si="1"/>
        <v>7284</v>
      </c>
      <c r="I355" s="35" t="str">
        <f>iFERROR(vlookup(G355,Masters!C$6:D1000,2, fALSE),"MISSING")</f>
        <v>Lathers</v>
      </c>
    </row>
    <row r="356">
      <c r="A356" s="121" t="s">
        <v>2882</v>
      </c>
      <c r="B356" s="121">
        <v>7291.0</v>
      </c>
      <c r="C356" s="121" t="s">
        <v>1167</v>
      </c>
      <c r="D356" s="122" t="s">
        <v>2883</v>
      </c>
      <c r="E356" s="121" t="s">
        <v>2053</v>
      </c>
      <c r="F356" s="121" t="s">
        <v>2053</v>
      </c>
      <c r="G356" s="35">
        <f t="shared" si="1"/>
        <v>7291</v>
      </c>
      <c r="I356" s="35" t="str">
        <f>iFERROR(vlookup(G356,Masters!C$6:D1000,2, fALSE),"MISSING")</f>
        <v>Shinglers</v>
      </c>
    </row>
    <row r="357">
      <c r="A357" s="121" t="s">
        <v>2884</v>
      </c>
      <c r="B357" s="121">
        <v>7292.0</v>
      </c>
      <c r="C357" s="121" t="s">
        <v>217</v>
      </c>
      <c r="D357" s="122" t="s">
        <v>2885</v>
      </c>
      <c r="E357" s="121" t="s">
        <v>2053</v>
      </c>
      <c r="F357" s="121" t="s">
        <v>2053</v>
      </c>
      <c r="G357" s="35">
        <f t="shared" si="1"/>
        <v>7292</v>
      </c>
      <c r="I357" s="35" t="str">
        <f>iFERROR(vlookup(G357,Masters!C$6:D1000,2, fALSE),"MISSING")</f>
        <v>Glaziers</v>
      </c>
    </row>
    <row r="358">
      <c r="A358" s="121" t="s">
        <v>2886</v>
      </c>
      <c r="B358" s="121">
        <v>7293.0</v>
      </c>
      <c r="C358" s="121" t="s">
        <v>752</v>
      </c>
      <c r="D358" s="122" t="s">
        <v>2887</v>
      </c>
      <c r="E358" s="121" t="s">
        <v>2053</v>
      </c>
      <c r="F358" s="121" t="s">
        <v>2053</v>
      </c>
      <c r="G358" s="35">
        <f t="shared" si="1"/>
        <v>7293</v>
      </c>
      <c r="I358" s="35" t="str">
        <f>iFERROR(vlookup(G358,Masters!C$6:D1000,2, fALSE),"MISSING")</f>
        <v>Insulators</v>
      </c>
    </row>
    <row r="359">
      <c r="A359" s="121" t="s">
        <v>2888</v>
      </c>
      <c r="B359" s="121">
        <v>7294.0</v>
      </c>
      <c r="C359" s="121" t="s">
        <v>1347</v>
      </c>
      <c r="D359" s="122" t="s">
        <v>2889</v>
      </c>
      <c r="E359" s="121" t="s">
        <v>2053</v>
      </c>
      <c r="F359" s="121" t="s">
        <v>2053</v>
      </c>
      <c r="G359" s="35">
        <f t="shared" si="1"/>
        <v>7294</v>
      </c>
      <c r="I359" s="35" t="str">
        <f>iFERROR(vlookup(G359,Masters!C$6:D1000,2, fALSE),"MISSING")</f>
        <v>Painters and Decorators</v>
      </c>
    </row>
    <row r="360">
      <c r="A360" s="121" t="s">
        <v>2890</v>
      </c>
      <c r="B360" s="121">
        <v>7295.0</v>
      </c>
      <c r="C360" s="121" t="s">
        <v>1112</v>
      </c>
      <c r="D360" s="122" t="s">
        <v>2891</v>
      </c>
      <c r="E360" s="121" t="s">
        <v>2053</v>
      </c>
      <c r="F360" s="121" t="s">
        <v>2053</v>
      </c>
      <c r="G360" s="35">
        <f t="shared" si="1"/>
        <v>7295</v>
      </c>
      <c r="I360" s="35" t="str">
        <f>iFERROR(vlookup(G360,Masters!C$6:D1000,2, fALSE),"MISSING")</f>
        <v>Floor Covering Installers</v>
      </c>
    </row>
    <row r="361">
      <c r="A361" s="121" t="s">
        <v>2892</v>
      </c>
      <c r="B361" s="121">
        <v>7301.0</v>
      </c>
      <c r="C361" s="121" t="s">
        <v>1096</v>
      </c>
      <c r="D361" s="122" t="s">
        <v>2893</v>
      </c>
      <c r="E361" s="121" t="s">
        <v>2053</v>
      </c>
      <c r="F361" s="121" t="s">
        <v>2053</v>
      </c>
      <c r="G361" s="35">
        <f t="shared" si="1"/>
        <v>7301</v>
      </c>
      <c r="I361" s="35" t="str">
        <f>iFERROR(vlookup(G361,Masters!C$6:D1000,2, fALSE),"MISSING")</f>
        <v>Contractors and Supervisors, Mechanic Trades</v>
      </c>
    </row>
    <row r="362">
      <c r="A362" s="121" t="s">
        <v>2894</v>
      </c>
      <c r="B362" s="121">
        <v>7302.0</v>
      </c>
      <c r="C362" s="121" t="s">
        <v>1095</v>
      </c>
      <c r="D362" s="122" t="s">
        <v>2895</v>
      </c>
      <c r="E362" s="121" t="s">
        <v>2053</v>
      </c>
      <c r="F362" s="121" t="s">
        <v>2053</v>
      </c>
      <c r="G362" s="35">
        <f t="shared" si="1"/>
        <v>7302</v>
      </c>
      <c r="I362" s="35" t="str">
        <f>iFERROR(vlookup(G362,Masters!C$6:D1000,2, fALSE),"MISSING")</f>
        <v>Contractors and Supervisors, Heavy Construction Equipment Crews</v>
      </c>
    </row>
    <row r="363">
      <c r="A363" s="121" t="s">
        <v>2896</v>
      </c>
      <c r="B363" s="121">
        <v>7303.0</v>
      </c>
      <c r="C363" s="121" t="s">
        <v>1287</v>
      </c>
      <c r="D363" s="122" t="s">
        <v>2897</v>
      </c>
      <c r="E363" s="121" t="s">
        <v>2053</v>
      </c>
      <c r="F363" s="121" t="s">
        <v>2053</v>
      </c>
      <c r="G363" s="35">
        <f t="shared" si="1"/>
        <v>7303</v>
      </c>
      <c r="I363" s="35" t="str">
        <f>iFERROR(vlookup(G363,Masters!C$6:D1000,2, fALSE),"MISSING")</f>
        <v>Supervisors, Printing and Related Occupations</v>
      </c>
    </row>
    <row r="364">
      <c r="A364" s="121" t="s">
        <v>2898</v>
      </c>
      <c r="B364" s="121">
        <v>7304.0</v>
      </c>
      <c r="C364" s="121" t="s">
        <v>1159</v>
      </c>
      <c r="D364" s="122" t="s">
        <v>2899</v>
      </c>
      <c r="E364" s="121" t="s">
        <v>2053</v>
      </c>
      <c r="F364" s="121" t="s">
        <v>2053</v>
      </c>
      <c r="G364" s="35">
        <f t="shared" si="1"/>
        <v>7304</v>
      </c>
      <c r="I364" s="35" t="str">
        <f>iFERROR(vlookup(G364,Masters!C$6:D1000,2, fALSE),"MISSING")</f>
        <v>Supervisors, Railway Transport Operations</v>
      </c>
    </row>
    <row r="365">
      <c r="A365" s="121" t="s">
        <v>2900</v>
      </c>
      <c r="B365" s="121">
        <v>7305.0</v>
      </c>
      <c r="C365" s="121" t="s">
        <v>1363</v>
      </c>
      <c r="D365" s="122" t="s">
        <v>2901</v>
      </c>
      <c r="E365" s="121" t="s">
        <v>2053</v>
      </c>
      <c r="F365" s="121" t="s">
        <v>2053</v>
      </c>
      <c r="G365" s="35">
        <f t="shared" si="1"/>
        <v>7305</v>
      </c>
      <c r="I365" s="35" t="str">
        <f>iFERROR(vlookup(G365,Masters!C$6:D1000,2, fALSE),"MISSING")</f>
        <v>Supervisors, Motor Transport and Other Ground Transit Operators</v>
      </c>
    </row>
    <row r="366">
      <c r="A366" s="121" t="s">
        <v>2902</v>
      </c>
      <c r="B366" s="121">
        <v>7311.0</v>
      </c>
      <c r="C366" s="121" t="s">
        <v>1270</v>
      </c>
      <c r="D366" s="122" t="s">
        <v>2903</v>
      </c>
      <c r="E366" s="121" t="s">
        <v>2904</v>
      </c>
      <c r="F366" s="121" t="s">
        <v>2053</v>
      </c>
      <c r="G366" s="35">
        <f t="shared" si="1"/>
        <v>7311</v>
      </c>
      <c r="I366" s="35" t="str">
        <f>iFERROR(vlookup(G366,Masters!C$6:D1000,2, fALSE),"MISSING")</f>
        <v>Construction Millwrights and Industrial Mechanics (Except Textile)</v>
      </c>
    </row>
    <row r="367">
      <c r="A367" s="121" t="s">
        <v>2905</v>
      </c>
      <c r="B367" s="121">
        <v>7312.0</v>
      </c>
      <c r="C367" s="121" t="s">
        <v>1280</v>
      </c>
      <c r="D367" s="122" t="s">
        <v>2906</v>
      </c>
      <c r="E367" s="121" t="s">
        <v>2907</v>
      </c>
      <c r="F367" s="121" t="s">
        <v>2053</v>
      </c>
      <c r="G367" s="35">
        <f t="shared" si="1"/>
        <v>7312</v>
      </c>
      <c r="I367" s="35" t="str">
        <f>iFERROR(vlookup(G367,Masters!C$6:D1000,2, fALSE),"MISSING")</f>
        <v>Heavy-Duty Equipment Mechanics</v>
      </c>
    </row>
    <row r="368">
      <c r="A368" s="121" t="s">
        <v>2908</v>
      </c>
      <c r="B368" s="121">
        <v>7313.0</v>
      </c>
      <c r="C368" s="121" t="s">
        <v>1154</v>
      </c>
      <c r="D368" s="122" t="s">
        <v>2909</v>
      </c>
      <c r="E368" s="121" t="s">
        <v>2910</v>
      </c>
      <c r="F368" s="121" t="s">
        <v>2053</v>
      </c>
      <c r="G368" s="35">
        <f t="shared" si="1"/>
        <v>7313</v>
      </c>
      <c r="I368" s="35" t="str">
        <f>iFERROR(vlookup(G368,Masters!C$6:D1000,2, fALSE),"MISSING")</f>
        <v>Refrigeration and Air Conditioning Mechanics</v>
      </c>
    </row>
    <row r="369">
      <c r="A369" s="121" t="s">
        <v>2911</v>
      </c>
      <c r="B369" s="121">
        <v>7314.0</v>
      </c>
      <c r="C369" s="121" t="s">
        <v>1288</v>
      </c>
      <c r="D369" s="122" t="s">
        <v>2912</v>
      </c>
      <c r="E369" s="121" t="s">
        <v>2053</v>
      </c>
      <c r="F369" s="121" t="s">
        <v>2053</v>
      </c>
      <c r="G369" s="35">
        <f t="shared" si="1"/>
        <v>7314</v>
      </c>
      <c r="I369" s="35" t="str">
        <f>iFERROR(vlookup(G369,Masters!C$6:D1000,2, fALSE),"MISSING")</f>
        <v>Railway Carmen/women</v>
      </c>
    </row>
    <row r="370">
      <c r="A370" s="121" t="s">
        <v>2913</v>
      </c>
      <c r="B370" s="121">
        <v>7315.0</v>
      </c>
      <c r="C370" s="121" t="s">
        <v>118</v>
      </c>
      <c r="D370" s="122" t="s">
        <v>2914</v>
      </c>
      <c r="E370" s="121" t="s">
        <v>2053</v>
      </c>
      <c r="F370" s="121" t="s">
        <v>2053</v>
      </c>
      <c r="G370" s="35">
        <f t="shared" si="1"/>
        <v>7315</v>
      </c>
      <c r="I370" s="35" t="str">
        <f>iFERROR(vlookup(G370,Masters!C$6:D1000,2, fALSE),"MISSING")</f>
        <v>Aircraft Mechanics</v>
      </c>
    </row>
    <row r="371">
      <c r="A371" s="121" t="s">
        <v>2915</v>
      </c>
      <c r="B371" s="121">
        <v>7316.0</v>
      </c>
      <c r="C371" s="121" t="s">
        <v>1128</v>
      </c>
      <c r="D371" s="122" t="s">
        <v>2916</v>
      </c>
      <c r="E371" s="121" t="s">
        <v>2053</v>
      </c>
      <c r="F371" s="121" t="s">
        <v>2053</v>
      </c>
      <c r="G371" s="35">
        <f t="shared" si="1"/>
        <v>7316</v>
      </c>
      <c r="I371" s="35" t="str">
        <f>iFERROR(vlookup(G371,Masters!C$6:D1000,2, fALSE),"MISSING")</f>
        <v>Machine Fitters</v>
      </c>
    </row>
    <row r="372">
      <c r="A372" s="121" t="s">
        <v>2917</v>
      </c>
      <c r="B372" s="121">
        <v>7318.0</v>
      </c>
      <c r="C372" s="121" t="s">
        <v>1304</v>
      </c>
      <c r="D372" s="122" t="s">
        <v>2918</v>
      </c>
      <c r="E372" s="121" t="s">
        <v>2053</v>
      </c>
      <c r="F372" s="121" t="s">
        <v>2053</v>
      </c>
      <c r="G372" s="35">
        <f t="shared" si="1"/>
        <v>7318</v>
      </c>
      <c r="I372" s="35" t="str">
        <f>iFERROR(vlookup(G372,Masters!C$6:D1000,2, fALSE),"MISSING")</f>
        <v>Elevator Constructors and Mechanics</v>
      </c>
    </row>
    <row r="373">
      <c r="A373" s="121" t="s">
        <v>2919</v>
      </c>
      <c r="B373" s="121">
        <v>7321.0</v>
      </c>
      <c r="C373" s="121" t="s">
        <v>1291</v>
      </c>
      <c r="D373" s="122" t="s">
        <v>2920</v>
      </c>
      <c r="E373" s="121" t="s">
        <v>2921</v>
      </c>
      <c r="F373" s="121" t="s">
        <v>2053</v>
      </c>
      <c r="G373" s="35">
        <f t="shared" si="1"/>
        <v>7321</v>
      </c>
      <c r="I373" s="35" t="str">
        <f>iFERROR(vlookup(G373,Masters!C$6:D1000,2, fALSE),"MISSING")</f>
        <v>Automotive Service Technicians</v>
      </c>
    </row>
    <row r="374">
      <c r="A374" s="121" t="s">
        <v>2922</v>
      </c>
      <c r="B374" s="121">
        <v>7322.0</v>
      </c>
      <c r="C374" s="121" t="s">
        <v>1281</v>
      </c>
      <c r="D374" s="122" t="s">
        <v>2923</v>
      </c>
      <c r="E374" s="121" t="s">
        <v>2053</v>
      </c>
      <c r="F374" s="121" t="s">
        <v>2053</v>
      </c>
      <c r="G374" s="35">
        <f t="shared" si="1"/>
        <v>7322</v>
      </c>
      <c r="I374" s="35" t="str">
        <f>iFERROR(vlookup(G374,Masters!C$6:D1000,2, fALSE),"MISSING")</f>
        <v>Motor Vehicle Body Repairers</v>
      </c>
    </row>
    <row r="375">
      <c r="A375" s="121" t="s">
        <v>2924</v>
      </c>
      <c r="B375" s="121">
        <v>7331.0</v>
      </c>
      <c r="C375" s="121" t="s">
        <v>1282</v>
      </c>
      <c r="D375" s="122" t="s">
        <v>2925</v>
      </c>
      <c r="E375" s="121" t="s">
        <v>2053</v>
      </c>
      <c r="F375" s="121" t="s">
        <v>2053</v>
      </c>
      <c r="G375" s="35">
        <f t="shared" si="1"/>
        <v>7331</v>
      </c>
      <c r="I375" s="35" t="str">
        <f>iFERROR(vlookup(G375,Masters!C$6:D1000,2, fALSE),"MISSING")</f>
        <v>Oil and Solid Fuel Heating Mechanics</v>
      </c>
    </row>
    <row r="376">
      <c r="A376" s="121" t="s">
        <v>2926</v>
      </c>
      <c r="B376" s="121">
        <v>7332.0</v>
      </c>
      <c r="C376" s="121" t="s">
        <v>1132</v>
      </c>
      <c r="D376" s="122" t="s">
        <v>2927</v>
      </c>
      <c r="E376" s="121" t="s">
        <v>2053</v>
      </c>
      <c r="F376" s="121" t="s">
        <v>2053</v>
      </c>
      <c r="G376" s="35">
        <f t="shared" si="1"/>
        <v>7332</v>
      </c>
      <c r="I376" s="35" t="str">
        <f>iFERROR(vlookup(G376,Masters!C$6:D1000,2, fALSE),"MISSING")</f>
        <v>Major Appliance Repairers/Technicians</v>
      </c>
    </row>
    <row r="377">
      <c r="A377" s="121" t="s">
        <v>2928</v>
      </c>
      <c r="B377" s="121">
        <v>7333.0</v>
      </c>
      <c r="C377" s="121" t="s">
        <v>1274</v>
      </c>
      <c r="D377" s="122" t="s">
        <v>2929</v>
      </c>
      <c r="E377" s="121" t="s">
        <v>2053</v>
      </c>
      <c r="F377" s="121" t="s">
        <v>2053</v>
      </c>
      <c r="G377" s="35">
        <f t="shared" si="1"/>
        <v>7333</v>
      </c>
      <c r="I377" s="35" t="str">
        <f>iFERROR(vlookup(G377,Masters!C$6:D1000,2, fALSE),"MISSING")</f>
        <v>Electrical Mechanics</v>
      </c>
    </row>
    <row r="378">
      <c r="A378" s="121" t="s">
        <v>2930</v>
      </c>
      <c r="B378" s="121">
        <v>7334.0</v>
      </c>
      <c r="C378" s="121" t="s">
        <v>1141</v>
      </c>
      <c r="D378" s="122" t="s">
        <v>2931</v>
      </c>
      <c r="E378" s="121" t="s">
        <v>2053</v>
      </c>
      <c r="F378" s="121" t="s">
        <v>2053</v>
      </c>
      <c r="G378" s="35">
        <f t="shared" si="1"/>
        <v>7334</v>
      </c>
      <c r="I378" s="35" t="str">
        <f>iFERROR(vlookup(G378,Masters!C$6:D1000,2, fALSE),"MISSING")</f>
        <v>Motorcycle and Other Related Mechanics</v>
      </c>
    </row>
    <row r="379">
      <c r="A379" s="121" t="s">
        <v>2932</v>
      </c>
      <c r="B379" s="121">
        <v>7335.0</v>
      </c>
      <c r="C379" s="121" t="s">
        <v>1345</v>
      </c>
      <c r="D379" s="122" t="s">
        <v>2933</v>
      </c>
      <c r="E379" s="121" t="s">
        <v>2053</v>
      </c>
      <c r="F379" s="121" t="s">
        <v>2053</v>
      </c>
      <c r="G379" s="35">
        <f t="shared" si="1"/>
        <v>7335</v>
      </c>
      <c r="I379" s="35" t="str">
        <f>iFERROR(vlookup(G379,Masters!C$6:D1000,2, fALSE),"MISSING")</f>
        <v>Other Small Engine and Equipment Mechanics</v>
      </c>
    </row>
    <row r="380">
      <c r="A380" s="121" t="s">
        <v>2934</v>
      </c>
      <c r="B380" s="121">
        <v>7361.0</v>
      </c>
      <c r="C380" s="121" t="s">
        <v>1374</v>
      </c>
      <c r="D380" s="122" t="s">
        <v>2935</v>
      </c>
      <c r="E380" s="121" t="s">
        <v>2053</v>
      </c>
      <c r="F380" s="121" t="s">
        <v>2053</v>
      </c>
      <c r="G380" s="35">
        <f t="shared" si="1"/>
        <v>7361</v>
      </c>
      <c r="I380" s="35" t="str">
        <f>iFERROR(vlookup(G380,Masters!C$6:D1000,2, fALSE),"MISSING")</f>
        <v>Yard Locomotive Engineers</v>
      </c>
    </row>
    <row r="381">
      <c r="A381" s="121" t="s">
        <v>2936</v>
      </c>
      <c r="B381" s="121">
        <v>7362.0</v>
      </c>
      <c r="C381" s="121" t="s">
        <v>1196</v>
      </c>
      <c r="D381" s="122" t="s">
        <v>2937</v>
      </c>
      <c r="E381" s="121" t="e">
        <v>#NAME?</v>
      </c>
      <c r="F381" s="121" t="s">
        <v>2053</v>
      </c>
      <c r="G381" s="35">
        <f t="shared" si="1"/>
        <v>7362</v>
      </c>
      <c r="I381" s="35" t="str">
        <f>iFERROR(vlookup(G381,Masters!C$6:D1000,2, fALSE),"MISSING")</f>
        <v>Railway Conductors</v>
      </c>
    </row>
    <row r="382">
      <c r="A382" s="121" t="s">
        <v>2938</v>
      </c>
      <c r="B382" s="121">
        <v>7371.0</v>
      </c>
      <c r="C382" s="121" t="s">
        <v>1328</v>
      </c>
      <c r="D382" s="122" t="s">
        <v>2939</v>
      </c>
      <c r="E382" s="121" t="s">
        <v>2053</v>
      </c>
      <c r="F382" s="121" t="s">
        <v>2053</v>
      </c>
      <c r="G382" s="35">
        <f t="shared" si="1"/>
        <v>7371</v>
      </c>
      <c r="I382" s="35" t="str">
        <f>iFERROR(vlookup(G382,Masters!C$6:D1000,2, fALSE),"MISSING")</f>
        <v>Crane Operators</v>
      </c>
    </row>
    <row r="383">
      <c r="A383" s="121" t="s">
        <v>2940</v>
      </c>
      <c r="B383" s="121">
        <v>7372.0</v>
      </c>
      <c r="C383" s="121" t="s">
        <v>1110</v>
      </c>
      <c r="D383" s="122" t="s">
        <v>2941</v>
      </c>
      <c r="E383" s="121" t="s">
        <v>2053</v>
      </c>
      <c r="F383" s="121" t="s">
        <v>2053</v>
      </c>
      <c r="G383" s="35">
        <f t="shared" si="1"/>
        <v>7372</v>
      </c>
      <c r="I383" s="35" t="str">
        <f>iFERROR(vlookup(G383,Masters!C$6:D1000,2, fALSE),"MISSING")</f>
        <v>Drillers - Surface Mining, Quarrying and Construction</v>
      </c>
    </row>
    <row r="384">
      <c r="A384" s="121" t="s">
        <v>2942</v>
      </c>
      <c r="B384" s="121">
        <v>7373.0</v>
      </c>
      <c r="C384" s="121" t="s">
        <v>1368</v>
      </c>
      <c r="D384" s="122" t="s">
        <v>2943</v>
      </c>
      <c r="E384" s="121" t="s">
        <v>2053</v>
      </c>
      <c r="F384" s="121" t="s">
        <v>2053</v>
      </c>
      <c r="G384" s="35">
        <f t="shared" si="1"/>
        <v>7373</v>
      </c>
      <c r="I384" s="35" t="str">
        <f>iFERROR(vlookup(G384,Masters!C$6:D1000,2, fALSE),"MISSING")</f>
        <v>Water Well Drillers</v>
      </c>
    </row>
    <row r="385">
      <c r="A385" s="121" t="s">
        <v>2944</v>
      </c>
      <c r="B385" s="121">
        <v>7381.0</v>
      </c>
      <c r="C385" s="121" t="s">
        <v>1283</v>
      </c>
      <c r="D385" s="122" t="s">
        <v>2945</v>
      </c>
      <c r="E385" s="121" t="s">
        <v>2053</v>
      </c>
      <c r="F385" s="121" t="s">
        <v>2053</v>
      </c>
      <c r="G385" s="35">
        <f t="shared" si="1"/>
        <v>7381</v>
      </c>
      <c r="I385" s="35" t="str">
        <f>iFERROR(vlookup(G385,Masters!C$6:D1000,2, fALSE),"MISSING")</f>
        <v>Printing Press Operators</v>
      </c>
    </row>
    <row r="386">
      <c r="A386" s="121" t="s">
        <v>2946</v>
      </c>
      <c r="B386" s="121">
        <v>7384.0</v>
      </c>
      <c r="C386" s="121" t="s">
        <v>1089</v>
      </c>
      <c r="D386" s="122" t="s">
        <v>2947</v>
      </c>
      <c r="E386" s="121" t="s">
        <v>2053</v>
      </c>
      <c r="F386" s="121" t="s">
        <v>2053</v>
      </c>
      <c r="G386" s="35">
        <f t="shared" si="1"/>
        <v>7384</v>
      </c>
      <c r="I386" s="35" t="str">
        <f>iFERROR(vlookup(G386,Masters!C$6:D1000,2, fALSE),"MISSING")</f>
        <v>Commercial Divers</v>
      </c>
    </row>
    <row r="387">
      <c r="A387" s="121" t="s">
        <v>2948</v>
      </c>
      <c r="B387" s="121">
        <v>7441.0</v>
      </c>
      <c r="C387" s="121" t="s">
        <v>1313</v>
      </c>
      <c r="D387" s="122" t="s">
        <v>2949</v>
      </c>
      <c r="E387" s="121" t="s">
        <v>2053</v>
      </c>
      <c r="F387" s="121" t="s">
        <v>2053</v>
      </c>
      <c r="G387" s="35">
        <f t="shared" si="1"/>
        <v>7441</v>
      </c>
      <c r="I387" s="35" t="str">
        <f>iFERROR(vlookup(G387,Masters!C$6:D1000,2, fALSE),"MISSING")</f>
        <v>Residential and Commercial Installers and Servicers</v>
      </c>
    </row>
    <row r="388">
      <c r="A388" s="121" t="s">
        <v>2950</v>
      </c>
      <c r="B388" s="121">
        <v>7442.0</v>
      </c>
      <c r="C388" s="121" t="s">
        <v>1115</v>
      </c>
      <c r="D388" s="122" t="s">
        <v>2951</v>
      </c>
      <c r="E388" s="121" t="s">
        <v>2053</v>
      </c>
      <c r="F388" s="121" t="s">
        <v>2053</v>
      </c>
      <c r="G388" s="35">
        <f t="shared" si="1"/>
        <v>7442</v>
      </c>
      <c r="I388" s="35" t="str">
        <f>iFERROR(vlookup(G388,Masters!C$6:D1000,2, fALSE),"MISSING")</f>
        <v>Gas Maintenance Workers</v>
      </c>
    </row>
    <row r="389">
      <c r="A389" s="121" t="s">
        <v>2952</v>
      </c>
      <c r="B389" s="121">
        <v>7444.0</v>
      </c>
      <c r="C389" s="121" t="s">
        <v>1405</v>
      </c>
      <c r="D389" s="122" t="s">
        <v>2953</v>
      </c>
      <c r="E389" s="121" t="s">
        <v>2053</v>
      </c>
      <c r="F389" s="121" t="s">
        <v>2053</v>
      </c>
      <c r="G389" s="35">
        <f t="shared" si="1"/>
        <v>7444</v>
      </c>
      <c r="I389" s="35" t="str">
        <f>iFERROR(vlookup(G389,Masters!C$6:D1000,2, fALSE),"MISSING")</f>
        <v>Pest Controllers and Fumigators</v>
      </c>
    </row>
    <row r="390">
      <c r="A390" s="121" t="s">
        <v>2954</v>
      </c>
      <c r="B390" s="121">
        <v>7445.0</v>
      </c>
      <c r="C390" s="121" t="s">
        <v>1284</v>
      </c>
      <c r="D390" s="122" t="s">
        <v>2955</v>
      </c>
      <c r="E390" s="121" t="s">
        <v>2053</v>
      </c>
      <c r="F390" s="121" t="s">
        <v>2053</v>
      </c>
      <c r="G390" s="35">
        <f t="shared" si="1"/>
        <v>7445</v>
      </c>
      <c r="I390" s="35" t="str">
        <f>iFERROR(vlookup(G390,Masters!C$6:D1000,2, fALSE),"MISSING")</f>
        <v>Other Repairers and Servicers</v>
      </c>
    </row>
    <row r="391">
      <c r="A391" s="121" t="s">
        <v>2956</v>
      </c>
      <c r="B391" s="121">
        <v>7451.0</v>
      </c>
      <c r="C391" s="121" t="s">
        <v>1129</v>
      </c>
      <c r="D391" s="122" t="s">
        <v>2957</v>
      </c>
      <c r="E391" s="121" t="s">
        <v>2958</v>
      </c>
      <c r="F391" s="121" t="s">
        <v>2053</v>
      </c>
      <c r="G391" s="35">
        <f t="shared" si="1"/>
        <v>7451</v>
      </c>
      <c r="I391" s="35" t="str">
        <f>iFERROR(vlookup(G391,Masters!C$6:D1000,2, fALSE),"MISSING")</f>
        <v>Longshore Workers</v>
      </c>
    </row>
    <row r="392">
      <c r="A392" s="121" t="s">
        <v>2959</v>
      </c>
      <c r="B392" s="121">
        <v>7452.0</v>
      </c>
      <c r="C392" s="121" t="s">
        <v>1399</v>
      </c>
      <c r="D392" s="122" t="s">
        <v>2960</v>
      </c>
      <c r="E392" s="121" t="s">
        <v>2053</v>
      </c>
      <c r="F392" s="121" t="s">
        <v>2053</v>
      </c>
      <c r="G392" s="35">
        <f t="shared" si="1"/>
        <v>7452</v>
      </c>
      <c r="I392" s="35" t="str">
        <f>iFERROR(vlookup(G392,Masters!C$6:D1000,2, fALSE),"MISSING")</f>
        <v>Material Handlers (Equipment Operators)</v>
      </c>
    </row>
    <row r="393">
      <c r="A393" s="121" t="s">
        <v>2961</v>
      </c>
      <c r="B393" s="121">
        <v>7511.0</v>
      </c>
      <c r="C393" s="121" t="s">
        <v>1127</v>
      </c>
      <c r="D393" s="122" t="s">
        <v>2962</v>
      </c>
      <c r="E393" s="121" t="s">
        <v>2963</v>
      </c>
      <c r="F393" s="121" t="s">
        <v>2053</v>
      </c>
      <c r="G393" s="35">
        <f t="shared" si="1"/>
        <v>7511</v>
      </c>
      <c r="I393" s="35" t="str">
        <f>iFERROR(vlookup(G393,Masters!C$6:D1000,2, fALSE),"MISSING")</f>
        <v>Line-Haul and Local Truck Drivers</v>
      </c>
    </row>
    <row r="394">
      <c r="A394" s="121" t="s">
        <v>2964</v>
      </c>
      <c r="B394" s="121">
        <v>7512.0</v>
      </c>
      <c r="C394" s="121" t="s">
        <v>1103</v>
      </c>
      <c r="D394" s="122" t="s">
        <v>2965</v>
      </c>
      <c r="E394" s="121" t="s">
        <v>2966</v>
      </c>
      <c r="F394" s="121" t="s">
        <v>2053</v>
      </c>
      <c r="G394" s="35">
        <f t="shared" si="1"/>
        <v>7512</v>
      </c>
      <c r="I394" s="35" t="str">
        <f>iFERROR(vlookup(G394,Masters!C$6:D1000,2, fALSE),"MISSING")</f>
        <v>Bus and Streetcar Drivers</v>
      </c>
    </row>
    <row r="395">
      <c r="A395" s="121" t="s">
        <v>2967</v>
      </c>
      <c r="B395" s="121">
        <v>7513.0</v>
      </c>
      <c r="C395" s="121" t="s">
        <v>1323</v>
      </c>
      <c r="D395" s="122" t="s">
        <v>2968</v>
      </c>
      <c r="E395" s="121" t="s">
        <v>2053</v>
      </c>
      <c r="F395" s="121" t="s">
        <v>2053</v>
      </c>
      <c r="G395" s="35">
        <f t="shared" si="1"/>
        <v>7513</v>
      </c>
      <c r="I395" s="35" t="str">
        <f>iFERROR(vlookup(G395,Masters!C$6:D1000,2, fALSE),"MISSING")</f>
        <v>Chauffeurs</v>
      </c>
    </row>
    <row r="396">
      <c r="A396" s="121" t="s">
        <v>2969</v>
      </c>
      <c r="B396" s="121">
        <v>7514.0</v>
      </c>
      <c r="C396" s="121" t="s">
        <v>1329</v>
      </c>
      <c r="D396" s="122" t="s">
        <v>2970</v>
      </c>
      <c r="E396" s="121" t="s">
        <v>2053</v>
      </c>
      <c r="F396" s="121" t="s">
        <v>2053</v>
      </c>
      <c r="G396" s="35">
        <f t="shared" si="1"/>
        <v>7514</v>
      </c>
      <c r="I396" s="35" t="str">
        <f>iFERROR(vlookup(G396,Masters!C$6:D1000,2, fALSE),"MISSING")</f>
        <v>Delivery and Courier Service Drivers</v>
      </c>
    </row>
    <row r="397">
      <c r="A397" s="121" t="s">
        <v>2971</v>
      </c>
      <c r="B397" s="121">
        <v>7521.0</v>
      </c>
      <c r="C397" s="121" t="s">
        <v>1331</v>
      </c>
      <c r="D397" s="122" t="s">
        <v>2972</v>
      </c>
      <c r="E397" s="121" t="s">
        <v>2973</v>
      </c>
      <c r="F397" s="121" t="s">
        <v>2053</v>
      </c>
      <c r="G397" s="35">
        <f t="shared" si="1"/>
        <v>7521</v>
      </c>
      <c r="I397" s="35" t="str">
        <f>iFERROR(vlookup(G397,Masters!C$6:D1000,2, fALSE),"MISSING")</f>
        <v>Heavy Equipment Operators (Except Crane)</v>
      </c>
    </row>
    <row r="398">
      <c r="A398" s="121" t="s">
        <v>2974</v>
      </c>
      <c r="B398" s="121">
        <v>7522.0</v>
      </c>
      <c r="C398" s="121" t="s">
        <v>1357</v>
      </c>
      <c r="D398" s="122" t="s">
        <v>2975</v>
      </c>
      <c r="E398" s="121" t="s">
        <v>2053</v>
      </c>
      <c r="F398" s="121" t="s">
        <v>2053</v>
      </c>
      <c r="G398" s="35">
        <f t="shared" si="1"/>
        <v>7522</v>
      </c>
      <c r="I398" s="35" t="str">
        <f>iFERROR(vlookup(G398,Masters!C$6:D1000,2, fALSE),"MISSING")</f>
        <v>Public Works Maintenance Equipment Operators</v>
      </c>
    </row>
    <row r="399">
      <c r="A399" s="121" t="s">
        <v>2976</v>
      </c>
      <c r="B399" s="121">
        <v>7531.0</v>
      </c>
      <c r="C399" s="121" t="s">
        <v>1412</v>
      </c>
      <c r="D399" s="122" t="s">
        <v>2977</v>
      </c>
      <c r="E399" s="121" t="s">
        <v>2053</v>
      </c>
      <c r="F399" s="121" t="s">
        <v>2053</v>
      </c>
      <c r="G399" s="35">
        <f t="shared" si="1"/>
        <v>7531</v>
      </c>
      <c r="I399" s="35" t="str">
        <f>iFERROR(vlookup(G399,Masters!C$6:D1000,2, fALSE),"MISSING")</f>
        <v>Railway Track Maintenance Workers</v>
      </c>
    </row>
    <row r="400">
      <c r="A400" s="121" t="s">
        <v>2978</v>
      </c>
      <c r="B400" s="121">
        <v>7532.0</v>
      </c>
      <c r="C400" s="121" t="s">
        <v>1388</v>
      </c>
      <c r="D400" s="122" t="s">
        <v>2979</v>
      </c>
      <c r="E400" s="121" t="s">
        <v>2980</v>
      </c>
      <c r="F400" s="121" t="s">
        <v>2053</v>
      </c>
      <c r="G400" s="35">
        <f t="shared" si="1"/>
        <v>7532</v>
      </c>
      <c r="I400" s="35" t="str">
        <f>iFERROR(vlookup(G400,Masters!C$6:D1000,2, fALSE),"MISSING")</f>
        <v>Deck Crew, Water Transport</v>
      </c>
    </row>
    <row r="401">
      <c r="A401" s="121" t="s">
        <v>2981</v>
      </c>
      <c r="B401" s="121">
        <v>7533.0</v>
      </c>
      <c r="C401" s="121" t="s">
        <v>1216</v>
      </c>
      <c r="D401" s="122" t="s">
        <v>2982</v>
      </c>
      <c r="E401" s="121" t="s">
        <v>2053</v>
      </c>
      <c r="F401" s="121" t="s">
        <v>2053</v>
      </c>
      <c r="G401" s="35">
        <f t="shared" si="1"/>
        <v>7533</v>
      </c>
      <c r="I401" s="35" t="str">
        <f>iFERROR(vlookup(G401,Masters!C$6:D1000,2, fALSE),"MISSING")</f>
        <v>Boat Operators</v>
      </c>
    </row>
    <row r="402">
      <c r="A402" s="121" t="s">
        <v>2983</v>
      </c>
      <c r="B402" s="121">
        <v>7534.0</v>
      </c>
      <c r="C402" s="121" t="s">
        <v>1377</v>
      </c>
      <c r="D402" s="122" t="s">
        <v>2984</v>
      </c>
      <c r="E402" s="121" t="s">
        <v>2053</v>
      </c>
      <c r="F402" s="121" t="s">
        <v>2053</v>
      </c>
      <c r="G402" s="35">
        <f t="shared" si="1"/>
        <v>7534</v>
      </c>
      <c r="I402" s="35" t="str">
        <f>iFERROR(vlookup(G402,Masters!C$6:D1000,2, fALSE),"MISSING")</f>
        <v>Air Transport Ramp Attendants</v>
      </c>
    </row>
    <row r="403">
      <c r="A403" s="121" t="s">
        <v>2985</v>
      </c>
      <c r="B403" s="121">
        <v>7535.0</v>
      </c>
      <c r="C403" s="121" t="s">
        <v>1213</v>
      </c>
      <c r="D403" s="122" t="s">
        <v>2986</v>
      </c>
      <c r="E403" s="121" t="s">
        <v>2053</v>
      </c>
      <c r="F403" s="121" t="s">
        <v>2053</v>
      </c>
      <c r="G403" s="35">
        <f t="shared" si="1"/>
        <v>7535</v>
      </c>
      <c r="I403" s="35" t="str">
        <f>iFERROR(vlookup(G403,Masters!C$6:D1000,2, fALSE),"MISSING")</f>
        <v>Automotive Mechanical Installers and Servicers</v>
      </c>
    </row>
    <row r="404">
      <c r="A404" s="121" t="s">
        <v>2987</v>
      </c>
      <c r="B404" s="121">
        <v>7611.0</v>
      </c>
      <c r="C404" s="121" t="s">
        <v>1474</v>
      </c>
      <c r="D404" s="122" t="s">
        <v>2988</v>
      </c>
      <c r="E404" s="121" t="s">
        <v>2053</v>
      </c>
      <c r="F404" s="121" t="s">
        <v>2053</v>
      </c>
      <c r="G404" s="35">
        <f t="shared" si="1"/>
        <v>7611</v>
      </c>
      <c r="I404" s="35" t="str">
        <f>iFERROR(vlookup(G404,Masters!C$6:D1000,2, fALSE),"MISSING")</f>
        <v>Construction Trades Helpers and Labourers</v>
      </c>
    </row>
    <row r="405">
      <c r="A405" s="121" t="s">
        <v>2989</v>
      </c>
      <c r="B405" s="121">
        <v>7612.0</v>
      </c>
      <c r="C405" s="121" t="s">
        <v>1403</v>
      </c>
      <c r="D405" s="122" t="s">
        <v>2990</v>
      </c>
      <c r="E405" s="121" t="s">
        <v>2053</v>
      </c>
      <c r="F405" s="121" t="s">
        <v>2053</v>
      </c>
      <c r="G405" s="35">
        <f t="shared" si="1"/>
        <v>7612</v>
      </c>
      <c r="I405" s="35" t="str">
        <f>iFERROR(vlookup(G405,Masters!C$6:D1000,2, fALSE),"MISSING")</f>
        <v>Other Trades Helpers and Labourers</v>
      </c>
    </row>
    <row r="406">
      <c r="A406" s="121" t="s">
        <v>2991</v>
      </c>
      <c r="B406" s="121">
        <v>7621.0</v>
      </c>
      <c r="C406" s="121" t="s">
        <v>1516</v>
      </c>
      <c r="D406" s="122" t="s">
        <v>2992</v>
      </c>
      <c r="E406" s="121" t="s">
        <v>2053</v>
      </c>
      <c r="F406" s="121" t="s">
        <v>2053</v>
      </c>
      <c r="G406" s="35">
        <f t="shared" si="1"/>
        <v>7621</v>
      </c>
      <c r="I406" s="35" t="str">
        <f>iFERROR(vlookup(G406,Masters!C$6:D1000,2, fALSE),"MISSING")</f>
        <v>Public Works and Maintenance Labourers</v>
      </c>
    </row>
    <row r="407">
      <c r="A407" s="121" t="s">
        <v>2993</v>
      </c>
      <c r="B407" s="121">
        <v>7622.0</v>
      </c>
      <c r="C407" s="121" t="s">
        <v>1515</v>
      </c>
      <c r="D407" s="122" t="s">
        <v>2994</v>
      </c>
      <c r="E407" s="121" t="s">
        <v>2053</v>
      </c>
      <c r="F407" s="121" t="s">
        <v>2053</v>
      </c>
      <c r="G407" s="35">
        <f t="shared" si="1"/>
        <v>7622</v>
      </c>
      <c r="I407" s="35" t="str">
        <f>iFERROR(vlookup(G407,Masters!C$6:D1000,2, fALSE),"MISSING")</f>
        <v>Motor Transport Labourers</v>
      </c>
    </row>
    <row r="408">
      <c r="A408" s="121" t="s">
        <v>2995</v>
      </c>
      <c r="B408" s="121">
        <v>8211.0</v>
      </c>
      <c r="C408" s="121" t="s">
        <v>1202</v>
      </c>
      <c r="D408" s="122" t="s">
        <v>2996</v>
      </c>
      <c r="E408" s="121" t="s">
        <v>2053</v>
      </c>
      <c r="F408" s="121" t="s">
        <v>2053</v>
      </c>
      <c r="G408" s="35">
        <f t="shared" si="1"/>
        <v>8211</v>
      </c>
      <c r="I408" s="35" t="str">
        <f>iFERROR(vlookup(G408,Masters!C$6:D1000,2, fALSE),"MISSING")</f>
        <v>Supervisors, Logging and Forestry</v>
      </c>
    </row>
    <row r="409">
      <c r="A409" s="121" t="s">
        <v>2997</v>
      </c>
      <c r="B409" s="121">
        <v>8221.0</v>
      </c>
      <c r="C409" s="121" t="s">
        <v>1416</v>
      </c>
      <c r="D409" s="122" t="s">
        <v>2998</v>
      </c>
      <c r="E409" s="121" t="s">
        <v>2053</v>
      </c>
      <c r="F409" s="121" t="s">
        <v>2053</v>
      </c>
      <c r="G409" s="35">
        <f t="shared" si="1"/>
        <v>8221</v>
      </c>
      <c r="I409" s="35" t="str">
        <f>iFERROR(vlookup(G409,Masters!C$6:D1000,2, fALSE),"MISSING")</f>
        <v>Supervisors, Mining and Quarrying</v>
      </c>
    </row>
    <row r="410">
      <c r="A410" s="121" t="s">
        <v>2999</v>
      </c>
      <c r="B410" s="121">
        <v>8222.0</v>
      </c>
      <c r="C410" s="121" t="s">
        <v>1417</v>
      </c>
      <c r="D410" s="122" t="s">
        <v>3000</v>
      </c>
      <c r="E410" s="121" t="s">
        <v>3001</v>
      </c>
      <c r="F410" s="121" t="s">
        <v>2053</v>
      </c>
      <c r="G410" s="35">
        <f t="shared" si="1"/>
        <v>8222</v>
      </c>
      <c r="I410" s="35" t="str">
        <f>iFERROR(vlookup(G410,Masters!C$6:D1000,2, fALSE),"MISSING")</f>
        <v>Supervisors, Oil and Gas Drilling and Service</v>
      </c>
    </row>
    <row r="411">
      <c r="A411" s="121" t="s">
        <v>3002</v>
      </c>
      <c r="B411" s="121">
        <v>8231.0</v>
      </c>
      <c r="C411" s="121" t="s">
        <v>1293</v>
      </c>
      <c r="D411" s="122" t="s">
        <v>3003</v>
      </c>
      <c r="E411" s="121" t="s">
        <v>2053</v>
      </c>
      <c r="F411" s="121" t="s">
        <v>2053</v>
      </c>
      <c r="G411" s="35">
        <f t="shared" si="1"/>
        <v>8231</v>
      </c>
      <c r="I411" s="35" t="str">
        <f>iFERROR(vlookup(G411,Masters!C$6:D1000,2, fALSE),"MISSING")</f>
        <v>Underground Production and Development Miners</v>
      </c>
    </row>
    <row r="412">
      <c r="A412" s="121" t="s">
        <v>3004</v>
      </c>
      <c r="B412" s="121">
        <v>8232.0</v>
      </c>
      <c r="C412" s="121" t="s">
        <v>1343</v>
      </c>
      <c r="D412" s="122" t="s">
        <v>3005</v>
      </c>
      <c r="E412" s="121" t="s">
        <v>2053</v>
      </c>
      <c r="F412" s="121" t="s">
        <v>2053</v>
      </c>
      <c r="G412" s="35">
        <f t="shared" si="1"/>
        <v>8232</v>
      </c>
      <c r="I412" s="35" t="str">
        <f>iFERROR(vlookup(G412,Masters!C$6:D1000,2, fALSE),"MISSING")</f>
        <v>Oil and Gas Well Loggers, Testers and Related Workers</v>
      </c>
    </row>
    <row r="413">
      <c r="A413" s="121" t="s">
        <v>3006</v>
      </c>
      <c r="B413" s="121">
        <v>8241.0</v>
      </c>
      <c r="C413" s="121" t="s">
        <v>1383</v>
      </c>
      <c r="D413" s="122" t="s">
        <v>3007</v>
      </c>
      <c r="E413" s="121" t="s">
        <v>2053</v>
      </c>
      <c r="F413" s="121" t="s">
        <v>2053</v>
      </c>
      <c r="G413" s="35">
        <f t="shared" si="1"/>
        <v>8241</v>
      </c>
      <c r="I413" s="35" t="str">
        <f>iFERROR(vlookup(G413,Masters!C$6:D1000,2, fALSE),"MISSING")</f>
        <v>Cable Yarding System Operators</v>
      </c>
    </row>
    <row r="414">
      <c r="A414" s="121" t="s">
        <v>3008</v>
      </c>
      <c r="B414" s="121">
        <v>8252.0</v>
      </c>
      <c r="C414" s="121" t="s">
        <v>1307</v>
      </c>
      <c r="D414" s="122" t="s">
        <v>3009</v>
      </c>
      <c r="E414" s="121" t="s">
        <v>2053</v>
      </c>
      <c r="F414" s="121" t="s">
        <v>2053</v>
      </c>
      <c r="G414" s="35">
        <f t="shared" si="1"/>
        <v>8252</v>
      </c>
      <c r="I414" s="35" t="str">
        <f>iFERROR(vlookup(G414,Masters!C$6:D1000,2, fALSE),"MISSING")</f>
        <v>Farm Supervisors</v>
      </c>
    </row>
    <row r="415">
      <c r="A415" s="121" t="s">
        <v>3010</v>
      </c>
      <c r="B415" s="121">
        <v>8255.0</v>
      </c>
      <c r="C415" s="121" t="s">
        <v>1333</v>
      </c>
      <c r="D415" s="122" t="s">
        <v>3011</v>
      </c>
      <c r="E415" s="121" t="s">
        <v>2053</v>
      </c>
      <c r="F415" s="121" t="s">
        <v>2053</v>
      </c>
      <c r="G415" s="35">
        <f t="shared" si="1"/>
        <v>8255</v>
      </c>
      <c r="I415" s="35" t="str">
        <f>iFERROR(vlookup(G415,Masters!C$6:D1000,2, fALSE),"MISSING")</f>
        <v>Landscaping and Grounds Maintenance Contractors and Managers</v>
      </c>
    </row>
    <row r="416">
      <c r="A416" s="121" t="s">
        <v>3012</v>
      </c>
      <c r="B416" s="121">
        <v>8261.0</v>
      </c>
      <c r="C416" s="121" t="s">
        <v>1109</v>
      </c>
      <c r="D416" s="122" t="s">
        <v>3013</v>
      </c>
      <c r="E416" s="121" t="s">
        <v>2053</v>
      </c>
      <c r="F416" s="121" t="s">
        <v>2053</v>
      </c>
      <c r="G416" s="35">
        <f t="shared" si="1"/>
        <v>8261</v>
      </c>
      <c r="I416" s="35" t="str">
        <f>iFERROR(vlookup(G416,Masters!C$6:D1000,2, fALSE),"MISSING")</f>
        <v>Fishing Masters and Officers</v>
      </c>
    </row>
    <row r="417">
      <c r="A417" s="121" t="s">
        <v>3014</v>
      </c>
      <c r="B417" s="121">
        <v>8262.0</v>
      </c>
      <c r="C417" s="121" t="s">
        <v>1391</v>
      </c>
      <c r="D417" s="122" t="s">
        <v>3015</v>
      </c>
      <c r="E417" s="121" t="s">
        <v>2053</v>
      </c>
      <c r="F417" s="121" t="s">
        <v>2053</v>
      </c>
      <c r="G417" s="35">
        <f t="shared" si="1"/>
        <v>8262</v>
      </c>
      <c r="I417" s="35" t="str">
        <f>iFERROR(vlookup(G417,Masters!C$6:D1000,2, fALSE),"MISSING")</f>
        <v>Fishing Vessel Skippers and Fishermen/women</v>
      </c>
    </row>
    <row r="418">
      <c r="A418" s="121" t="s">
        <v>3016</v>
      </c>
      <c r="B418" s="121">
        <v>8411.0</v>
      </c>
      <c r="C418" s="121" t="s">
        <v>1369</v>
      </c>
      <c r="D418" s="122" t="s">
        <v>3017</v>
      </c>
      <c r="E418" s="121" t="s">
        <v>2053</v>
      </c>
      <c r="F418" s="121" t="s">
        <v>2053</v>
      </c>
      <c r="G418" s="35">
        <f t="shared" si="1"/>
        <v>8411</v>
      </c>
      <c r="I418" s="35" t="str">
        <f>iFERROR(vlookup(G418,Masters!C$6:D1000,2, fALSE),"MISSING")</f>
        <v>Underground Mine Service and Support Workers</v>
      </c>
    </row>
    <row r="419">
      <c r="A419" s="121" t="s">
        <v>3018</v>
      </c>
      <c r="B419" s="121">
        <v>8412.0</v>
      </c>
      <c r="C419" s="121" t="s">
        <v>1344</v>
      </c>
      <c r="D419" s="122" t="s">
        <v>3019</v>
      </c>
      <c r="E419" s="121" t="s">
        <v>2053</v>
      </c>
      <c r="F419" s="121" t="s">
        <v>2053</v>
      </c>
      <c r="G419" s="35">
        <f t="shared" si="1"/>
        <v>8412</v>
      </c>
      <c r="I419" s="35" t="str">
        <f>iFERROR(vlookup(G419,Masters!C$6:D1000,2, fALSE),"MISSING")</f>
        <v>Oil and Gas Well Drilling Workers</v>
      </c>
    </row>
    <row r="420">
      <c r="A420" s="121" t="s">
        <v>3020</v>
      </c>
      <c r="B420" s="121">
        <v>8421.0</v>
      </c>
      <c r="C420" s="121" t="s">
        <v>1423</v>
      </c>
      <c r="D420" s="122" t="s">
        <v>3021</v>
      </c>
      <c r="E420" s="121" t="s">
        <v>2053</v>
      </c>
      <c r="F420" s="121" t="s">
        <v>2053</v>
      </c>
      <c r="G420" s="35">
        <f t="shared" si="1"/>
        <v>8421</v>
      </c>
      <c r="I420" s="35" t="str">
        <f>iFERROR(vlookup(G420,Masters!C$6:D1000,2, fALSE),"MISSING")</f>
        <v>Chainsaw and Skidder Operators</v>
      </c>
    </row>
    <row r="421">
      <c r="A421" s="121" t="s">
        <v>3022</v>
      </c>
      <c r="B421" s="121">
        <v>8422.0</v>
      </c>
      <c r="C421" s="121" t="s">
        <v>1358</v>
      </c>
      <c r="D421" s="122" t="s">
        <v>3023</v>
      </c>
      <c r="E421" s="121" t="s">
        <v>3024</v>
      </c>
      <c r="F421" s="121" t="s">
        <v>2053</v>
      </c>
      <c r="G421" s="35">
        <f t="shared" si="1"/>
        <v>8422</v>
      </c>
      <c r="I421" s="35" t="str">
        <f>iFERROR(vlookup(G421,Masters!C$6:D1000,2, fALSE),"MISSING")</f>
        <v>Silviculture and Forestry Workers</v>
      </c>
    </row>
    <row r="422">
      <c r="A422" s="121" t="s">
        <v>3025</v>
      </c>
      <c r="B422" s="121">
        <v>8431.0</v>
      </c>
      <c r="C422" s="121" t="s">
        <v>1394</v>
      </c>
      <c r="D422" s="122" t="s">
        <v>3026</v>
      </c>
      <c r="E422" s="121" t="s">
        <v>2053</v>
      </c>
      <c r="F422" s="121" t="s">
        <v>2053</v>
      </c>
      <c r="G422" s="35">
        <f t="shared" si="1"/>
        <v>8431</v>
      </c>
      <c r="I422" s="35" t="str">
        <f>iFERROR(vlookup(G422,Masters!C$6:D1000,2, fALSE),"MISSING")</f>
        <v>General Farm Workers</v>
      </c>
    </row>
    <row r="423">
      <c r="A423" s="121" t="s">
        <v>3027</v>
      </c>
      <c r="B423" s="121">
        <v>8432.0</v>
      </c>
      <c r="C423" s="121" t="s">
        <v>1183</v>
      </c>
      <c r="D423" s="122" t="s">
        <v>3028</v>
      </c>
      <c r="E423" s="121" t="s">
        <v>2053</v>
      </c>
      <c r="F423" s="121" t="s">
        <v>2053</v>
      </c>
      <c r="G423" s="35">
        <f t="shared" si="1"/>
        <v>8432</v>
      </c>
      <c r="I423" s="35" t="str">
        <f>iFERROR(vlookup(G423,Masters!C$6:D1000,2, fALSE),"MISSING")</f>
        <v>Nursery and Greenhouse Workers</v>
      </c>
    </row>
    <row r="424">
      <c r="A424" s="121" t="s">
        <v>3029</v>
      </c>
      <c r="B424" s="121">
        <v>8441.0</v>
      </c>
      <c r="C424" s="121" t="s">
        <v>1390</v>
      </c>
      <c r="D424" s="122" t="s">
        <v>3030</v>
      </c>
      <c r="E424" s="121" t="s">
        <v>2053</v>
      </c>
      <c r="F424" s="121" t="s">
        <v>2053</v>
      </c>
      <c r="G424" s="35">
        <f t="shared" si="1"/>
        <v>8441</v>
      </c>
      <c r="I424" s="35" t="str">
        <f>iFERROR(vlookup(G424,Masters!C$6:D1000,2, fALSE),"MISSING")</f>
        <v>Fishing Vessel Deckhands</v>
      </c>
    </row>
    <row r="425">
      <c r="A425" s="121" t="s">
        <v>3031</v>
      </c>
      <c r="B425" s="121">
        <v>8442.0</v>
      </c>
      <c r="C425" s="121" t="s">
        <v>1254</v>
      </c>
      <c r="D425" s="122" t="s">
        <v>3032</v>
      </c>
      <c r="E425" s="121" t="s">
        <v>2053</v>
      </c>
      <c r="F425" s="121" t="s">
        <v>2053</v>
      </c>
      <c r="G425" s="35">
        <f t="shared" si="1"/>
        <v>8442</v>
      </c>
      <c r="I425" s="35" t="str">
        <f>iFERROR(vlookup(G425,Masters!C$6:D1000,2, fALSE),"MISSING")</f>
        <v>Hunters</v>
      </c>
    </row>
    <row r="426">
      <c r="A426" s="121" t="s">
        <v>3033</v>
      </c>
      <c r="B426" s="121">
        <v>8611.0</v>
      </c>
      <c r="C426" s="121" t="s">
        <v>1168</v>
      </c>
      <c r="D426" s="122" t="s">
        <v>3034</v>
      </c>
      <c r="E426" s="121" t="s">
        <v>2053</v>
      </c>
      <c r="F426" s="121" t="s">
        <v>2053</v>
      </c>
      <c r="G426" s="35">
        <f t="shared" si="1"/>
        <v>8611</v>
      </c>
      <c r="I426" s="35" t="str">
        <f>iFERROR(vlookup(G426,Masters!C$6:D1000,2, fALSE),"MISSING")</f>
        <v>Harvesting Labourers</v>
      </c>
    </row>
    <row r="427">
      <c r="A427" s="121" t="s">
        <v>3035</v>
      </c>
      <c r="B427" s="121">
        <v>8612.0</v>
      </c>
      <c r="C427" s="121" t="s">
        <v>1123</v>
      </c>
      <c r="D427" s="122" t="s">
        <v>3036</v>
      </c>
      <c r="E427" s="121" t="s">
        <v>3037</v>
      </c>
      <c r="F427" s="121" t="s">
        <v>2053</v>
      </c>
      <c r="G427" s="35">
        <f t="shared" si="1"/>
        <v>8612</v>
      </c>
      <c r="I427" s="35" t="str">
        <f>iFERROR(vlookup(G427,Masters!C$6:D1000,2, fALSE),"MISSING")</f>
        <v>Landscapers</v>
      </c>
    </row>
    <row r="428">
      <c r="A428" s="121" t="s">
        <v>3038</v>
      </c>
      <c r="B428" s="121">
        <v>8613.0</v>
      </c>
      <c r="C428" s="121" t="s">
        <v>1181</v>
      </c>
      <c r="D428" s="122" t="s">
        <v>3039</v>
      </c>
      <c r="E428" s="121" t="s">
        <v>2053</v>
      </c>
      <c r="F428" s="121" t="s">
        <v>2053</v>
      </c>
      <c r="G428" s="35">
        <f t="shared" si="1"/>
        <v>8613</v>
      </c>
      <c r="I428" s="35" t="str">
        <f>iFERROR(vlookup(G428,Masters!C$6:D1000,2, fALSE),"MISSING")</f>
        <v>Marine Plant Gatherers</v>
      </c>
    </row>
    <row r="429">
      <c r="A429" s="121" t="s">
        <v>3040</v>
      </c>
      <c r="B429" s="121">
        <v>8614.0</v>
      </c>
      <c r="C429" s="121" t="s">
        <v>1489</v>
      </c>
      <c r="D429" s="122" t="s">
        <v>3041</v>
      </c>
      <c r="E429" s="121" t="s">
        <v>2053</v>
      </c>
      <c r="F429" s="121" t="s">
        <v>2053</v>
      </c>
      <c r="G429" s="35">
        <f t="shared" si="1"/>
        <v>8614</v>
      </c>
      <c r="I429" s="35" t="str">
        <f>iFERROR(vlookup(G429,Masters!C$6:D1000,2, fALSE),"MISSING")</f>
        <v>Mine Labourers</v>
      </c>
    </row>
    <row r="430">
      <c r="A430" s="121" t="s">
        <v>3042</v>
      </c>
      <c r="B430" s="121">
        <v>8615.0</v>
      </c>
      <c r="C430" s="121" t="s">
        <v>1185</v>
      </c>
      <c r="D430" s="122" t="s">
        <v>3043</v>
      </c>
      <c r="E430" s="121" t="s">
        <v>2053</v>
      </c>
      <c r="F430" s="121" t="s">
        <v>2053</v>
      </c>
      <c r="G430" s="35">
        <f t="shared" si="1"/>
        <v>8615</v>
      </c>
      <c r="I430" s="35" t="str">
        <f>iFERROR(vlookup(G430,Masters!C$6:D1000,2, fALSE),"MISSING")</f>
        <v>Oil and Gas Drilling, Servicing and Related Labourers</v>
      </c>
    </row>
    <row r="431">
      <c r="A431" s="121" t="s">
        <v>3044</v>
      </c>
      <c r="B431" s="121">
        <v>8616.0</v>
      </c>
      <c r="C431" s="121" t="s">
        <v>1485</v>
      </c>
      <c r="D431" s="122" t="s">
        <v>3045</v>
      </c>
      <c r="E431" s="121" t="s">
        <v>2053</v>
      </c>
      <c r="F431" s="121" t="s">
        <v>2053</v>
      </c>
      <c r="G431" s="35">
        <f t="shared" si="1"/>
        <v>8616</v>
      </c>
      <c r="I431" s="35" t="str">
        <f>iFERROR(vlookup(G431,Masters!C$6:D1000,2, fALSE),"MISSING")</f>
        <v>Logging and Forestry Labourers</v>
      </c>
    </row>
    <row r="432">
      <c r="A432" s="121" t="s">
        <v>3046</v>
      </c>
      <c r="B432" s="121">
        <v>9211.0</v>
      </c>
      <c r="C432" s="121" t="s">
        <v>1362</v>
      </c>
      <c r="D432" s="122" t="s">
        <v>3047</v>
      </c>
      <c r="E432" s="121" t="s">
        <v>2053</v>
      </c>
      <c r="F432" s="121" t="s">
        <v>2053</v>
      </c>
      <c r="G432" s="35">
        <f t="shared" si="1"/>
        <v>9211</v>
      </c>
      <c r="I432" s="35" t="str">
        <f>iFERROR(vlookup(G432,Masters!C$6:D1000,2, fALSE),"MISSING")</f>
        <v>Supervisors, Mineral and Metal Processing</v>
      </c>
    </row>
    <row r="433">
      <c r="A433" s="121" t="s">
        <v>3048</v>
      </c>
      <c r="B433" s="121">
        <v>9212.0</v>
      </c>
      <c r="C433" s="121" t="s">
        <v>1365</v>
      </c>
      <c r="D433" s="122" t="s">
        <v>3049</v>
      </c>
      <c r="E433" s="121" t="s">
        <v>2053</v>
      </c>
      <c r="F433" s="121" t="s">
        <v>2053</v>
      </c>
      <c r="G433" s="35">
        <f t="shared" si="1"/>
        <v>9212</v>
      </c>
      <c r="I433" s="35" t="str">
        <f>iFERROR(vlookup(G433,Masters!C$6:D1000,2, fALSE),"MISSING")</f>
        <v>Supervisors, Petroleum, Gas and Chemical Processing and Utilities</v>
      </c>
    </row>
    <row r="434">
      <c r="A434" s="121" t="s">
        <v>3050</v>
      </c>
      <c r="B434" s="121">
        <v>9213.0</v>
      </c>
      <c r="C434" s="121" t="s">
        <v>1459</v>
      </c>
      <c r="D434" s="122" t="s">
        <v>3051</v>
      </c>
      <c r="E434" s="121" t="s">
        <v>2053</v>
      </c>
      <c r="F434" s="121" t="s">
        <v>2053</v>
      </c>
      <c r="G434" s="35">
        <f t="shared" si="1"/>
        <v>9213</v>
      </c>
      <c r="I434" s="35" t="str">
        <f>iFERROR(vlookup(G434,Masters!C$6:D1000,2, fALSE),"MISSING")</f>
        <v>Supervisors, Food, Beverage and Tobacco Processing</v>
      </c>
    </row>
    <row r="435">
      <c r="A435" s="121" t="s">
        <v>3052</v>
      </c>
      <c r="B435" s="121">
        <v>9214.0</v>
      </c>
      <c r="C435" s="121" t="s">
        <v>1419</v>
      </c>
      <c r="D435" s="122" t="s">
        <v>3053</v>
      </c>
      <c r="E435" s="121" t="s">
        <v>2053</v>
      </c>
      <c r="F435" s="121" t="s">
        <v>2053</v>
      </c>
      <c r="G435" s="35">
        <f t="shared" si="1"/>
        <v>9214</v>
      </c>
      <c r="I435" s="35" t="str">
        <f>iFERROR(vlookup(G435,Masters!C$6:D1000,2, fALSE),"MISSING")</f>
        <v>Supervisors, Plastic and Rubber Products Manufacturing</v>
      </c>
    </row>
    <row r="436">
      <c r="A436" s="121" t="s">
        <v>3054</v>
      </c>
      <c r="B436" s="121">
        <v>9215.0</v>
      </c>
      <c r="C436" s="121" t="s">
        <v>1361</v>
      </c>
      <c r="D436" s="122" t="s">
        <v>3055</v>
      </c>
      <c r="E436" s="121" t="s">
        <v>2053</v>
      </c>
      <c r="F436" s="121" t="s">
        <v>2053</v>
      </c>
      <c r="G436" s="35">
        <f t="shared" si="1"/>
        <v>9215</v>
      </c>
      <c r="I436" s="35" t="str">
        <f>iFERROR(vlookup(G436,Masters!C$6:D1000,2, fALSE),"MISSING")</f>
        <v>Supervisors, Forest Products Processing</v>
      </c>
    </row>
    <row r="437">
      <c r="A437" s="121" t="s">
        <v>3056</v>
      </c>
      <c r="B437" s="121">
        <v>9217.0</v>
      </c>
      <c r="C437" s="121" t="s">
        <v>1200</v>
      </c>
      <c r="D437" s="122" t="s">
        <v>3057</v>
      </c>
      <c r="E437" s="121" t="s">
        <v>2053</v>
      </c>
      <c r="F437" s="121" t="s">
        <v>2053</v>
      </c>
      <c r="G437" s="35">
        <f t="shared" si="1"/>
        <v>9217</v>
      </c>
      <c r="I437" s="35" t="str">
        <f>iFERROR(vlookup(G437,Masters!C$6:D1000,2, fALSE),"MISSING")</f>
        <v>Supervisors, Fabric, Fur and Leather Products Manufacturing</v>
      </c>
    </row>
    <row r="438">
      <c r="A438" s="121" t="s">
        <v>3058</v>
      </c>
      <c r="B438" s="121">
        <v>9221.0</v>
      </c>
      <c r="C438" s="121" t="s">
        <v>1203</v>
      </c>
      <c r="D438" s="122" t="s">
        <v>3059</v>
      </c>
      <c r="E438" s="121" t="s">
        <v>2053</v>
      </c>
      <c r="F438" s="121" t="s">
        <v>2053</v>
      </c>
      <c r="G438" s="35">
        <f t="shared" si="1"/>
        <v>9221</v>
      </c>
      <c r="I438" s="35" t="str">
        <f>iFERROR(vlookup(G438,Masters!C$6:D1000,2, fALSE),"MISSING")</f>
        <v>Supervisors, Motor Vehicle Assembling</v>
      </c>
    </row>
    <row r="439">
      <c r="A439" s="121" t="s">
        <v>3060</v>
      </c>
      <c r="B439" s="121">
        <v>9222.0</v>
      </c>
      <c r="C439" s="121" t="s">
        <v>1360</v>
      </c>
      <c r="D439" s="122" t="s">
        <v>3061</v>
      </c>
      <c r="E439" s="121" t="s">
        <v>2053</v>
      </c>
      <c r="F439" s="121" t="s">
        <v>2053</v>
      </c>
      <c r="G439" s="35">
        <f t="shared" si="1"/>
        <v>9222</v>
      </c>
      <c r="I439" s="35" t="str">
        <f>iFERROR(vlookup(G439,Masters!C$6:D1000,2, fALSE),"MISSING")</f>
        <v>Supervisors, Electronics Manufacturing</v>
      </c>
    </row>
    <row r="440">
      <c r="A440" s="121" t="s">
        <v>3062</v>
      </c>
      <c r="B440" s="121">
        <v>9223.0</v>
      </c>
      <c r="C440" s="121" t="s">
        <v>1359</v>
      </c>
      <c r="D440" s="122" t="s">
        <v>3063</v>
      </c>
      <c r="E440" s="121" t="s">
        <v>2053</v>
      </c>
      <c r="F440" s="121" t="s">
        <v>2053</v>
      </c>
      <c r="G440" s="35">
        <f t="shared" si="1"/>
        <v>9223</v>
      </c>
      <c r="I440" s="35" t="str">
        <f>iFERROR(vlookup(G440,Masters!C$6:D1000,2, fALSE),"MISSING")</f>
        <v>Supervisors, Electrical Products Manufacturing</v>
      </c>
    </row>
    <row r="441">
      <c r="A441" s="121" t="s">
        <v>3064</v>
      </c>
      <c r="B441" s="121">
        <v>9224.0</v>
      </c>
      <c r="C441" s="121" t="s">
        <v>1201</v>
      </c>
      <c r="D441" s="122" t="s">
        <v>3065</v>
      </c>
      <c r="E441" s="121" t="s">
        <v>2053</v>
      </c>
      <c r="F441" s="121" t="s">
        <v>2053</v>
      </c>
      <c r="G441" s="35">
        <f t="shared" si="1"/>
        <v>9224</v>
      </c>
      <c r="I441" s="35" t="str">
        <f>iFERROR(vlookup(G441,Masters!C$6:D1000,2, fALSE),"MISSING")</f>
        <v>Supervisors, Furniture and Fixtures Manufacturing</v>
      </c>
    </row>
    <row r="442">
      <c r="A442" s="121" t="s">
        <v>3066</v>
      </c>
      <c r="B442" s="121">
        <v>9226.0</v>
      </c>
      <c r="C442" s="121" t="s">
        <v>1418</v>
      </c>
      <c r="D442" s="122" t="s">
        <v>3067</v>
      </c>
      <c r="E442" s="121" t="s">
        <v>2053</v>
      </c>
      <c r="F442" s="121" t="s">
        <v>2053</v>
      </c>
      <c r="G442" s="35">
        <f t="shared" si="1"/>
        <v>9226</v>
      </c>
      <c r="I442" s="35" t="str">
        <f>iFERROR(vlookup(G442,Masters!C$6:D1000,2, fALSE),"MISSING")</f>
        <v>Supervisors, Other Mechanical and Metal Products Manufacturing</v>
      </c>
    </row>
    <row r="443">
      <c r="A443" s="121" t="s">
        <v>3068</v>
      </c>
      <c r="B443" s="121">
        <v>9227.0</v>
      </c>
      <c r="C443" s="121" t="s">
        <v>1364</v>
      </c>
      <c r="D443" s="122" t="s">
        <v>3069</v>
      </c>
      <c r="E443" s="121" t="s">
        <v>2053</v>
      </c>
      <c r="F443" s="121" t="s">
        <v>2053</v>
      </c>
      <c r="G443" s="35">
        <f t="shared" si="1"/>
        <v>9227</v>
      </c>
      <c r="I443" s="35" t="str">
        <f>iFERROR(vlookup(G443,Masters!C$6:D1000,2, fALSE),"MISSING")</f>
        <v>Supervisors, Other Products Manufacturing and Assembly</v>
      </c>
    </row>
    <row r="444">
      <c r="A444" s="121" t="s">
        <v>3070</v>
      </c>
      <c r="B444" s="121">
        <v>9231.0</v>
      </c>
      <c r="C444" s="121" t="s">
        <v>1379</v>
      </c>
      <c r="D444" s="122" t="s">
        <v>3071</v>
      </c>
      <c r="E444" s="121" t="s">
        <v>2053</v>
      </c>
      <c r="F444" s="121" t="s">
        <v>2053</v>
      </c>
      <c r="G444" s="35">
        <f t="shared" si="1"/>
        <v>9231</v>
      </c>
      <c r="I444" s="35" t="str">
        <f>iFERROR(vlookup(G444,Masters!C$6:D1000,2, fALSE),"MISSING")</f>
        <v>Central Control and Process Operators, Mineral and Metal Processing</v>
      </c>
    </row>
    <row r="445">
      <c r="A445" s="121" t="s">
        <v>3072</v>
      </c>
      <c r="B445" s="121">
        <v>9232.0</v>
      </c>
      <c r="C445" s="121" t="s">
        <v>1350</v>
      </c>
      <c r="D445" s="122" t="s">
        <v>3073</v>
      </c>
      <c r="E445" s="121" t="s">
        <v>2053</v>
      </c>
      <c r="F445" s="121" t="s">
        <v>2053</v>
      </c>
      <c r="G445" s="35">
        <f t="shared" si="1"/>
        <v>9232</v>
      </c>
      <c r="I445" s="35" t="str">
        <f>iFERROR(vlookup(G445,Masters!C$6:D1000,2, fALSE),"MISSING")</f>
        <v>Petroleum, Gas and Chemical Process Operators</v>
      </c>
    </row>
    <row r="446">
      <c r="A446" s="121" t="s">
        <v>3074</v>
      </c>
      <c r="B446" s="121">
        <v>9235.0</v>
      </c>
      <c r="C446" s="121" t="s">
        <v>1402</v>
      </c>
      <c r="D446" s="122" t="s">
        <v>3075</v>
      </c>
      <c r="E446" s="121" t="s">
        <v>2053</v>
      </c>
      <c r="F446" s="121" t="s">
        <v>2053</v>
      </c>
      <c r="G446" s="35">
        <f t="shared" si="1"/>
        <v>9235</v>
      </c>
      <c r="I446" s="35" t="str">
        <f>iFERROR(vlookup(G446,Masters!C$6:D1000,2, fALSE),"MISSING")</f>
        <v>Papermaking and Coating Control Operators</v>
      </c>
    </row>
    <row r="447">
      <c r="A447" s="121" t="s">
        <v>3076</v>
      </c>
      <c r="B447" s="121">
        <v>9241.0</v>
      </c>
      <c r="C447" s="121" t="s">
        <v>1193</v>
      </c>
      <c r="D447" s="122" t="s">
        <v>3077</v>
      </c>
      <c r="E447" s="121" t="s">
        <v>3078</v>
      </c>
      <c r="F447" s="121" t="s">
        <v>2053</v>
      </c>
      <c r="G447" s="35">
        <f t="shared" si="1"/>
        <v>9241</v>
      </c>
      <c r="I447" s="35" t="str">
        <f>iFERROR(vlookup(G447,Masters!C$6:D1000,2, fALSE),"MISSING")</f>
        <v>Power Station Operators</v>
      </c>
    </row>
    <row r="448">
      <c r="A448" s="121" t="s">
        <v>3079</v>
      </c>
      <c r="B448" s="121">
        <v>9243.0</v>
      </c>
      <c r="C448" s="121" t="s">
        <v>1367</v>
      </c>
      <c r="D448" s="122" t="s">
        <v>3080</v>
      </c>
      <c r="E448" s="121" t="s">
        <v>2053</v>
      </c>
      <c r="F448" s="121" t="s">
        <v>2053</v>
      </c>
      <c r="G448" s="35">
        <f t="shared" si="1"/>
        <v>9243</v>
      </c>
      <c r="I448" s="35" t="str">
        <f>iFERROR(vlookup(G448,Masters!C$6:D1000,2, fALSE),"MISSING")</f>
        <v>Waste Plant Operators</v>
      </c>
    </row>
    <row r="449">
      <c r="A449" s="121" t="s">
        <v>3081</v>
      </c>
      <c r="B449" s="121">
        <v>9411.0</v>
      </c>
      <c r="C449" s="121" t="s">
        <v>1338</v>
      </c>
      <c r="D449" s="122" t="s">
        <v>3082</v>
      </c>
      <c r="E449" s="121" t="s">
        <v>2053</v>
      </c>
      <c r="F449" s="121" t="s">
        <v>2053</v>
      </c>
      <c r="G449" s="35">
        <f t="shared" si="1"/>
        <v>9411</v>
      </c>
      <c r="I449" s="35" t="str">
        <f>iFERROR(vlookup(G449,Masters!C$6:D1000,2, fALSE),"MISSING")</f>
        <v>Machine Operators, Mineral and Metal Processing</v>
      </c>
    </row>
    <row r="450">
      <c r="A450" s="121" t="s">
        <v>3083</v>
      </c>
      <c r="B450" s="121">
        <v>9412.0</v>
      </c>
      <c r="C450" s="121" t="s">
        <v>1137</v>
      </c>
      <c r="D450" s="122" t="s">
        <v>3084</v>
      </c>
      <c r="E450" s="121" t="s">
        <v>2053</v>
      </c>
      <c r="F450" s="121" t="s">
        <v>2053</v>
      </c>
      <c r="G450" s="35">
        <f t="shared" si="1"/>
        <v>9412</v>
      </c>
      <c r="I450" s="35" t="str">
        <f>iFERROR(vlookup(G450,Masters!C$6:D1000,2, fALSE),"MISSING")</f>
        <v>Metal Mould Makers</v>
      </c>
    </row>
    <row r="451">
      <c r="A451" s="121" t="s">
        <v>3085</v>
      </c>
      <c r="B451" s="121">
        <v>9413.0</v>
      </c>
      <c r="C451" s="121" t="s">
        <v>1117</v>
      </c>
      <c r="D451" s="122" t="s">
        <v>3086</v>
      </c>
      <c r="E451" s="121" t="s">
        <v>2053</v>
      </c>
      <c r="F451" s="121" t="s">
        <v>2053</v>
      </c>
      <c r="G451" s="35">
        <f t="shared" si="1"/>
        <v>9413</v>
      </c>
      <c r="I451" s="35" t="str">
        <f>iFERROR(vlookup(G451,Masters!C$6:D1000,2, fALSE),"MISSING")</f>
        <v>Glass Finishing Machine Operators</v>
      </c>
    </row>
    <row r="452">
      <c r="A452" s="121" t="s">
        <v>3087</v>
      </c>
      <c r="B452" s="121">
        <v>9414.0</v>
      </c>
      <c r="C452" s="121" t="s">
        <v>1297</v>
      </c>
      <c r="D452" s="122" t="s">
        <v>3088</v>
      </c>
      <c r="E452" s="121" t="s">
        <v>2053</v>
      </c>
      <c r="F452" s="121" t="s">
        <v>2053</v>
      </c>
      <c r="G452" s="35">
        <f t="shared" si="1"/>
        <v>9414</v>
      </c>
      <c r="I452" s="35" t="str">
        <f>iFERROR(vlookup(G452,Masters!C$6:D1000,2, fALSE),"MISSING")</f>
        <v>Clay Products Forming and Finishing Machine Operators</v>
      </c>
    </row>
    <row r="453">
      <c r="A453" s="121" t="s">
        <v>3089</v>
      </c>
      <c r="B453" s="121">
        <v>9415.0</v>
      </c>
      <c r="C453" s="121" t="s">
        <v>1335</v>
      </c>
      <c r="D453" s="122" t="s">
        <v>3090</v>
      </c>
      <c r="E453" s="121" t="s">
        <v>2053</v>
      </c>
      <c r="F453" s="121" t="s">
        <v>2053</v>
      </c>
      <c r="G453" s="35">
        <f t="shared" si="1"/>
        <v>9415</v>
      </c>
      <c r="I453" s="35" t="str">
        <f>iFERROR(vlookup(G453,Masters!C$6:D1000,2, fALSE),"MISSING")</f>
        <v>Inspectors and Testers, Mineral and Metal Processing</v>
      </c>
    </row>
    <row r="454">
      <c r="A454" s="121" t="s">
        <v>3091</v>
      </c>
      <c r="B454" s="121">
        <v>9416.0</v>
      </c>
      <c r="C454" s="121" t="s">
        <v>1312</v>
      </c>
      <c r="D454" s="122" t="s">
        <v>3092</v>
      </c>
      <c r="E454" s="121" t="s">
        <v>2053</v>
      </c>
      <c r="F454" s="121" t="s">
        <v>2053</v>
      </c>
      <c r="G454" s="35">
        <f t="shared" si="1"/>
        <v>9416</v>
      </c>
      <c r="I454" s="35" t="str">
        <f>iFERROR(vlookup(G454,Masters!C$6:D1000,2, fALSE),"MISSING")</f>
        <v>Metalworking Machine Operators</v>
      </c>
    </row>
    <row r="455">
      <c r="A455" s="121" t="s">
        <v>3093</v>
      </c>
      <c r="B455" s="121">
        <v>9417.0</v>
      </c>
      <c r="C455" s="121" t="s">
        <v>1131</v>
      </c>
      <c r="D455" s="122" t="s">
        <v>3094</v>
      </c>
      <c r="E455" s="121" t="s">
        <v>3095</v>
      </c>
      <c r="F455" s="121" t="s">
        <v>2053</v>
      </c>
      <c r="G455" s="35">
        <f t="shared" si="1"/>
        <v>9417</v>
      </c>
      <c r="I455" s="35" t="str">
        <f>iFERROR(vlookup(G455,Masters!C$6:D1000,2, fALSE),"MISSING")</f>
        <v>Machining Tool Operators</v>
      </c>
    </row>
    <row r="456">
      <c r="A456" s="121" t="s">
        <v>3096</v>
      </c>
      <c r="B456" s="121">
        <v>9418.0</v>
      </c>
      <c r="C456" s="121" t="s">
        <v>1186</v>
      </c>
      <c r="D456" s="122" t="s">
        <v>3097</v>
      </c>
      <c r="E456" s="121" t="s">
        <v>2053</v>
      </c>
      <c r="F456" s="121" t="s">
        <v>2053</v>
      </c>
      <c r="G456" s="35">
        <f t="shared" si="1"/>
        <v>9418</v>
      </c>
      <c r="I456" s="35" t="str">
        <f>iFERROR(vlookup(G456,Masters!C$6:D1000,2, fALSE),"MISSING")</f>
        <v>Other Metal Products Machine Operators</v>
      </c>
    </row>
    <row r="457">
      <c r="A457" s="121" t="s">
        <v>3098</v>
      </c>
      <c r="B457" s="121">
        <v>9421.0</v>
      </c>
      <c r="C457" s="121" t="s">
        <v>1325</v>
      </c>
      <c r="D457" s="122" t="s">
        <v>3099</v>
      </c>
      <c r="E457" s="121" t="s">
        <v>2053</v>
      </c>
      <c r="F457" s="121" t="s">
        <v>2053</v>
      </c>
      <c r="G457" s="35">
        <f t="shared" si="1"/>
        <v>9421</v>
      </c>
      <c r="I457" s="35" t="str">
        <f>iFERROR(vlookup(G457,Masters!C$6:D1000,2, fALSE),"MISSING")</f>
        <v>Chemical Plant Machine Operators</v>
      </c>
    </row>
    <row r="458">
      <c r="A458" s="121" t="s">
        <v>3100</v>
      </c>
      <c r="B458" s="121">
        <v>9422.0</v>
      </c>
      <c r="C458" s="121" t="s">
        <v>1105</v>
      </c>
      <c r="D458" s="122" t="s">
        <v>3101</v>
      </c>
      <c r="E458" s="121" t="s">
        <v>2053</v>
      </c>
      <c r="F458" s="121" t="s">
        <v>2053</v>
      </c>
      <c r="G458" s="35">
        <f t="shared" si="1"/>
        <v>9422</v>
      </c>
      <c r="I458" s="35" t="str">
        <f>iFERROR(vlookup(G458,Masters!C$6:D1000,2, fALSE),"MISSING")</f>
        <v>Calendering Process Operators - Plastics Processing</v>
      </c>
    </row>
    <row r="459">
      <c r="A459" s="121" t="s">
        <v>3102</v>
      </c>
      <c r="B459" s="121">
        <v>9423.0</v>
      </c>
      <c r="C459" s="121" t="s">
        <v>1378</v>
      </c>
      <c r="D459" s="122" t="s">
        <v>3103</v>
      </c>
      <c r="E459" s="121" t="s">
        <v>2053</v>
      </c>
      <c r="F459" s="121" t="s">
        <v>2053</v>
      </c>
      <c r="G459" s="35">
        <f t="shared" si="1"/>
        <v>9423</v>
      </c>
      <c r="I459" s="35" t="str">
        <f>iFERROR(vlookup(G459,Masters!C$6:D1000,2, fALSE),"MISSING")</f>
        <v>Assemblers, Rubber Products</v>
      </c>
    </row>
    <row r="460">
      <c r="A460" s="121" t="s">
        <v>3104</v>
      </c>
      <c r="B460" s="121">
        <v>9431.0</v>
      </c>
      <c r="C460" s="121" t="s">
        <v>1155</v>
      </c>
      <c r="D460" s="122" t="s">
        <v>3105</v>
      </c>
      <c r="E460" s="121" t="s">
        <v>3106</v>
      </c>
      <c r="F460" s="121" t="s">
        <v>2053</v>
      </c>
      <c r="G460" s="35">
        <f t="shared" si="1"/>
        <v>9431</v>
      </c>
      <c r="I460" s="35" t="str">
        <f>iFERROR(vlookup(G460,Masters!C$6:D1000,2, fALSE),"MISSING")</f>
        <v>Sawmill Machine Operators</v>
      </c>
    </row>
    <row r="461">
      <c r="A461" s="121" t="s">
        <v>3107</v>
      </c>
      <c r="B461" s="121">
        <v>9432.0</v>
      </c>
      <c r="C461" s="121" t="s">
        <v>1409</v>
      </c>
      <c r="D461" s="122" t="s">
        <v>3108</v>
      </c>
      <c r="E461" s="121" t="s">
        <v>2053</v>
      </c>
      <c r="F461" s="121" t="s">
        <v>2053</v>
      </c>
      <c r="G461" s="35">
        <f t="shared" si="1"/>
        <v>9432</v>
      </c>
      <c r="I461" s="35" t="str">
        <f>iFERROR(vlookup(G461,Masters!C$6:D1000,2, fALSE),"MISSING")</f>
        <v>Pulp Mill Machine Operators</v>
      </c>
    </row>
    <row r="462">
      <c r="A462" s="121" t="s">
        <v>3109</v>
      </c>
      <c r="B462" s="121">
        <v>9433.0</v>
      </c>
      <c r="C462" s="121" t="s">
        <v>1149</v>
      </c>
      <c r="D462" s="122" t="s">
        <v>3110</v>
      </c>
      <c r="E462" s="121" t="s">
        <v>2053</v>
      </c>
      <c r="F462" s="121" t="s">
        <v>2053</v>
      </c>
      <c r="G462" s="35">
        <f t="shared" si="1"/>
        <v>9433</v>
      </c>
      <c r="I462" s="35" t="str">
        <f>iFERROR(vlookup(G462,Masters!C$6:D1000,2, fALSE),"MISSING")</f>
        <v>Papermaking and Finishing Machine Operators</v>
      </c>
    </row>
    <row r="463">
      <c r="A463" s="121" t="s">
        <v>3111</v>
      </c>
      <c r="B463" s="121">
        <v>9434.0</v>
      </c>
      <c r="C463" s="121" t="s">
        <v>1349</v>
      </c>
      <c r="D463" s="122" t="s">
        <v>3112</v>
      </c>
      <c r="E463" s="121" t="s">
        <v>2053</v>
      </c>
      <c r="F463" s="121" t="s">
        <v>2053</v>
      </c>
      <c r="G463" s="35">
        <f t="shared" si="1"/>
        <v>9434</v>
      </c>
      <c r="I463" s="35" t="str">
        <f>iFERROR(vlookup(G463,Masters!C$6:D1000,2, fALSE),"MISSING")</f>
        <v>Other Wood Processing Machine Operators</v>
      </c>
    </row>
    <row r="464">
      <c r="A464" s="121" t="s">
        <v>3113</v>
      </c>
      <c r="B464" s="121">
        <v>9435.0</v>
      </c>
      <c r="C464" s="121" t="s">
        <v>1351</v>
      </c>
      <c r="D464" s="122" t="s">
        <v>3114</v>
      </c>
      <c r="E464" s="121" t="s">
        <v>2053</v>
      </c>
      <c r="F464" s="121" t="s">
        <v>2053</v>
      </c>
      <c r="G464" s="35">
        <f t="shared" si="1"/>
        <v>9435</v>
      </c>
      <c r="I464" s="35" t="str">
        <f>iFERROR(vlookup(G464,Masters!C$6:D1000,2, fALSE),"MISSING")</f>
        <v>Paper Converting Machine Operators</v>
      </c>
    </row>
    <row r="465">
      <c r="A465" s="121" t="s">
        <v>3115</v>
      </c>
      <c r="B465" s="121">
        <v>9436.0</v>
      </c>
      <c r="C465" s="121" t="s">
        <v>1189</v>
      </c>
      <c r="D465" s="122" t="s">
        <v>3116</v>
      </c>
      <c r="E465" s="121" t="s">
        <v>2053</v>
      </c>
      <c r="F465" s="121" t="s">
        <v>2053</v>
      </c>
      <c r="G465" s="35">
        <f t="shared" si="1"/>
        <v>9436</v>
      </c>
      <c r="I465" s="35" t="str">
        <f>iFERROR(vlookup(G465,Masters!C$6:D1000,2, fALSE),"MISSING")</f>
        <v>Other Wood Products Inspectors</v>
      </c>
    </row>
    <row r="466">
      <c r="A466" s="121" t="s">
        <v>3117</v>
      </c>
      <c r="B466" s="121">
        <v>9437.0</v>
      </c>
      <c r="C466" s="121" t="s">
        <v>1371</v>
      </c>
      <c r="D466" s="122" t="s">
        <v>3118</v>
      </c>
      <c r="E466" s="121" t="s">
        <v>2053</v>
      </c>
      <c r="F466" s="121" t="s">
        <v>2053</v>
      </c>
      <c r="G466" s="35">
        <f t="shared" si="1"/>
        <v>9437</v>
      </c>
      <c r="I466" s="35" t="str">
        <f>iFERROR(vlookup(G466,Masters!C$6:D1000,2, fALSE),"MISSING")</f>
        <v>Woodworking Machine Operators</v>
      </c>
    </row>
    <row r="467">
      <c r="A467" s="121" t="s">
        <v>3119</v>
      </c>
      <c r="B467" s="121">
        <v>9441.0</v>
      </c>
      <c r="C467" s="121" t="s">
        <v>1205</v>
      </c>
      <c r="D467" s="122" t="s">
        <v>3120</v>
      </c>
      <c r="E467" s="121" t="s">
        <v>2053</v>
      </c>
      <c r="F467" s="121" t="s">
        <v>2053</v>
      </c>
      <c r="G467" s="35">
        <f t="shared" si="1"/>
        <v>9441</v>
      </c>
      <c r="I467" s="35" t="str">
        <f>iFERROR(vlookup(G467,Masters!C$6:D1000,2, fALSE),"MISSING")</f>
        <v>Textile Dyeing and Finishing Machine Operators</v>
      </c>
    </row>
    <row r="468">
      <c r="A468" s="121" t="s">
        <v>3121</v>
      </c>
      <c r="B468" s="121">
        <v>9442.0</v>
      </c>
      <c r="C468" s="121" t="s">
        <v>1268</v>
      </c>
      <c r="D468" s="122" t="s">
        <v>3122</v>
      </c>
      <c r="E468" s="121" t="s">
        <v>2053</v>
      </c>
      <c r="F468" s="121" t="s">
        <v>2053</v>
      </c>
      <c r="G468" s="35">
        <f t="shared" si="1"/>
        <v>9442</v>
      </c>
      <c r="I468" s="35" t="str">
        <f>iFERROR(vlookup(G468,Masters!C$6:D1000,2, fALSE),"MISSING")</f>
        <v>Weavers</v>
      </c>
    </row>
    <row r="469">
      <c r="A469" s="121" t="s">
        <v>3123</v>
      </c>
      <c r="B469" s="121">
        <v>9445.0</v>
      </c>
      <c r="C469" s="121" t="s">
        <v>1330</v>
      </c>
      <c r="D469" s="122" t="s">
        <v>3124</v>
      </c>
      <c r="E469" s="121" t="s">
        <v>2053</v>
      </c>
      <c r="F469" s="121" t="s">
        <v>2053</v>
      </c>
      <c r="G469" s="35">
        <f t="shared" si="1"/>
        <v>9445</v>
      </c>
      <c r="I469" s="35" t="str">
        <f>iFERROR(vlookup(G469,Masters!C$6:D1000,2, fALSE),"MISSING")</f>
        <v>Fabric Cutters</v>
      </c>
    </row>
    <row r="470">
      <c r="A470" s="121" t="s">
        <v>3125</v>
      </c>
      <c r="B470" s="121">
        <v>9446.0</v>
      </c>
      <c r="C470" s="121" t="s">
        <v>1161</v>
      </c>
      <c r="D470" s="122" t="s">
        <v>3126</v>
      </c>
      <c r="E470" s="121" t="s">
        <v>2053</v>
      </c>
      <c r="F470" s="121" t="s">
        <v>2053</v>
      </c>
      <c r="G470" s="35">
        <f t="shared" si="1"/>
        <v>9446</v>
      </c>
      <c r="I470" s="35" t="str">
        <f>iFERROR(vlookup(G470,Masters!C$6:D1000,2, fALSE),"MISSING")</f>
        <v>Sewing Machine Operators</v>
      </c>
    </row>
    <row r="471">
      <c r="A471" s="121" t="s">
        <v>3127</v>
      </c>
      <c r="B471" s="121">
        <v>9447.0</v>
      </c>
      <c r="C471" s="121" t="s">
        <v>1124</v>
      </c>
      <c r="D471" s="122" t="s">
        <v>3128</v>
      </c>
      <c r="E471" s="121" t="s">
        <v>2053</v>
      </c>
      <c r="F471" s="121" t="s">
        <v>2053</v>
      </c>
      <c r="G471" s="35">
        <f t="shared" si="1"/>
        <v>9447</v>
      </c>
      <c r="I471" s="35" t="str">
        <f>iFERROR(vlookup(G471,Masters!C$6:D1000,2, fALSE),"MISSING")</f>
        <v>Inspectors and Testers, Fabric, Fur and Leather Products Manufacturing</v>
      </c>
    </row>
    <row r="472">
      <c r="A472" s="121" t="s">
        <v>3129</v>
      </c>
      <c r="B472" s="121">
        <v>9461.0</v>
      </c>
      <c r="C472" s="121" t="s">
        <v>1134</v>
      </c>
      <c r="D472" s="122" t="s">
        <v>3130</v>
      </c>
      <c r="E472" s="121" t="s">
        <v>2053</v>
      </c>
      <c r="F472" s="121" t="s">
        <v>2053</v>
      </c>
      <c r="G472" s="35">
        <f t="shared" si="1"/>
        <v>9461</v>
      </c>
      <c r="I472" s="35" t="str">
        <f>iFERROR(vlookup(G472,Masters!C$6:D1000,2, fALSE),"MISSING")</f>
        <v>Machine Operators, Food and Beverage Processing</v>
      </c>
    </row>
    <row r="473">
      <c r="A473" s="121" t="s">
        <v>3131</v>
      </c>
      <c r="B473" s="121">
        <v>9462.0</v>
      </c>
      <c r="C473" s="121" t="s">
        <v>1172</v>
      </c>
      <c r="D473" s="122" t="s">
        <v>3132</v>
      </c>
      <c r="E473" s="121" t="s">
        <v>2053</v>
      </c>
      <c r="F473" s="121" t="s">
        <v>2053</v>
      </c>
      <c r="G473" s="35">
        <f t="shared" si="1"/>
        <v>9462</v>
      </c>
      <c r="I473" s="35" t="str">
        <f>iFERROR(vlookup(G473,Masters!C$6:D1000,2, fALSE),"MISSING")</f>
        <v>Industrial Butchers</v>
      </c>
    </row>
    <row r="474">
      <c r="A474" s="121" t="s">
        <v>3133</v>
      </c>
      <c r="B474" s="121">
        <v>9463.0</v>
      </c>
      <c r="C474" s="121" t="s">
        <v>1244</v>
      </c>
      <c r="D474" s="122" t="s">
        <v>3134</v>
      </c>
      <c r="E474" s="121" t="s">
        <v>2053</v>
      </c>
      <c r="F474" s="121" t="s">
        <v>2053</v>
      </c>
      <c r="G474" s="35">
        <f t="shared" si="1"/>
        <v>9463</v>
      </c>
      <c r="I474" s="35" t="str">
        <f>iFERROR(vlookup(G474,Masters!C$6:D1000,2, fALSE),"MISSING")</f>
        <v>Fish Plant Machine Operators</v>
      </c>
    </row>
    <row r="475">
      <c r="A475" s="121" t="s">
        <v>3135</v>
      </c>
      <c r="B475" s="121">
        <v>9465.0</v>
      </c>
      <c r="C475" s="121" t="s">
        <v>1420</v>
      </c>
      <c r="D475" s="122" t="s">
        <v>3136</v>
      </c>
      <c r="E475" s="121" t="s">
        <v>2053</v>
      </c>
      <c r="F475" s="121" t="s">
        <v>2053</v>
      </c>
      <c r="G475" s="35">
        <f t="shared" si="1"/>
        <v>9465</v>
      </c>
      <c r="I475" s="35" t="str">
        <f>iFERROR(vlookup(G475,Masters!C$6:D1000,2, fALSE),"MISSING")</f>
        <v>Testers and Graders, Food and Beverage Processing</v>
      </c>
    </row>
    <row r="476">
      <c r="A476" s="121" t="s">
        <v>3137</v>
      </c>
      <c r="B476" s="121">
        <v>9471.0</v>
      </c>
      <c r="C476" s="121" t="s">
        <v>1355</v>
      </c>
      <c r="D476" s="122" t="s">
        <v>3138</v>
      </c>
      <c r="E476" s="121" t="s">
        <v>2053</v>
      </c>
      <c r="F476" s="121" t="s">
        <v>2053</v>
      </c>
      <c r="G476" s="35">
        <f t="shared" si="1"/>
        <v>9471</v>
      </c>
      <c r="I476" s="35" t="str">
        <f>iFERROR(vlookup(G476,Masters!C$6:D1000,2, fALSE),"MISSING")</f>
        <v>Printing Machine Operators</v>
      </c>
    </row>
    <row r="477">
      <c r="A477" s="121" t="s">
        <v>3139</v>
      </c>
      <c r="B477" s="121">
        <v>9472.0</v>
      </c>
      <c r="C477" s="121" t="s">
        <v>1152</v>
      </c>
      <c r="D477" s="122" t="s">
        <v>3140</v>
      </c>
      <c r="E477" s="121" t="s">
        <v>2053</v>
      </c>
      <c r="F477" s="121" t="s">
        <v>2053</v>
      </c>
      <c r="G477" s="35">
        <f t="shared" si="1"/>
        <v>9472</v>
      </c>
      <c r="I477" s="35" t="str">
        <f>iFERROR(vlookup(G477,Masters!C$6:D1000,2, fALSE),"MISSING")</f>
        <v>Proofmakers</v>
      </c>
    </row>
    <row r="478">
      <c r="A478" s="121" t="s">
        <v>3141</v>
      </c>
      <c r="B478" s="121">
        <v>9473.0</v>
      </c>
      <c r="C478" s="121" t="s">
        <v>1082</v>
      </c>
      <c r="D478" s="122" t="s">
        <v>3142</v>
      </c>
      <c r="E478" s="121" t="s">
        <v>2053</v>
      </c>
      <c r="F478" s="121" t="s">
        <v>2053</v>
      </c>
      <c r="G478" s="35">
        <f t="shared" si="1"/>
        <v>9473</v>
      </c>
      <c r="I478" s="35" t="str">
        <f>iFERROR(vlookup(G478,Masters!C$6:D1000,2, fALSE),"MISSING")</f>
        <v>Binding and Finishing Machine Operators</v>
      </c>
    </row>
    <row r="479">
      <c r="A479" s="121" t="s">
        <v>3143</v>
      </c>
      <c r="B479" s="121">
        <v>9474.0</v>
      </c>
      <c r="C479" s="121" t="s">
        <v>1286</v>
      </c>
      <c r="D479" s="122" t="s">
        <v>3144</v>
      </c>
      <c r="E479" s="121" t="s">
        <v>2053</v>
      </c>
      <c r="F479" s="121" t="s">
        <v>2053</v>
      </c>
      <c r="G479" s="35">
        <f t="shared" si="1"/>
        <v>9474</v>
      </c>
      <c r="I479" s="35" t="str">
        <f>iFERROR(vlookup(G479,Masters!C$6:D1000,2, fALSE),"MISSING")</f>
        <v>Photographic and Film Processors</v>
      </c>
    </row>
    <row r="480">
      <c r="A480" s="121" t="s">
        <v>3145</v>
      </c>
      <c r="B480" s="121">
        <v>9521.0</v>
      </c>
      <c r="C480" s="121" t="s">
        <v>1289</v>
      </c>
      <c r="D480" s="122" t="s">
        <v>3146</v>
      </c>
      <c r="E480" s="121" t="s">
        <v>2053</v>
      </c>
      <c r="F480" s="121" t="s">
        <v>2053</v>
      </c>
      <c r="G480" s="35">
        <f t="shared" si="1"/>
        <v>9521</v>
      </c>
      <c r="I480" s="35" t="str">
        <f>iFERROR(vlookup(G480,Masters!C$6:D1000,2, fALSE),"MISSING")</f>
        <v>Aircraft Assembly Inspectors</v>
      </c>
    </row>
    <row r="481">
      <c r="A481" s="121" t="s">
        <v>3147</v>
      </c>
      <c r="B481" s="121">
        <v>9522.0</v>
      </c>
      <c r="C481" s="121" t="s">
        <v>1400</v>
      </c>
      <c r="D481" s="122" t="s">
        <v>3148</v>
      </c>
      <c r="E481" s="121" t="s">
        <v>2053</v>
      </c>
      <c r="F481" s="121" t="s">
        <v>2053</v>
      </c>
      <c r="G481" s="35">
        <f t="shared" si="1"/>
        <v>9522</v>
      </c>
      <c r="I481" s="35" t="str">
        <f>iFERROR(vlookup(G481,Masters!C$6:D1000,2, fALSE),"MISSING")</f>
        <v>Motor Vehicle Inspectors and Testers</v>
      </c>
    </row>
    <row r="482">
      <c r="A482" s="121" t="s">
        <v>3149</v>
      </c>
      <c r="B482" s="121">
        <v>9523.0</v>
      </c>
      <c r="C482" s="121" t="s">
        <v>1273</v>
      </c>
      <c r="D482" s="122" t="s">
        <v>3150</v>
      </c>
      <c r="E482" s="121" t="s">
        <v>2053</v>
      </c>
      <c r="F482" s="121" t="s">
        <v>2053</v>
      </c>
      <c r="G482" s="35">
        <f t="shared" si="1"/>
        <v>9523</v>
      </c>
      <c r="I482" s="35" t="str">
        <f>iFERROR(vlookup(G482,Masters!C$6:D1000,2, fALSE),"MISSING")</f>
        <v>Electronics Assemblers</v>
      </c>
    </row>
    <row r="483">
      <c r="A483" s="121" t="s">
        <v>3151</v>
      </c>
      <c r="B483" s="121">
        <v>9524.0</v>
      </c>
      <c r="C483" s="121" t="s">
        <v>1084</v>
      </c>
      <c r="D483" s="122" t="s">
        <v>3152</v>
      </c>
      <c r="E483" s="121" t="s">
        <v>2053</v>
      </c>
      <c r="F483" s="121" t="s">
        <v>2053</v>
      </c>
      <c r="G483" s="35">
        <f t="shared" si="1"/>
        <v>9524</v>
      </c>
      <c r="I483" s="35" t="str">
        <f>iFERROR(vlookup(G483,Masters!C$6:D1000,2, fALSE),"MISSING")</f>
        <v>Assemblers, Electrical Appliance, Apparatus and Equipment Manufacturing</v>
      </c>
    </row>
    <row r="484">
      <c r="A484" s="121" t="s">
        <v>3153</v>
      </c>
      <c r="B484" s="121">
        <v>9525.0</v>
      </c>
      <c r="C484" s="121" t="s">
        <v>1174</v>
      </c>
      <c r="D484" s="122" t="s">
        <v>3154</v>
      </c>
      <c r="E484" s="121" t="s">
        <v>2053</v>
      </c>
      <c r="F484" s="121" t="s">
        <v>2053</v>
      </c>
      <c r="G484" s="35">
        <f t="shared" si="1"/>
        <v>9525</v>
      </c>
      <c r="I484" s="35" t="str">
        <f>iFERROR(vlookup(G484,Masters!C$6:D1000,2, fALSE),"MISSING")</f>
        <v>Inspectors, Industrial Electrical Motors and Transformers</v>
      </c>
    </row>
    <row r="485">
      <c r="A485" s="121" t="s">
        <v>3155</v>
      </c>
      <c r="B485" s="121">
        <v>9526.0</v>
      </c>
      <c r="C485" s="121" t="s">
        <v>1140</v>
      </c>
      <c r="D485" s="122" t="s">
        <v>3156</v>
      </c>
      <c r="E485" s="121" t="s">
        <v>2053</v>
      </c>
      <c r="F485" s="121" t="s">
        <v>2053</v>
      </c>
      <c r="G485" s="35">
        <f t="shared" si="1"/>
        <v>9526</v>
      </c>
      <c r="I485" s="35" t="str">
        <f>iFERROR(vlookup(G485,Masters!C$6:D1000,2, fALSE),"MISSING")</f>
        <v>Mechanical Inspectors</v>
      </c>
    </row>
    <row r="486">
      <c r="A486" s="121" t="s">
        <v>3157</v>
      </c>
      <c r="B486" s="121">
        <v>9527.0</v>
      </c>
      <c r="C486" s="121" t="s">
        <v>1177</v>
      </c>
      <c r="D486" s="122" t="s">
        <v>3158</v>
      </c>
      <c r="E486" s="121" t="s">
        <v>2053</v>
      </c>
      <c r="F486" s="121" t="s">
        <v>2053</v>
      </c>
      <c r="G486" s="35">
        <f t="shared" si="1"/>
        <v>9527</v>
      </c>
      <c r="I486" s="35" t="str">
        <f>iFERROR(vlookup(G486,Masters!C$6:D1000,2, fALSE),"MISSING")</f>
        <v>Machine Operators, Electrical Apparatus Manufacturing</v>
      </c>
    </row>
    <row r="487">
      <c r="A487" s="121" t="s">
        <v>3159</v>
      </c>
      <c r="B487" s="121">
        <v>9531.0</v>
      </c>
      <c r="C487" s="121" t="s">
        <v>1085</v>
      </c>
      <c r="D487" s="122" t="s">
        <v>3160</v>
      </c>
      <c r="E487" s="121" t="s">
        <v>3161</v>
      </c>
      <c r="F487" s="121" t="s">
        <v>2053</v>
      </c>
      <c r="G487" s="35">
        <f t="shared" si="1"/>
        <v>9531</v>
      </c>
      <c r="I487" s="35" t="str">
        <f>iFERROR(vlookup(G487,Masters!C$6:D1000,2, fALSE),"MISSING")</f>
        <v>Boat Assemblers</v>
      </c>
    </row>
    <row r="488">
      <c r="A488" s="121" t="s">
        <v>3162</v>
      </c>
      <c r="B488" s="121">
        <v>9532.0</v>
      </c>
      <c r="C488" s="121" t="s">
        <v>1114</v>
      </c>
      <c r="D488" s="122" t="s">
        <v>3163</v>
      </c>
      <c r="E488" s="121" t="s">
        <v>3164</v>
      </c>
      <c r="F488" s="121" t="s">
        <v>2053</v>
      </c>
      <c r="G488" s="35">
        <f t="shared" si="1"/>
        <v>9532</v>
      </c>
      <c r="I488" s="35" t="str">
        <f>iFERROR(vlookup(G488,Masters!C$6:D1000,2, fALSE),"MISSING")</f>
        <v>Furniture and Fixture Assemblers</v>
      </c>
    </row>
    <row r="489">
      <c r="A489" s="121" t="s">
        <v>3165</v>
      </c>
      <c r="B489" s="121">
        <v>9533.0</v>
      </c>
      <c r="C489" s="121" t="s">
        <v>1188</v>
      </c>
      <c r="D489" s="122" t="s">
        <v>3166</v>
      </c>
      <c r="E489" s="121" t="s">
        <v>2053</v>
      </c>
      <c r="F489" s="121" t="s">
        <v>2053</v>
      </c>
      <c r="G489" s="35">
        <f t="shared" si="1"/>
        <v>9533</v>
      </c>
      <c r="I489" s="35" t="str">
        <f>iFERROR(vlookup(G489,Masters!C$6:D1000,2, fALSE),"MISSING")</f>
        <v>Other Wood Products Assemblers</v>
      </c>
    </row>
    <row r="490">
      <c r="A490" s="121" t="s">
        <v>3167</v>
      </c>
      <c r="B490" s="121">
        <v>9534.0</v>
      </c>
      <c r="C490" s="121" t="s">
        <v>1392</v>
      </c>
      <c r="D490" s="122" t="s">
        <v>3168</v>
      </c>
      <c r="E490" s="121" t="s">
        <v>2053</v>
      </c>
      <c r="F490" s="121" t="s">
        <v>2053</v>
      </c>
      <c r="G490" s="35">
        <f t="shared" si="1"/>
        <v>9534</v>
      </c>
      <c r="I490" s="35" t="str">
        <f>iFERROR(vlookup(G490,Masters!C$6:D1000,2, fALSE),"MISSING")</f>
        <v>Furniture Finishers</v>
      </c>
    </row>
    <row r="491">
      <c r="A491" s="121" t="s">
        <v>3169</v>
      </c>
      <c r="B491" s="121">
        <v>9535.0</v>
      </c>
      <c r="C491" s="121" t="s">
        <v>1407</v>
      </c>
      <c r="D491" s="122" t="s">
        <v>3170</v>
      </c>
      <c r="E491" s="121" t="s">
        <v>2053</v>
      </c>
      <c r="F491" s="121" t="s">
        <v>2053</v>
      </c>
      <c r="G491" s="35">
        <f t="shared" si="1"/>
        <v>9535</v>
      </c>
      <c r="I491" s="35" t="str">
        <f>iFERROR(vlookup(G491,Masters!C$6:D1000,2, fALSE),"MISSING")</f>
        <v>Plastic Products Assemblers and Finishers</v>
      </c>
    </row>
    <row r="492">
      <c r="A492" s="121" t="s">
        <v>3171</v>
      </c>
      <c r="B492" s="121">
        <v>9536.0</v>
      </c>
      <c r="C492" s="121" t="s">
        <v>1148</v>
      </c>
      <c r="D492" s="122" t="s">
        <v>3172</v>
      </c>
      <c r="E492" s="121" t="s">
        <v>2053</v>
      </c>
      <c r="F492" s="121" t="s">
        <v>2053</v>
      </c>
      <c r="G492" s="35">
        <f t="shared" si="1"/>
        <v>9536</v>
      </c>
      <c r="I492" s="35" t="str">
        <f>iFERROR(vlookup(G492,Masters!C$6:D1000,2, fALSE),"MISSING")</f>
        <v>Painters and Coaters - Industrial</v>
      </c>
    </row>
    <row r="493">
      <c r="A493" s="121" t="s">
        <v>3173</v>
      </c>
      <c r="B493" s="121">
        <v>9537.0</v>
      </c>
      <c r="C493" s="121" t="s">
        <v>1346</v>
      </c>
      <c r="D493" s="122" t="s">
        <v>3174</v>
      </c>
      <c r="E493" s="121" t="s">
        <v>2053</v>
      </c>
      <c r="F493" s="121" t="s">
        <v>2053</v>
      </c>
      <c r="G493" s="35">
        <f t="shared" si="1"/>
        <v>9537</v>
      </c>
      <c r="I493" s="35" t="str">
        <f>iFERROR(vlookup(G493,Masters!C$6:D1000,2, fALSE),"MISSING")</f>
        <v>Other Assemblers</v>
      </c>
    </row>
    <row r="494">
      <c r="A494" s="121" t="s">
        <v>3175</v>
      </c>
      <c r="B494" s="121">
        <v>9611.0</v>
      </c>
      <c r="C494" s="121" t="s">
        <v>1263</v>
      </c>
      <c r="D494" s="122" t="s">
        <v>3176</v>
      </c>
      <c r="E494" s="121" t="s">
        <v>2053</v>
      </c>
      <c r="F494" s="121" t="s">
        <v>2053</v>
      </c>
      <c r="G494" s="35">
        <f t="shared" si="1"/>
        <v>9611</v>
      </c>
      <c r="I494" s="35" t="str">
        <f>iFERROR(vlookup(G494,Masters!C$6:D1000,2, fALSE),"MISSING")</f>
        <v>Labourers in Mineral and Metal Processing</v>
      </c>
    </row>
    <row r="495">
      <c r="A495" s="121" t="s">
        <v>3177</v>
      </c>
      <c r="B495" s="121">
        <v>9612.0</v>
      </c>
      <c r="C495" s="121" t="s">
        <v>1262</v>
      </c>
      <c r="D495" s="122" t="s">
        <v>3178</v>
      </c>
      <c r="E495" s="121" t="s">
        <v>2053</v>
      </c>
      <c r="F495" s="121" t="s">
        <v>2053</v>
      </c>
      <c r="G495" s="35">
        <f t="shared" si="1"/>
        <v>9612</v>
      </c>
      <c r="I495" s="35" t="str">
        <f>iFERROR(vlookup(G495,Masters!C$6:D1000,2, fALSE),"MISSING")</f>
        <v>Labourers in Metal Fabrication</v>
      </c>
    </row>
    <row r="496">
      <c r="A496" s="121" t="s">
        <v>3179</v>
      </c>
      <c r="B496" s="121">
        <v>9613.0</v>
      </c>
      <c r="C496" s="121" t="s">
        <v>1176</v>
      </c>
      <c r="D496" s="122" t="s">
        <v>3180</v>
      </c>
      <c r="E496" s="121" t="s">
        <v>2053</v>
      </c>
      <c r="F496" s="121" t="s">
        <v>2053</v>
      </c>
      <c r="G496" s="35">
        <f t="shared" si="1"/>
        <v>9613</v>
      </c>
      <c r="I496" s="35" t="str">
        <f>iFERROR(vlookup(G496,Masters!C$6:D1000,2, fALSE),"MISSING")</f>
        <v>Labourers in Chemical Products Processing and Utilities</v>
      </c>
    </row>
    <row r="497">
      <c r="A497" s="121" t="s">
        <v>3181</v>
      </c>
      <c r="B497" s="121">
        <v>9614.0</v>
      </c>
      <c r="C497" s="121" t="s">
        <v>1482</v>
      </c>
      <c r="D497" s="122" t="s">
        <v>3182</v>
      </c>
      <c r="E497" s="121" t="s">
        <v>3183</v>
      </c>
      <c r="F497" s="121" t="s">
        <v>2053</v>
      </c>
      <c r="G497" s="35">
        <f t="shared" si="1"/>
        <v>9614</v>
      </c>
      <c r="I497" s="35" t="str">
        <f>iFERROR(vlookup(G497,Masters!C$6:D1000,2, fALSE),"MISSING")</f>
        <v>Labourers in Wood, Pulp and Paper Processing</v>
      </c>
    </row>
    <row r="498">
      <c r="A498" s="121" t="s">
        <v>3184</v>
      </c>
      <c r="B498" s="121">
        <v>9615.0</v>
      </c>
      <c r="C498" s="121" t="s">
        <v>1481</v>
      </c>
      <c r="D498" s="122" t="s">
        <v>3185</v>
      </c>
      <c r="E498" s="121" t="s">
        <v>2053</v>
      </c>
      <c r="F498" s="121" t="s">
        <v>2053</v>
      </c>
      <c r="G498" s="35">
        <f t="shared" si="1"/>
        <v>9615</v>
      </c>
      <c r="I498" s="35" t="str">
        <f>iFERROR(vlookup(G498,Masters!C$6:D1000,2, fALSE),"MISSING")</f>
        <v>Labourers in Rubber and Plastic Products Manufacturing</v>
      </c>
    </row>
    <row r="499">
      <c r="A499" s="121" t="s">
        <v>3186</v>
      </c>
      <c r="B499" s="121">
        <v>9616.0</v>
      </c>
      <c r="C499" s="121" t="s">
        <v>1264</v>
      </c>
      <c r="D499" s="122" t="s">
        <v>3187</v>
      </c>
      <c r="E499" s="121" t="s">
        <v>2053</v>
      </c>
      <c r="F499" s="121" t="s">
        <v>2053</v>
      </c>
      <c r="G499" s="35">
        <f t="shared" si="1"/>
        <v>9616</v>
      </c>
      <c r="I499" s="35" t="str">
        <f>iFERROR(vlookup(G499,Masters!C$6:D1000,2, fALSE),"MISSING")</f>
        <v>Labourers in Textile Processing</v>
      </c>
    </row>
    <row r="500">
      <c r="A500" s="121" t="s">
        <v>3188</v>
      </c>
      <c r="B500" s="121">
        <v>9617.0</v>
      </c>
      <c r="C500" s="121" t="s">
        <v>1261</v>
      </c>
      <c r="D500" s="122" t="s">
        <v>3189</v>
      </c>
      <c r="E500" s="121" t="s">
        <v>3190</v>
      </c>
      <c r="F500" s="121" t="s">
        <v>2053</v>
      </c>
      <c r="G500" s="35">
        <f t="shared" si="1"/>
        <v>9617</v>
      </c>
      <c r="I500" s="35" t="str">
        <f>iFERROR(vlookup(G500,Masters!C$6:D1000,2, fALSE),"MISSING")</f>
        <v>Labourers in Food, Beverage and Tobacco Processing</v>
      </c>
    </row>
    <row r="501">
      <c r="A501" s="121" t="s">
        <v>3191</v>
      </c>
      <c r="B501" s="121">
        <v>9618.0</v>
      </c>
      <c r="C501" s="121" t="s">
        <v>1260</v>
      </c>
      <c r="D501" s="122" t="s">
        <v>3192</v>
      </c>
      <c r="E501" s="121" t="s">
        <v>2053</v>
      </c>
      <c r="F501" s="121" t="s">
        <v>2053</v>
      </c>
      <c r="G501" s="35">
        <f t="shared" si="1"/>
        <v>9618</v>
      </c>
      <c r="I501" s="35" t="str">
        <f>iFERROR(vlookup(G501,Masters!C$6:D1000,2, fALSE),"MISSING")</f>
        <v>Labourers in Fish Processing</v>
      </c>
    </row>
    <row r="502">
      <c r="A502" s="121" t="s">
        <v>3193</v>
      </c>
      <c r="B502" s="121">
        <v>9619.0</v>
      </c>
      <c r="C502" s="121" t="s">
        <v>1437</v>
      </c>
      <c r="D502" s="122" t="s">
        <v>3194</v>
      </c>
      <c r="E502" s="121" t="s">
        <v>2053</v>
      </c>
      <c r="F502" s="121" t="s">
        <v>2053</v>
      </c>
      <c r="G502" s="35">
        <f t="shared" si="1"/>
        <v>9619</v>
      </c>
      <c r="I502" s="35" t="str">
        <f>iFERROR(vlookup(G502,Masters!C$6:D1000,2, fALSE),"MISSING")</f>
        <v>Other Labourers in Processing, Manufacturing and Utilities</v>
      </c>
    </row>
  </sheetData>
  <conditionalFormatting sqref="I2:I502">
    <cfRule type="cellIs" dxfId="5" priority="1" operator="equal">
      <formula>"MISSING"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7"/>
    <hyperlink r:id="rId136" ref="D138"/>
    <hyperlink r:id="rId137" ref="D139"/>
    <hyperlink r:id="rId138" ref="D140"/>
    <hyperlink r:id="rId139" ref="D141"/>
    <hyperlink r:id="rId140" ref="D142"/>
    <hyperlink r:id="rId141" ref="D143"/>
    <hyperlink r:id="rId142" ref="D144"/>
    <hyperlink r:id="rId143" ref="D145"/>
    <hyperlink r:id="rId144" ref="D146"/>
    <hyperlink r:id="rId145" ref="D147"/>
    <hyperlink r:id="rId146" ref="D148"/>
    <hyperlink r:id="rId147" ref="D149"/>
    <hyperlink r:id="rId148" ref="D150"/>
    <hyperlink r:id="rId149" ref="D151"/>
    <hyperlink r:id="rId150" ref="D152"/>
    <hyperlink r:id="rId151" ref="D153"/>
    <hyperlink r:id="rId152" ref="D154"/>
    <hyperlink r:id="rId153" ref="D155"/>
    <hyperlink r:id="rId154" ref="D156"/>
    <hyperlink r:id="rId155" ref="D157"/>
    <hyperlink r:id="rId156" ref="D158"/>
    <hyperlink r:id="rId157" ref="D159"/>
    <hyperlink r:id="rId158" ref="D160"/>
    <hyperlink r:id="rId159" ref="D161"/>
    <hyperlink r:id="rId160" ref="D162"/>
    <hyperlink r:id="rId161" ref="D163"/>
    <hyperlink r:id="rId162" ref="D164"/>
    <hyperlink r:id="rId163" ref="D165"/>
    <hyperlink r:id="rId164" ref="D166"/>
    <hyperlink r:id="rId165" ref="D167"/>
    <hyperlink r:id="rId166" ref="D168"/>
    <hyperlink r:id="rId167" ref="D169"/>
    <hyperlink r:id="rId168" ref="D170"/>
    <hyperlink r:id="rId169" ref="D171"/>
    <hyperlink r:id="rId170" ref="D172"/>
    <hyperlink r:id="rId171" ref="D173"/>
    <hyperlink r:id="rId172" ref="D174"/>
    <hyperlink r:id="rId173" ref="D175"/>
    <hyperlink r:id="rId174" ref="D176"/>
    <hyperlink r:id="rId175" ref="D177"/>
    <hyperlink r:id="rId176" ref="D178"/>
    <hyperlink r:id="rId177" ref="D179"/>
    <hyperlink r:id="rId178" ref="D180"/>
    <hyperlink r:id="rId179" ref="D181"/>
    <hyperlink r:id="rId180" ref="D182"/>
    <hyperlink r:id="rId181" ref="D183"/>
    <hyperlink r:id="rId182" ref="D184"/>
    <hyperlink r:id="rId183" ref="D185"/>
    <hyperlink r:id="rId184" ref="D186"/>
    <hyperlink r:id="rId185" ref="D187"/>
    <hyperlink r:id="rId186" ref="D188"/>
    <hyperlink r:id="rId187" ref="D189"/>
    <hyperlink r:id="rId188" ref="D190"/>
    <hyperlink r:id="rId189" ref="D191"/>
    <hyperlink r:id="rId190" ref="D192"/>
    <hyperlink r:id="rId191" ref="D193"/>
    <hyperlink r:id="rId192" ref="D194"/>
    <hyperlink r:id="rId193" ref="D195"/>
    <hyperlink r:id="rId194" ref="D196"/>
    <hyperlink r:id="rId195" ref="D197"/>
    <hyperlink r:id="rId196" ref="D198"/>
    <hyperlink r:id="rId197" ref="D199"/>
    <hyperlink r:id="rId198" ref="D200"/>
    <hyperlink r:id="rId199" ref="D201"/>
    <hyperlink r:id="rId200" ref="D202"/>
    <hyperlink r:id="rId201" ref="D203"/>
    <hyperlink r:id="rId202" ref="D204"/>
    <hyperlink r:id="rId203" ref="D205"/>
    <hyperlink r:id="rId204" ref="D206"/>
    <hyperlink r:id="rId205" ref="D207"/>
    <hyperlink r:id="rId206" ref="D208"/>
    <hyperlink r:id="rId207" ref="D209"/>
    <hyperlink r:id="rId208" ref="D210"/>
    <hyperlink r:id="rId209" ref="D211"/>
    <hyperlink r:id="rId210" ref="D212"/>
    <hyperlink r:id="rId211" ref="D213"/>
    <hyperlink r:id="rId212" ref="D214"/>
    <hyperlink r:id="rId213" ref="D215"/>
    <hyperlink r:id="rId214" ref="D216"/>
    <hyperlink r:id="rId215" ref="D217"/>
    <hyperlink r:id="rId216" ref="D218"/>
    <hyperlink r:id="rId217" ref="D219"/>
    <hyperlink r:id="rId218" ref="D220"/>
    <hyperlink r:id="rId219" ref="D221"/>
    <hyperlink r:id="rId220" ref="D222"/>
    <hyperlink r:id="rId221" ref="D223"/>
    <hyperlink r:id="rId222" ref="D224"/>
    <hyperlink r:id="rId223" ref="D225"/>
    <hyperlink r:id="rId224" ref="D226"/>
    <hyperlink r:id="rId225" ref="D227"/>
    <hyperlink r:id="rId226" ref="D228"/>
    <hyperlink r:id="rId227" ref="D229"/>
    <hyperlink r:id="rId228" ref="D230"/>
    <hyperlink r:id="rId229" ref="D231"/>
    <hyperlink r:id="rId230" ref="D232"/>
    <hyperlink r:id="rId231" ref="D233"/>
    <hyperlink r:id="rId232" ref="D234"/>
    <hyperlink r:id="rId233" ref="D235"/>
    <hyperlink r:id="rId234" ref="D236"/>
    <hyperlink r:id="rId235" ref="D237"/>
    <hyperlink r:id="rId236" ref="D238"/>
    <hyperlink r:id="rId237" ref="D239"/>
    <hyperlink r:id="rId238" ref="D240"/>
    <hyperlink r:id="rId239" ref="D241"/>
    <hyperlink r:id="rId240" ref="D242"/>
    <hyperlink r:id="rId241" ref="D243"/>
    <hyperlink r:id="rId242" ref="D244"/>
    <hyperlink r:id="rId243" ref="D245"/>
    <hyperlink r:id="rId244" ref="D246"/>
    <hyperlink r:id="rId245" ref="D247"/>
    <hyperlink r:id="rId246" ref="D248"/>
    <hyperlink r:id="rId247" ref="D249"/>
    <hyperlink r:id="rId248" ref="D250"/>
    <hyperlink r:id="rId249" ref="D251"/>
    <hyperlink r:id="rId250" ref="D252"/>
    <hyperlink r:id="rId251" ref="D253"/>
    <hyperlink r:id="rId252" ref="D254"/>
    <hyperlink r:id="rId253" ref="D255"/>
    <hyperlink r:id="rId254" ref="D256"/>
    <hyperlink r:id="rId255" ref="D257"/>
    <hyperlink r:id="rId256" ref="D258"/>
    <hyperlink r:id="rId257" ref="D259"/>
    <hyperlink r:id="rId258" ref="D260"/>
    <hyperlink r:id="rId259" ref="D261"/>
    <hyperlink r:id="rId260" ref="D262"/>
    <hyperlink r:id="rId261" ref="D263"/>
    <hyperlink r:id="rId262" ref="D264"/>
    <hyperlink r:id="rId263" ref="D265"/>
    <hyperlink r:id="rId264" ref="D266"/>
    <hyperlink r:id="rId265" ref="D267"/>
    <hyperlink r:id="rId266" ref="D268"/>
    <hyperlink r:id="rId267" ref="D269"/>
    <hyperlink r:id="rId268" ref="D270"/>
    <hyperlink r:id="rId269" ref="D271"/>
    <hyperlink r:id="rId270" ref="D272"/>
    <hyperlink r:id="rId271" ref="D273"/>
    <hyperlink r:id="rId272" ref="D274"/>
    <hyperlink r:id="rId273" ref="D275"/>
    <hyperlink r:id="rId274" ref="D276"/>
    <hyperlink r:id="rId275" ref="D277"/>
    <hyperlink r:id="rId276" ref="D278"/>
    <hyperlink r:id="rId277" ref="D279"/>
    <hyperlink r:id="rId278" ref="D280"/>
    <hyperlink r:id="rId279" ref="D281"/>
    <hyperlink r:id="rId280" ref="D282"/>
    <hyperlink r:id="rId281" ref="D283"/>
    <hyperlink r:id="rId282" ref="D284"/>
    <hyperlink r:id="rId283" ref="D285"/>
    <hyperlink r:id="rId284" ref="D286"/>
    <hyperlink r:id="rId285" ref="D287"/>
    <hyperlink r:id="rId286" ref="D288"/>
    <hyperlink r:id="rId287" ref="D289"/>
    <hyperlink r:id="rId288" ref="D290"/>
    <hyperlink r:id="rId289" ref="D291"/>
    <hyperlink r:id="rId290" ref="D292"/>
    <hyperlink r:id="rId291" ref="D293"/>
    <hyperlink r:id="rId292" ref="D294"/>
    <hyperlink r:id="rId293" ref="D295"/>
    <hyperlink r:id="rId294" ref="D296"/>
    <hyperlink r:id="rId295" ref="D297"/>
    <hyperlink r:id="rId296" ref="D298"/>
    <hyperlink r:id="rId297" ref="D299"/>
    <hyperlink r:id="rId298" ref="D300"/>
    <hyperlink r:id="rId299" ref="D301"/>
    <hyperlink r:id="rId300" ref="D302"/>
    <hyperlink r:id="rId301" ref="D303"/>
    <hyperlink r:id="rId302" ref="D304"/>
    <hyperlink r:id="rId303" ref="D305"/>
    <hyperlink r:id="rId304" ref="D306"/>
    <hyperlink r:id="rId305" ref="D307"/>
    <hyperlink r:id="rId306" ref="D308"/>
    <hyperlink r:id="rId307" ref="D309"/>
    <hyperlink r:id="rId308" ref="D310"/>
    <hyperlink r:id="rId309" ref="D311"/>
    <hyperlink r:id="rId310" ref="D312"/>
    <hyperlink r:id="rId311" ref="D313"/>
    <hyperlink r:id="rId312" ref="D314"/>
    <hyperlink r:id="rId313" ref="D315"/>
    <hyperlink r:id="rId314" ref="D316"/>
    <hyperlink r:id="rId315" ref="D317"/>
    <hyperlink r:id="rId316" ref="D318"/>
    <hyperlink r:id="rId317" ref="D319"/>
    <hyperlink r:id="rId318" ref="D320"/>
    <hyperlink r:id="rId319" ref="D321"/>
    <hyperlink r:id="rId320" ref="D322"/>
    <hyperlink r:id="rId321" ref="D323"/>
    <hyperlink r:id="rId322" ref="D324"/>
    <hyperlink r:id="rId323" ref="D325"/>
    <hyperlink r:id="rId324" ref="D326"/>
    <hyperlink r:id="rId325" ref="D327"/>
    <hyperlink r:id="rId326" ref="D328"/>
    <hyperlink r:id="rId327" ref="D329"/>
    <hyperlink r:id="rId328" ref="D330"/>
    <hyperlink r:id="rId329" ref="D331"/>
    <hyperlink r:id="rId330" ref="D332"/>
    <hyperlink r:id="rId331" ref="D333"/>
    <hyperlink r:id="rId332" ref="D334"/>
    <hyperlink r:id="rId333" ref="D335"/>
    <hyperlink r:id="rId334" ref="D336"/>
    <hyperlink r:id="rId335" ref="D337"/>
    <hyperlink r:id="rId336" ref="D338"/>
    <hyperlink r:id="rId337" ref="D339"/>
    <hyperlink r:id="rId338" ref="D340"/>
    <hyperlink r:id="rId339" ref="D341"/>
    <hyperlink r:id="rId340" ref="D342"/>
    <hyperlink r:id="rId341" ref="D343"/>
    <hyperlink r:id="rId342" ref="D344"/>
    <hyperlink r:id="rId343" ref="D345"/>
    <hyperlink r:id="rId344" ref="D346"/>
    <hyperlink r:id="rId345" ref="D347"/>
    <hyperlink r:id="rId346" ref="D348"/>
    <hyperlink r:id="rId347" ref="D349"/>
    <hyperlink r:id="rId348" ref="D350"/>
    <hyperlink r:id="rId349" ref="D351"/>
    <hyperlink r:id="rId350" ref="D352"/>
    <hyperlink r:id="rId351" ref="D353"/>
    <hyperlink r:id="rId352" ref="D354"/>
    <hyperlink r:id="rId353" ref="D355"/>
    <hyperlink r:id="rId354" ref="D356"/>
    <hyperlink r:id="rId355" ref="D357"/>
    <hyperlink r:id="rId356" ref="D358"/>
    <hyperlink r:id="rId357" ref="D359"/>
    <hyperlink r:id="rId358" ref="D360"/>
    <hyperlink r:id="rId359" ref="D361"/>
    <hyperlink r:id="rId360" ref="D362"/>
    <hyperlink r:id="rId361" ref="D363"/>
    <hyperlink r:id="rId362" ref="D364"/>
    <hyperlink r:id="rId363" ref="D365"/>
    <hyperlink r:id="rId364" ref="D366"/>
    <hyperlink r:id="rId365" ref="D367"/>
    <hyperlink r:id="rId366" ref="D368"/>
    <hyperlink r:id="rId367" ref="D369"/>
    <hyperlink r:id="rId368" ref="D370"/>
    <hyperlink r:id="rId369" ref="D371"/>
    <hyperlink r:id="rId370" ref="D372"/>
    <hyperlink r:id="rId371" ref="D373"/>
    <hyperlink r:id="rId372" ref="D374"/>
    <hyperlink r:id="rId373" ref="D375"/>
    <hyperlink r:id="rId374" ref="D376"/>
    <hyperlink r:id="rId375" ref="D377"/>
    <hyperlink r:id="rId376" ref="D378"/>
    <hyperlink r:id="rId377" ref="D379"/>
    <hyperlink r:id="rId378" ref="D380"/>
    <hyperlink r:id="rId379" ref="D381"/>
    <hyperlink r:id="rId380" ref="D382"/>
    <hyperlink r:id="rId381" ref="D383"/>
    <hyperlink r:id="rId382" ref="D384"/>
    <hyperlink r:id="rId383" ref="D385"/>
    <hyperlink r:id="rId384" ref="D386"/>
    <hyperlink r:id="rId385" ref="D387"/>
    <hyperlink r:id="rId386" ref="D388"/>
    <hyperlink r:id="rId387" ref="D389"/>
    <hyperlink r:id="rId388" ref="D390"/>
    <hyperlink r:id="rId389" ref="D391"/>
    <hyperlink r:id="rId390" ref="D392"/>
    <hyperlink r:id="rId391" ref="D393"/>
    <hyperlink r:id="rId392" ref="D394"/>
    <hyperlink r:id="rId393" ref="D395"/>
    <hyperlink r:id="rId394" ref="D396"/>
    <hyperlink r:id="rId395" ref="D397"/>
    <hyperlink r:id="rId396" ref="D398"/>
    <hyperlink r:id="rId397" ref="D399"/>
    <hyperlink r:id="rId398" ref="D400"/>
    <hyperlink r:id="rId399" ref="D401"/>
    <hyperlink r:id="rId400" ref="D402"/>
    <hyperlink r:id="rId401" ref="D403"/>
    <hyperlink r:id="rId402" ref="D404"/>
    <hyperlink r:id="rId403" ref="D405"/>
    <hyperlink r:id="rId404" ref="D406"/>
    <hyperlink r:id="rId405" ref="D407"/>
    <hyperlink r:id="rId406" ref="D408"/>
    <hyperlink r:id="rId407" ref="D409"/>
    <hyperlink r:id="rId408" ref="D410"/>
    <hyperlink r:id="rId409" ref="D411"/>
    <hyperlink r:id="rId410" ref="D412"/>
    <hyperlink r:id="rId411" ref="D413"/>
    <hyperlink r:id="rId412" ref="D414"/>
    <hyperlink r:id="rId413" ref="D415"/>
    <hyperlink r:id="rId414" ref="D416"/>
    <hyperlink r:id="rId415" ref="D417"/>
    <hyperlink r:id="rId416" ref="D418"/>
    <hyperlink r:id="rId417" ref="D419"/>
    <hyperlink r:id="rId418" ref="D420"/>
    <hyperlink r:id="rId419" ref="D421"/>
    <hyperlink r:id="rId420" ref="D422"/>
    <hyperlink r:id="rId421" ref="D423"/>
    <hyperlink r:id="rId422" ref="D424"/>
    <hyperlink r:id="rId423" ref="D425"/>
    <hyperlink r:id="rId424" ref="D426"/>
    <hyperlink r:id="rId425" ref="D427"/>
    <hyperlink r:id="rId426" ref="D428"/>
    <hyperlink r:id="rId427" ref="D429"/>
    <hyperlink r:id="rId428" ref="D430"/>
    <hyperlink r:id="rId429" ref="D431"/>
    <hyperlink r:id="rId430" ref="D432"/>
    <hyperlink r:id="rId431" ref="D433"/>
    <hyperlink r:id="rId432" ref="D434"/>
    <hyperlink r:id="rId433" ref="D435"/>
    <hyperlink r:id="rId434" ref="D436"/>
    <hyperlink r:id="rId435" ref="D437"/>
    <hyperlink r:id="rId436" ref="D438"/>
    <hyperlink r:id="rId437" ref="D439"/>
    <hyperlink r:id="rId438" ref="D440"/>
    <hyperlink r:id="rId439" ref="D441"/>
    <hyperlink r:id="rId440" ref="D442"/>
    <hyperlink r:id="rId441" ref="D443"/>
    <hyperlink r:id="rId442" ref="D444"/>
    <hyperlink r:id="rId443" ref="D445"/>
    <hyperlink r:id="rId444" ref="D446"/>
    <hyperlink r:id="rId445" ref="D447"/>
    <hyperlink r:id="rId446" ref="D448"/>
    <hyperlink r:id="rId447" ref="D449"/>
    <hyperlink r:id="rId448" ref="D450"/>
    <hyperlink r:id="rId449" ref="D451"/>
    <hyperlink r:id="rId450" ref="D452"/>
    <hyperlink r:id="rId451" ref="D453"/>
    <hyperlink r:id="rId452" ref="D454"/>
    <hyperlink r:id="rId453" ref="D455"/>
    <hyperlink r:id="rId454" ref="D456"/>
    <hyperlink r:id="rId455" ref="D457"/>
    <hyperlink r:id="rId456" ref="D458"/>
    <hyperlink r:id="rId457" ref="D459"/>
    <hyperlink r:id="rId458" ref="D460"/>
    <hyperlink r:id="rId459" ref="D461"/>
    <hyperlink r:id="rId460" ref="D462"/>
    <hyperlink r:id="rId461" ref="D463"/>
    <hyperlink r:id="rId462" ref="D464"/>
    <hyperlink r:id="rId463" ref="D465"/>
    <hyperlink r:id="rId464" ref="D466"/>
    <hyperlink r:id="rId465" ref="D467"/>
    <hyperlink r:id="rId466" ref="D468"/>
    <hyperlink r:id="rId467" ref="D469"/>
    <hyperlink r:id="rId468" ref="D470"/>
    <hyperlink r:id="rId469" ref="D471"/>
    <hyperlink r:id="rId470" ref="D472"/>
    <hyperlink r:id="rId471" ref="D473"/>
    <hyperlink r:id="rId472" ref="D474"/>
    <hyperlink r:id="rId473" ref="D475"/>
    <hyperlink r:id="rId474" ref="D476"/>
    <hyperlink r:id="rId475" ref="D477"/>
    <hyperlink r:id="rId476" ref="D478"/>
    <hyperlink r:id="rId477" ref="D479"/>
    <hyperlink r:id="rId478" ref="D480"/>
    <hyperlink r:id="rId479" ref="D481"/>
    <hyperlink r:id="rId480" ref="D482"/>
    <hyperlink r:id="rId481" ref="D483"/>
    <hyperlink r:id="rId482" ref="D484"/>
    <hyperlink r:id="rId483" ref="D485"/>
    <hyperlink r:id="rId484" ref="D486"/>
    <hyperlink r:id="rId485" ref="D487"/>
    <hyperlink r:id="rId486" ref="D488"/>
    <hyperlink r:id="rId487" ref="D489"/>
    <hyperlink r:id="rId488" ref="D490"/>
    <hyperlink r:id="rId489" ref="D491"/>
    <hyperlink r:id="rId490" ref="D492"/>
    <hyperlink r:id="rId491" ref="D493"/>
    <hyperlink r:id="rId492" ref="D494"/>
    <hyperlink r:id="rId493" ref="D495"/>
    <hyperlink r:id="rId494" ref="D496"/>
    <hyperlink r:id="rId495" ref="D497"/>
    <hyperlink r:id="rId496" ref="D498"/>
    <hyperlink r:id="rId497" ref="D499"/>
    <hyperlink r:id="rId498" ref="D500"/>
    <hyperlink r:id="rId499" ref="D501"/>
    <hyperlink r:id="rId500" ref="D502"/>
  </hyperlinks>
  <drawing r:id="rId5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1.5"/>
    <col customWidth="1" min="3" max="3" width="26.63"/>
    <col customWidth="1" min="4" max="13" width="4.88"/>
    <col customWidth="1" min="16" max="18" width="6.75"/>
  </cols>
  <sheetData>
    <row r="3">
      <c r="D3" s="34" t="s">
        <v>0</v>
      </c>
    </row>
    <row r="4">
      <c r="A4" s="35">
        <f>COUNTIF(A8:A930,"&lt;1000")</f>
        <v>67</v>
      </c>
    </row>
    <row r="5">
      <c r="B5" s="36"/>
      <c r="C5" s="37"/>
      <c r="D5" s="37">
        <f>JobBank!U5</f>
        <v>2</v>
      </c>
      <c r="E5" s="37">
        <f>JobBank!U6</f>
        <v>3</v>
      </c>
      <c r="F5" s="37">
        <f>JobBank!U7</f>
        <v>3</v>
      </c>
      <c r="G5" s="37">
        <f>JobBank!U8</f>
        <v>3</v>
      </c>
      <c r="H5" s="37">
        <f>JobBank!U9</f>
        <v>4</v>
      </c>
      <c r="I5" s="37">
        <f>JobBank!U10</f>
        <v>3</v>
      </c>
      <c r="J5" s="37">
        <f>JobBank!U11</f>
        <v>3</v>
      </c>
      <c r="K5" s="37">
        <f>JobBank!U12</f>
        <v>3</v>
      </c>
      <c r="L5" s="37">
        <f>JobBank!U13</f>
        <v>3</v>
      </c>
      <c r="M5" s="36"/>
      <c r="N5" s="37"/>
    </row>
    <row r="6">
      <c r="B6" s="25"/>
      <c r="C6" s="25"/>
      <c r="D6" s="25" t="s">
        <v>20</v>
      </c>
      <c r="E6" s="25" t="s">
        <v>23</v>
      </c>
      <c r="F6" s="25" t="s">
        <v>26</v>
      </c>
      <c r="G6" s="25" t="s">
        <v>29</v>
      </c>
      <c r="H6" s="25" t="s">
        <v>32</v>
      </c>
      <c r="I6" s="25" t="s">
        <v>35</v>
      </c>
      <c r="J6" s="25" t="s">
        <v>38</v>
      </c>
      <c r="K6" s="25" t="s">
        <v>41</v>
      </c>
      <c r="L6" s="25" t="s">
        <v>44</v>
      </c>
      <c r="M6" s="25"/>
      <c r="N6" s="25"/>
      <c r="S6" s="38">
        <f>countif(S7:S930,"&gt;1")</f>
        <v>499</v>
      </c>
    </row>
    <row r="7">
      <c r="B7" s="39" t="s">
        <v>50</v>
      </c>
      <c r="C7" s="40" t="s">
        <v>78</v>
      </c>
      <c r="D7" s="39" t="s">
        <v>79</v>
      </c>
      <c r="E7" s="39" t="s">
        <v>80</v>
      </c>
      <c r="F7" s="39" t="s">
        <v>81</v>
      </c>
      <c r="G7" s="39" t="s">
        <v>82</v>
      </c>
      <c r="H7" s="39" t="s">
        <v>83</v>
      </c>
      <c r="I7" s="39" t="s">
        <v>84</v>
      </c>
      <c r="J7" s="39" t="s">
        <v>85</v>
      </c>
      <c r="K7" s="39" t="s">
        <v>86</v>
      </c>
      <c r="L7" s="39" t="s">
        <v>87</v>
      </c>
      <c r="M7" s="39" t="s">
        <v>9</v>
      </c>
      <c r="N7" s="39" t="s">
        <v>51</v>
      </c>
      <c r="S7" s="35">
        <f>IFERROR(__xludf.DUMMYFUNCTION("unique(A8:A930)"),7237.0)</f>
        <v>7237</v>
      </c>
    </row>
    <row r="8">
      <c r="A8" s="35">
        <f>'4JSON'!A2</f>
        <v>7237</v>
      </c>
      <c r="B8" s="25" t="str">
        <f>'4JSON'!B2</f>
        <v>Welders</v>
      </c>
      <c r="C8" s="41" t="str">
        <f>'4JSON'!C2</f>
        <v>Welders and related machine operators</v>
      </c>
      <c r="D8" s="41">
        <f>ABS(D$5-(6-'4JSON'!D2))</f>
        <v>1</v>
      </c>
      <c r="E8" s="41">
        <f>ABS(E$5-(6-'4JSON'!E2))</f>
        <v>1</v>
      </c>
      <c r="F8" s="41">
        <f>ABS(F$5-(6-'4JSON'!F2))</f>
        <v>0</v>
      </c>
      <c r="G8" s="41">
        <f>ABS(G$5-(6-'4JSON'!G2))</f>
        <v>1</v>
      </c>
      <c r="H8" s="41">
        <f>ABS(H$5-(6-'4JSON'!H2))</f>
        <v>1</v>
      </c>
      <c r="I8" s="41">
        <f>ABS(I$5-(6-'4JSON'!I2))</f>
        <v>1</v>
      </c>
      <c r="J8" s="41">
        <f>ABS(J$5-(6-'4JSON'!J2))</f>
        <v>0</v>
      </c>
      <c r="K8" s="41">
        <f>ABS(K$5-(6-'4JSON'!K2))</f>
        <v>1</v>
      </c>
      <c r="L8" s="41">
        <f>ABS(L$5-(6-'4JSON'!L2))</f>
        <v>0</v>
      </c>
      <c r="M8" s="36">
        <f t="shared" ref="M8:M930" si="1">sum(D8:L8)</f>
        <v>6</v>
      </c>
      <c r="N8" s="42">
        <f t="shared" ref="N8:N930" si="2">(36-M8)/36</f>
        <v>0.8333333333</v>
      </c>
      <c r="S8" s="35">
        <f>IFERROR(__xludf.DUMMYFUNCTION("""COMPUTED_VALUE"""),5225.0)</f>
        <v>5225</v>
      </c>
    </row>
    <row r="9">
      <c r="A9" s="35">
        <f>'4JSON'!A3</f>
        <v>5225</v>
      </c>
      <c r="B9" s="25" t="str">
        <f>'4JSON'!B3</f>
        <v>Audio and Video Recording Technicians</v>
      </c>
      <c r="C9" s="41" t="str">
        <f>'4JSON'!C3</f>
        <v>Audio and video recording technicians</v>
      </c>
      <c r="D9" s="41">
        <f>ABS(D$5-(6-'4JSON'!D3))</f>
        <v>1</v>
      </c>
      <c r="E9" s="41">
        <f>ABS(E$5-(6-'4JSON'!E3))</f>
        <v>0</v>
      </c>
      <c r="F9" s="41">
        <f>ABS(F$5-(6-'4JSON'!F3))</f>
        <v>0</v>
      </c>
      <c r="G9" s="41">
        <f>ABS(G$5-(6-'4JSON'!G3))</f>
        <v>0</v>
      </c>
      <c r="H9" s="41">
        <f>ABS(H$5-(6-'4JSON'!H3))</f>
        <v>1</v>
      </c>
      <c r="I9" s="41">
        <f>ABS(I$5-(6-'4JSON'!I3))</f>
        <v>1</v>
      </c>
      <c r="J9" s="41">
        <f>ABS(J$5-(6-'4JSON'!J3))</f>
        <v>0</v>
      </c>
      <c r="K9" s="41">
        <f>ABS(K$5-(6-'4JSON'!K3))</f>
        <v>0</v>
      </c>
      <c r="L9" s="41">
        <f>ABS(L$5-(6-'4JSON'!L3))</f>
        <v>0</v>
      </c>
      <c r="M9" s="36">
        <f t="shared" si="1"/>
        <v>3</v>
      </c>
      <c r="N9" s="42">
        <f t="shared" si="2"/>
        <v>0.9166666667</v>
      </c>
      <c r="S9" s="35">
        <f>IFERROR(__xludf.DUMMYFUNCTION("""COMPUTED_VALUE"""),2244.0)</f>
        <v>2244</v>
      </c>
    </row>
    <row r="10">
      <c r="A10" s="35">
        <f>'4JSON'!A4</f>
        <v>2244</v>
      </c>
      <c r="B10" s="25" t="str">
        <f>'4JSON'!B4</f>
        <v>Avionics Inspectors</v>
      </c>
      <c r="C10" s="41" t="str">
        <f>'4JSON'!C4</f>
        <v>Aircraft instrument, electrical and avionics mechanics, technicians and inspectors</v>
      </c>
      <c r="D10" s="41">
        <f>ABS(D$5-(6-'4JSON'!D4))</f>
        <v>1</v>
      </c>
      <c r="E10" s="41">
        <f>ABS(E$5-(6-'4JSON'!E4))</f>
        <v>0</v>
      </c>
      <c r="F10" s="41">
        <f>ABS(F$5-(6-'4JSON'!F4))</f>
        <v>0</v>
      </c>
      <c r="G10" s="41">
        <f>ABS(G$5-(6-'4JSON'!G4))</f>
        <v>1</v>
      </c>
      <c r="H10" s="41">
        <f>ABS(H$5-(6-'4JSON'!H4))</f>
        <v>0</v>
      </c>
      <c r="I10" s="41">
        <f>ABS(I$5-(6-'4JSON'!I4))</f>
        <v>1</v>
      </c>
      <c r="J10" s="41">
        <f>ABS(J$5-(6-'4JSON'!J4))</f>
        <v>0</v>
      </c>
      <c r="K10" s="41">
        <f>ABS(K$5-(6-'4JSON'!K4))</f>
        <v>1</v>
      </c>
      <c r="L10" s="41">
        <f>ABS(L$5-(6-'4JSON'!L4))</f>
        <v>1</v>
      </c>
      <c r="M10" s="36">
        <f t="shared" si="1"/>
        <v>5</v>
      </c>
      <c r="N10" s="42">
        <f t="shared" si="2"/>
        <v>0.8611111111</v>
      </c>
      <c r="S10" s="35">
        <f>IFERROR(__xludf.DUMMYFUNCTION("""COMPUTED_VALUE"""),6332.0)</f>
        <v>6332</v>
      </c>
    </row>
    <row r="11">
      <c r="A11" s="35">
        <f>'4JSON'!A5</f>
        <v>6332</v>
      </c>
      <c r="B11" s="24" t="s">
        <v>88</v>
      </c>
      <c r="C11" s="41" t="str">
        <f>'4JSON'!C5</f>
        <v>Bakers</v>
      </c>
      <c r="D11" s="41">
        <f>ABS(D$5-(6-'4JSON'!D5))</f>
        <v>1</v>
      </c>
      <c r="E11" s="41">
        <f>ABS(E$5-(6-'4JSON'!E5))</f>
        <v>0</v>
      </c>
      <c r="F11" s="41">
        <f>ABS(F$5-(6-'4JSON'!F5))</f>
        <v>0</v>
      </c>
      <c r="G11" s="41">
        <f>ABS(G$5-(6-'4JSON'!G5))</f>
        <v>0</v>
      </c>
      <c r="H11" s="41">
        <f>ABS(H$5-(6-'4JSON'!H5))</f>
        <v>1</v>
      </c>
      <c r="I11" s="41">
        <f>ABS(I$5-(6-'4JSON'!I5))</f>
        <v>1</v>
      </c>
      <c r="J11" s="41">
        <f>ABS(J$5-(6-'4JSON'!J5))</f>
        <v>0</v>
      </c>
      <c r="K11" s="41">
        <f>ABS(K$5-(6-'4JSON'!K5))</f>
        <v>0</v>
      </c>
      <c r="L11" s="41">
        <f>ABS(L$5-(6-'4JSON'!L5))</f>
        <v>0</v>
      </c>
      <c r="M11" s="36">
        <f t="shared" si="1"/>
        <v>3</v>
      </c>
      <c r="N11" s="42">
        <f t="shared" si="2"/>
        <v>0.9166666667</v>
      </c>
      <c r="S11" s="35">
        <f>IFERROR(__xludf.DUMMYFUNCTION("""COMPUTED_VALUE"""),6341.0)</f>
        <v>6341</v>
      </c>
    </row>
    <row r="12">
      <c r="A12" s="35">
        <f>'4JSON'!A6</f>
        <v>6341</v>
      </c>
      <c r="B12" s="25" t="str">
        <f>'4JSON'!B6</f>
        <v>Barbers</v>
      </c>
      <c r="C12" s="41" t="str">
        <f>'4JSON'!C6</f>
        <v>Hairstylists and barbers</v>
      </c>
      <c r="D12" s="41">
        <f>ABS(D$5-(6-'4JSON'!D6))</f>
        <v>1</v>
      </c>
      <c r="E12" s="41">
        <f>ABS(E$5-(6-'4JSON'!E6))</f>
        <v>0</v>
      </c>
      <c r="F12" s="41">
        <f>ABS(F$5-(6-'4JSON'!F6))</f>
        <v>1</v>
      </c>
      <c r="G12" s="41">
        <f>ABS(G$5-(6-'4JSON'!G6))</f>
        <v>1</v>
      </c>
      <c r="H12" s="41">
        <f>ABS(H$5-(6-'4JSON'!H6))</f>
        <v>1</v>
      </c>
      <c r="I12" s="41">
        <f>ABS(I$5-(6-'4JSON'!I6))</f>
        <v>1</v>
      </c>
      <c r="J12" s="41">
        <f>ABS(J$5-(6-'4JSON'!J6))</f>
        <v>0</v>
      </c>
      <c r="K12" s="41">
        <f>ABS(K$5-(6-'4JSON'!K6))</f>
        <v>0</v>
      </c>
      <c r="L12" s="41">
        <f>ABS(L$5-(6-'4JSON'!L6))</f>
        <v>0</v>
      </c>
      <c r="M12" s="36">
        <f t="shared" si="1"/>
        <v>5</v>
      </c>
      <c r="N12" s="42">
        <f t="shared" si="2"/>
        <v>0.8611111111</v>
      </c>
      <c r="S12" s="35">
        <f>IFERROR(__xludf.DUMMYFUNCTION("""COMPUTED_VALUE"""),9473.0)</f>
        <v>9473</v>
      </c>
    </row>
    <row r="13">
      <c r="A13" s="35">
        <f>'4JSON'!A7</f>
        <v>9473</v>
      </c>
      <c r="B13" s="25" t="str">
        <f>'4JSON'!B7</f>
        <v>Binding and Finishing Machine Operators</v>
      </c>
      <c r="C13" s="41" t="str">
        <f>'4JSON'!C7</f>
        <v>Binding and finishing machine operators</v>
      </c>
      <c r="D13" s="41">
        <f>ABS(D$5-(6-'4JSON'!D7))</f>
        <v>1</v>
      </c>
      <c r="E13" s="41">
        <f>ABS(E$5-(6-'4JSON'!E7))</f>
        <v>0</v>
      </c>
      <c r="F13" s="41">
        <f>ABS(F$5-(6-'4JSON'!F7))</f>
        <v>1</v>
      </c>
      <c r="G13" s="41">
        <f>ABS(G$5-(6-'4JSON'!G7))</f>
        <v>0</v>
      </c>
      <c r="H13" s="41">
        <f>ABS(H$5-(6-'4JSON'!H7))</f>
        <v>1</v>
      </c>
      <c r="I13" s="41">
        <f>ABS(I$5-(6-'4JSON'!I7))</f>
        <v>1</v>
      </c>
      <c r="J13" s="41">
        <f>ABS(J$5-(6-'4JSON'!J7))</f>
        <v>0</v>
      </c>
      <c r="K13" s="41">
        <f>ABS(K$5-(6-'4JSON'!K7))</f>
        <v>1</v>
      </c>
      <c r="L13" s="41">
        <f>ABS(L$5-(6-'4JSON'!L7))</f>
        <v>0</v>
      </c>
      <c r="M13" s="36">
        <f t="shared" si="1"/>
        <v>5</v>
      </c>
      <c r="N13" s="42">
        <f t="shared" si="2"/>
        <v>0.8611111111</v>
      </c>
      <c r="S13" s="35">
        <f>IFERROR(__xludf.DUMMYFUNCTION("""COMPUTED_VALUE"""),2221.0)</f>
        <v>2221</v>
      </c>
    </row>
    <row r="14">
      <c r="A14" s="35">
        <f>'4JSON'!A8</f>
        <v>2221</v>
      </c>
      <c r="B14" s="25" t="str">
        <f>'4JSON'!B8</f>
        <v>Biological Technicians</v>
      </c>
      <c r="C14" s="41" t="str">
        <f>'4JSON'!C8</f>
        <v>Biological technologists and technicians</v>
      </c>
      <c r="D14" s="41">
        <f>ABS(D$5-(6-'4JSON'!D8))</f>
        <v>2</v>
      </c>
      <c r="E14" s="41">
        <f>ABS(E$5-(6-'4JSON'!E8))</f>
        <v>0</v>
      </c>
      <c r="F14" s="41">
        <f>ABS(F$5-(6-'4JSON'!F8))</f>
        <v>0</v>
      </c>
      <c r="G14" s="41">
        <f>ABS(G$5-(6-'4JSON'!G8))</f>
        <v>0</v>
      </c>
      <c r="H14" s="41">
        <f>ABS(H$5-(6-'4JSON'!H8))</f>
        <v>0</v>
      </c>
      <c r="I14" s="41">
        <f>ABS(I$5-(6-'4JSON'!I8))</f>
        <v>0</v>
      </c>
      <c r="J14" s="41">
        <f>ABS(J$5-(6-'4JSON'!J8))</f>
        <v>0</v>
      </c>
      <c r="K14" s="41">
        <f>ABS(K$5-(6-'4JSON'!K8))</f>
        <v>1</v>
      </c>
      <c r="L14" s="41">
        <f>ABS(L$5-(6-'4JSON'!L8))</f>
        <v>0</v>
      </c>
      <c r="M14" s="36">
        <f t="shared" si="1"/>
        <v>3</v>
      </c>
      <c r="N14" s="42">
        <f t="shared" si="2"/>
        <v>0.9166666667</v>
      </c>
      <c r="S14" s="35">
        <f>IFERROR(__xludf.DUMMYFUNCTION("""COMPUTED_VALUE"""),2222.0)</f>
        <v>2222</v>
      </c>
    </row>
    <row r="15">
      <c r="A15" s="35">
        <f>'4JSON'!A9</f>
        <v>2222</v>
      </c>
      <c r="B15" s="25" t="str">
        <f>'4JSON'!B9</f>
        <v>Agricultural and Related Service Contractors and Managers</v>
      </c>
      <c r="C15" s="41" t="str">
        <f>'4JSON'!C9</f>
        <v>Agricultural and fish products inspectors</v>
      </c>
      <c r="D15" s="41">
        <f>ABS(D$5-(6-'4JSON'!D9))</f>
        <v>1</v>
      </c>
      <c r="E15" s="41">
        <f>ABS(E$5-(6-'4JSON'!E9))</f>
        <v>1</v>
      </c>
      <c r="F15" s="41">
        <f>ABS(F$5-(6-'4JSON'!F9))</f>
        <v>1</v>
      </c>
      <c r="G15" s="41">
        <f>ABS(G$5-(6-'4JSON'!G9))</f>
        <v>0</v>
      </c>
      <c r="H15" s="41">
        <f>ABS(H$5-(6-'4JSON'!H9))</f>
        <v>2</v>
      </c>
      <c r="I15" s="41">
        <f>ABS(I$5-(6-'4JSON'!I9))</f>
        <v>1</v>
      </c>
      <c r="J15" s="41">
        <f>ABS(J$5-(6-'4JSON'!J9))</f>
        <v>0</v>
      </c>
      <c r="K15" s="41">
        <f>ABS(K$5-(6-'4JSON'!K9))</f>
        <v>1</v>
      </c>
      <c r="L15" s="41">
        <f>ABS(L$5-(6-'4JSON'!L9))</f>
        <v>0</v>
      </c>
      <c r="M15" s="36">
        <f t="shared" si="1"/>
        <v>7</v>
      </c>
      <c r="N15" s="42">
        <f t="shared" si="2"/>
        <v>0.8055555556</v>
      </c>
      <c r="S15" s="35">
        <f>IFERROR(__xludf.DUMMYFUNCTION("""COMPUTED_VALUE"""),9524.0)</f>
        <v>9524</v>
      </c>
    </row>
    <row r="16">
      <c r="A16" s="35">
        <f>'4JSON'!A10</f>
        <v>9524</v>
      </c>
      <c r="B16" s="25" t="str">
        <f>'4JSON'!B10</f>
        <v>Assemblers, Electrical Appliance, Apparatus and Equipment Manufacturing</v>
      </c>
      <c r="C16" s="41" t="str">
        <f>'4JSON'!C10</f>
        <v>Assemblers and inspectors, electrical appliance, apparatus and equipment manufacturing</v>
      </c>
      <c r="D16" s="41">
        <f>ABS(D$5-(6-'4JSON'!D10))</f>
        <v>1</v>
      </c>
      <c r="E16" s="41">
        <f>ABS(E$5-(6-'4JSON'!E10))</f>
        <v>1</v>
      </c>
      <c r="F16" s="41">
        <f>ABS(F$5-(6-'4JSON'!F10))</f>
        <v>1</v>
      </c>
      <c r="G16" s="41">
        <f>ABS(G$5-(6-'4JSON'!G10))</f>
        <v>1</v>
      </c>
      <c r="H16" s="41">
        <f>ABS(H$5-(6-'4JSON'!H10))</f>
        <v>2</v>
      </c>
      <c r="I16" s="41">
        <f>ABS(I$5-(6-'4JSON'!I10))</f>
        <v>1</v>
      </c>
      <c r="J16" s="41">
        <f>ABS(J$5-(6-'4JSON'!J10))</f>
        <v>0</v>
      </c>
      <c r="K16" s="41">
        <f>ABS(K$5-(6-'4JSON'!K10))</f>
        <v>0</v>
      </c>
      <c r="L16" s="41">
        <f>ABS(L$5-(6-'4JSON'!L10))</f>
        <v>0</v>
      </c>
      <c r="M16" s="36">
        <f t="shared" si="1"/>
        <v>7</v>
      </c>
      <c r="N16" s="42">
        <f t="shared" si="2"/>
        <v>0.8055555556</v>
      </c>
      <c r="S16" s="35">
        <f>IFERROR(__xludf.DUMMYFUNCTION("""COMPUTED_VALUE"""),9531.0)</f>
        <v>9531</v>
      </c>
    </row>
    <row r="17">
      <c r="A17" s="35">
        <f>'4JSON'!A11</f>
        <v>9531</v>
      </c>
      <c r="B17" s="25" t="str">
        <f>'4JSON'!B11</f>
        <v>Boat Assemblers</v>
      </c>
      <c r="C17" s="41" t="str">
        <f>'4JSON'!C11</f>
        <v>Boat assemblers and inspectors</v>
      </c>
      <c r="D17" s="41">
        <f>ABS(D$5-(6-'4JSON'!D11))</f>
        <v>1</v>
      </c>
      <c r="E17" s="41">
        <f>ABS(E$5-(6-'4JSON'!E11))</f>
        <v>1</v>
      </c>
      <c r="F17" s="41">
        <f>ABS(F$5-(6-'4JSON'!F11))</f>
        <v>1</v>
      </c>
      <c r="G17" s="41">
        <f>ABS(G$5-(6-'4JSON'!G11))</f>
        <v>0</v>
      </c>
      <c r="H17" s="41">
        <f>ABS(H$5-(6-'4JSON'!H11))</f>
        <v>1</v>
      </c>
      <c r="I17" s="41">
        <f>ABS(I$5-(6-'4JSON'!I11))</f>
        <v>2</v>
      </c>
      <c r="J17" s="41">
        <f>ABS(J$5-(6-'4JSON'!J11))</f>
        <v>0</v>
      </c>
      <c r="K17" s="41">
        <f>ABS(K$5-(6-'4JSON'!K11))</f>
        <v>1</v>
      </c>
      <c r="L17" s="41">
        <f>ABS(L$5-(6-'4JSON'!L11))</f>
        <v>0</v>
      </c>
      <c r="M17" s="36">
        <f t="shared" si="1"/>
        <v>7</v>
      </c>
      <c r="N17" s="42">
        <f t="shared" si="2"/>
        <v>0.8055555556</v>
      </c>
      <c r="S17" s="35">
        <f>IFERROR(__xludf.DUMMYFUNCTION("""COMPUTED_VALUE"""),5232.0)</f>
        <v>5232</v>
      </c>
    </row>
    <row r="18">
      <c r="A18" s="35">
        <f>'4JSON'!A12</f>
        <v>5232</v>
      </c>
      <c r="B18" s="25" t="str">
        <f>'4JSON'!B12</f>
        <v>Buskers</v>
      </c>
      <c r="C18" s="41" t="str">
        <f>'4JSON'!C12</f>
        <v>Other performers, n.e.c.</v>
      </c>
      <c r="D18" s="41">
        <f>ABS(D$5-(6-'4JSON'!D12))</f>
        <v>1</v>
      </c>
      <c r="E18" s="41">
        <f>ABS(E$5-(6-'4JSON'!E12))</f>
        <v>1</v>
      </c>
      <c r="F18" s="41">
        <f>ABS(F$5-(6-'4JSON'!F12))</f>
        <v>1</v>
      </c>
      <c r="G18" s="41">
        <f>ABS(G$5-(6-'4JSON'!G12))</f>
        <v>0</v>
      </c>
      <c r="H18" s="41">
        <f>ABS(H$5-(6-'4JSON'!H12))</f>
        <v>1</v>
      </c>
      <c r="I18" s="41">
        <f>ABS(I$5-(6-'4JSON'!I12))</f>
        <v>1</v>
      </c>
      <c r="J18" s="41">
        <f>ABS(J$5-(6-'4JSON'!J12))</f>
        <v>0</v>
      </c>
      <c r="K18" s="41">
        <f>ABS(K$5-(6-'4JSON'!K12))</f>
        <v>0</v>
      </c>
      <c r="L18" s="41">
        <f>ABS(L$5-(6-'4JSON'!L12))</f>
        <v>0</v>
      </c>
      <c r="M18" s="36">
        <f t="shared" si="1"/>
        <v>5</v>
      </c>
      <c r="N18" s="42">
        <f t="shared" si="2"/>
        <v>0.8611111111</v>
      </c>
      <c r="S18" s="35">
        <f>IFERROR(__xludf.DUMMYFUNCTION("""COMPUTED_VALUE"""),7247.0)</f>
        <v>7247</v>
      </c>
    </row>
    <row r="19">
      <c r="A19" s="35">
        <f>'4JSON'!A13</f>
        <v>7247</v>
      </c>
      <c r="B19" s="25" t="str">
        <f>'4JSON'!B13</f>
        <v>Cable Television Maintenance Technicians</v>
      </c>
      <c r="C19" s="41" t="str">
        <f>'4JSON'!C13</f>
        <v>Cable television service and maintenance technicians</v>
      </c>
      <c r="D19" s="41">
        <f>ABS(D$5-(6-'4JSON'!D13))</f>
        <v>1</v>
      </c>
      <c r="E19" s="41">
        <f>ABS(E$5-(6-'4JSON'!E13))</f>
        <v>0</v>
      </c>
      <c r="F19" s="41">
        <f>ABS(F$5-(6-'4JSON'!F13))</f>
        <v>1</v>
      </c>
      <c r="G19" s="41">
        <f>ABS(G$5-(6-'4JSON'!G13))</f>
        <v>0</v>
      </c>
      <c r="H19" s="41">
        <f>ABS(H$5-(6-'4JSON'!H13))</f>
        <v>2</v>
      </c>
      <c r="I19" s="41">
        <f>ABS(I$5-(6-'4JSON'!I13))</f>
        <v>1</v>
      </c>
      <c r="J19" s="41">
        <f>ABS(J$5-(6-'4JSON'!J13))</f>
        <v>0</v>
      </c>
      <c r="K19" s="41">
        <f>ABS(K$5-(6-'4JSON'!K13))</f>
        <v>0</v>
      </c>
      <c r="L19" s="41">
        <f>ABS(L$5-(6-'4JSON'!L13))</f>
        <v>0</v>
      </c>
      <c r="M19" s="36">
        <f t="shared" si="1"/>
        <v>5</v>
      </c>
      <c r="N19" s="42">
        <f t="shared" si="2"/>
        <v>0.8611111111</v>
      </c>
      <c r="S19" s="35">
        <f>IFERROR(__xludf.DUMMYFUNCTION("""COMPUTED_VALUE"""),3214.0)</f>
        <v>3214</v>
      </c>
    </row>
    <row r="20">
      <c r="A20" s="35">
        <f>'4JSON'!A14</f>
        <v>7247</v>
      </c>
      <c r="B20" s="25" t="str">
        <f>'4JSON'!B14</f>
        <v>Cable Television Service Technicians</v>
      </c>
      <c r="C20" s="41" t="str">
        <f>'4JSON'!C14</f>
        <v>Cable television service and maintenance technicians</v>
      </c>
      <c r="D20" s="41">
        <f>ABS(D$5-(6-'4JSON'!D14))</f>
        <v>1</v>
      </c>
      <c r="E20" s="41">
        <f>ABS(E$5-(6-'4JSON'!E14))</f>
        <v>0</v>
      </c>
      <c r="F20" s="41">
        <f>ABS(F$5-(6-'4JSON'!F14))</f>
        <v>1</v>
      </c>
      <c r="G20" s="41">
        <f>ABS(G$5-(6-'4JSON'!G14))</f>
        <v>0</v>
      </c>
      <c r="H20" s="41">
        <f>ABS(H$5-(6-'4JSON'!H14))</f>
        <v>2</v>
      </c>
      <c r="I20" s="41">
        <f>ABS(I$5-(6-'4JSON'!I14))</f>
        <v>1</v>
      </c>
      <c r="J20" s="41">
        <f>ABS(J$5-(6-'4JSON'!J14))</f>
        <v>0</v>
      </c>
      <c r="K20" s="41">
        <f>ABS(K$5-(6-'4JSON'!K14))</f>
        <v>0</v>
      </c>
      <c r="L20" s="41">
        <f>ABS(L$5-(6-'4JSON'!L14))</f>
        <v>0</v>
      </c>
      <c r="M20" s="36">
        <f t="shared" si="1"/>
        <v>5</v>
      </c>
      <c r="N20" s="42">
        <f t="shared" si="2"/>
        <v>0.8611111111</v>
      </c>
      <c r="S20" s="35">
        <f>IFERROR(__xludf.DUMMYFUNCTION("""COMPUTED_VALUE"""),7271.0)</f>
        <v>7271</v>
      </c>
    </row>
    <row r="21">
      <c r="A21" s="35">
        <f>'4JSON'!A15</f>
        <v>9531</v>
      </c>
      <c r="B21" s="25" t="str">
        <f>'4JSON'!B15</f>
        <v>Boat Inspectors</v>
      </c>
      <c r="C21" s="41" t="str">
        <f>'4JSON'!C15</f>
        <v>Boat assemblers and inspectors</v>
      </c>
      <c r="D21" s="41">
        <f>ABS(D$5-(6-'4JSON'!D15))</f>
        <v>1</v>
      </c>
      <c r="E21" s="41">
        <f>ABS(E$5-(6-'4JSON'!E15))</f>
        <v>1</v>
      </c>
      <c r="F21" s="41">
        <f>ABS(F$5-(6-'4JSON'!F15))</f>
        <v>1</v>
      </c>
      <c r="G21" s="41">
        <f>ABS(G$5-(6-'4JSON'!G15))</f>
        <v>0</v>
      </c>
      <c r="H21" s="41">
        <f>ABS(H$5-(6-'4JSON'!H15))</f>
        <v>1</v>
      </c>
      <c r="I21" s="41">
        <f>ABS(I$5-(6-'4JSON'!I15))</f>
        <v>2</v>
      </c>
      <c r="J21" s="41">
        <f>ABS(J$5-(6-'4JSON'!J15))</f>
        <v>0</v>
      </c>
      <c r="K21" s="41">
        <f>ABS(K$5-(6-'4JSON'!K15))</f>
        <v>1</v>
      </c>
      <c r="L21" s="41">
        <f>ABS(L$5-(6-'4JSON'!L15))</f>
        <v>0</v>
      </c>
      <c r="M21" s="36">
        <f t="shared" si="1"/>
        <v>7</v>
      </c>
      <c r="N21" s="42">
        <f t="shared" si="2"/>
        <v>0.8055555556</v>
      </c>
      <c r="S21" s="35">
        <f>IFERROR(__xludf.DUMMYFUNCTION("""COMPUTED_VALUE"""),3122.0)</f>
        <v>3122</v>
      </c>
    </row>
    <row r="22">
      <c r="A22" s="35">
        <f>'4JSON'!A16</f>
        <v>3214</v>
      </c>
      <c r="B22" s="25" t="str">
        <f>'4JSON'!B16</f>
        <v>Cardiopulmonary Technologists</v>
      </c>
      <c r="C22" s="41" t="str">
        <f>'4JSON'!C16</f>
        <v>Respiratory therapists, clinical perfusionists and cardiopulmonary technologists</v>
      </c>
      <c r="D22" s="41">
        <f>ABS(D$5-(6-'4JSON'!D16))</f>
        <v>1</v>
      </c>
      <c r="E22" s="41">
        <f>ABS(E$5-(6-'4JSON'!E16))</f>
        <v>0</v>
      </c>
      <c r="F22" s="41">
        <f>ABS(F$5-(6-'4JSON'!F16))</f>
        <v>0</v>
      </c>
      <c r="G22" s="41">
        <f>ABS(G$5-(6-'4JSON'!G16))</f>
        <v>0</v>
      </c>
      <c r="H22" s="41">
        <f>ABS(H$5-(6-'4JSON'!H16))</f>
        <v>1</v>
      </c>
      <c r="I22" s="41">
        <f>ABS(I$5-(6-'4JSON'!I16))</f>
        <v>1</v>
      </c>
      <c r="J22" s="41">
        <f>ABS(J$5-(6-'4JSON'!J16))</f>
        <v>0</v>
      </c>
      <c r="K22" s="41">
        <f>ABS(K$5-(6-'4JSON'!K16))</f>
        <v>0</v>
      </c>
      <c r="L22" s="41">
        <f>ABS(L$5-(6-'4JSON'!L16))</f>
        <v>0</v>
      </c>
      <c r="M22" s="36">
        <f t="shared" si="1"/>
        <v>3</v>
      </c>
      <c r="N22" s="42">
        <f t="shared" si="2"/>
        <v>0.9166666667</v>
      </c>
      <c r="S22" s="35">
        <f>IFERROR(__xludf.DUMMYFUNCTION("""COMPUTED_VALUE"""),7384.0)</f>
        <v>7384</v>
      </c>
    </row>
    <row r="23">
      <c r="A23" s="35">
        <f>'4JSON'!A17</f>
        <v>7271</v>
      </c>
      <c r="B23" s="25" t="str">
        <f>'4JSON'!B17</f>
        <v>Carpenters</v>
      </c>
      <c r="C23" s="41" t="str">
        <f>'4JSON'!C17</f>
        <v>Carpenters</v>
      </c>
      <c r="D23" s="41">
        <f>ABS(D$5-(6-'4JSON'!D17))</f>
        <v>1</v>
      </c>
      <c r="E23" s="41">
        <f>ABS(E$5-(6-'4JSON'!E17))</f>
        <v>0</v>
      </c>
      <c r="F23" s="41">
        <f>ABS(F$5-(6-'4JSON'!F17))</f>
        <v>0</v>
      </c>
      <c r="G23" s="41">
        <f>ABS(G$5-(6-'4JSON'!G17))</f>
        <v>0</v>
      </c>
      <c r="H23" s="41">
        <f>ABS(H$5-(6-'4JSON'!H17))</f>
        <v>1</v>
      </c>
      <c r="I23" s="41">
        <f>ABS(I$5-(6-'4JSON'!I17))</f>
        <v>1</v>
      </c>
      <c r="J23" s="41">
        <f>ABS(J$5-(6-'4JSON'!J17))</f>
        <v>0</v>
      </c>
      <c r="K23" s="41">
        <f>ABS(K$5-(6-'4JSON'!K17))</f>
        <v>0</v>
      </c>
      <c r="L23" s="41">
        <f>ABS(L$5-(6-'4JSON'!L17))</f>
        <v>0</v>
      </c>
      <c r="M23" s="36">
        <f t="shared" si="1"/>
        <v>3</v>
      </c>
      <c r="N23" s="42">
        <f t="shared" si="2"/>
        <v>0.9166666667</v>
      </c>
      <c r="S23" s="35">
        <f>IFERROR(__xludf.DUMMYFUNCTION("""COMPUTED_VALUE"""),5132.0)</f>
        <v>5132</v>
      </c>
    </row>
    <row r="24">
      <c r="A24" s="35">
        <f>'4JSON'!A18</f>
        <v>3122</v>
      </c>
      <c r="B24" s="25" t="str">
        <f>'4JSON'!B18</f>
        <v>Chiropodists and Podiatrists</v>
      </c>
      <c r="C24" s="41" t="str">
        <f>'4JSON'!C18</f>
        <v>Chiropractors</v>
      </c>
      <c r="D24" s="41">
        <f>ABS(D$5-(6-'4JSON'!D18))</f>
        <v>2</v>
      </c>
      <c r="E24" s="41">
        <f>ABS(E$5-(6-'4JSON'!E18))</f>
        <v>1</v>
      </c>
      <c r="F24" s="41">
        <f>ABS(F$5-(6-'4JSON'!F18))</f>
        <v>0</v>
      </c>
      <c r="G24" s="41">
        <f>ABS(G$5-(6-'4JSON'!G18))</f>
        <v>1</v>
      </c>
      <c r="H24" s="41">
        <f>ABS(H$5-(6-'4JSON'!H18))</f>
        <v>0</v>
      </c>
      <c r="I24" s="41">
        <f>ABS(I$5-(6-'4JSON'!I18))</f>
        <v>1</v>
      </c>
      <c r="J24" s="41">
        <f>ABS(J$5-(6-'4JSON'!J18))</f>
        <v>0</v>
      </c>
      <c r="K24" s="41">
        <f>ABS(K$5-(6-'4JSON'!K18))</f>
        <v>0</v>
      </c>
      <c r="L24" s="41">
        <f>ABS(L$5-(6-'4JSON'!L18))</f>
        <v>0</v>
      </c>
      <c r="M24" s="36">
        <f t="shared" si="1"/>
        <v>5</v>
      </c>
      <c r="N24" s="42">
        <f t="shared" si="2"/>
        <v>0.8611111111</v>
      </c>
      <c r="S24" s="35">
        <f>IFERROR(__xludf.DUMMYFUNCTION("""COMPUTED_VALUE"""),5212.0)</f>
        <v>5212</v>
      </c>
    </row>
    <row r="25">
      <c r="A25" s="35">
        <f>'4JSON'!A19</f>
        <v>5232</v>
      </c>
      <c r="B25" s="25" t="str">
        <f>'4JSON'!B19</f>
        <v>Circus Performers</v>
      </c>
      <c r="C25" s="41" t="str">
        <f>'4JSON'!C19</f>
        <v>Other performers, n.e.c.</v>
      </c>
      <c r="D25" s="41">
        <f>ABS(D$5-(6-'4JSON'!D19))</f>
        <v>1</v>
      </c>
      <c r="E25" s="41">
        <f>ABS(E$5-(6-'4JSON'!E19))</f>
        <v>0</v>
      </c>
      <c r="F25" s="41">
        <f>ABS(F$5-(6-'4JSON'!F19))</f>
        <v>1</v>
      </c>
      <c r="G25" s="41">
        <f>ABS(G$5-(6-'4JSON'!G19))</f>
        <v>0</v>
      </c>
      <c r="H25" s="41">
        <f>ABS(H$5-(6-'4JSON'!H19))</f>
        <v>1</v>
      </c>
      <c r="I25" s="41">
        <f>ABS(I$5-(6-'4JSON'!I19))</f>
        <v>2</v>
      </c>
      <c r="J25" s="41">
        <f>ABS(J$5-(6-'4JSON'!J19))</f>
        <v>0</v>
      </c>
      <c r="K25" s="41">
        <f>ABS(K$5-(6-'4JSON'!K19))</f>
        <v>0</v>
      </c>
      <c r="L25" s="41">
        <f>ABS(L$5-(6-'4JSON'!L19))</f>
        <v>0</v>
      </c>
      <c r="M25" s="36">
        <f t="shared" si="1"/>
        <v>5</v>
      </c>
      <c r="N25" s="42">
        <f t="shared" si="2"/>
        <v>0.8611111111</v>
      </c>
      <c r="S25" s="35">
        <f>IFERROR(__xludf.DUMMYFUNCTION("""COMPUTED_VALUE"""),5112.0)</f>
        <v>5112</v>
      </c>
    </row>
    <row r="26">
      <c r="A26" s="35">
        <f>'4JSON'!A20</f>
        <v>3214</v>
      </c>
      <c r="B26" s="25" t="str">
        <f>'4JSON'!B20</f>
        <v>Clinical Perfusionists</v>
      </c>
      <c r="C26" s="41" t="str">
        <f>'4JSON'!C20</f>
        <v>Respiratory therapists, clinical perfusionists and cardiopulmonary technologists</v>
      </c>
      <c r="D26" s="41">
        <f>ABS(D$5-(6-'4JSON'!D20))</f>
        <v>1</v>
      </c>
      <c r="E26" s="41">
        <f>ABS(E$5-(6-'4JSON'!E20))</f>
        <v>0</v>
      </c>
      <c r="F26" s="41">
        <f>ABS(F$5-(6-'4JSON'!F20))</f>
        <v>0</v>
      </c>
      <c r="G26" s="41">
        <f>ABS(G$5-(6-'4JSON'!G20))</f>
        <v>0</v>
      </c>
      <c r="H26" s="41">
        <f>ABS(H$5-(6-'4JSON'!H20))</f>
        <v>1</v>
      </c>
      <c r="I26" s="41">
        <f>ABS(I$5-(6-'4JSON'!I20))</f>
        <v>1</v>
      </c>
      <c r="J26" s="41">
        <f>ABS(J$5-(6-'4JSON'!J20))</f>
        <v>0</v>
      </c>
      <c r="K26" s="41">
        <f>ABS(K$5-(6-'4JSON'!K20))</f>
        <v>0</v>
      </c>
      <c r="L26" s="41">
        <f>ABS(L$5-(6-'4JSON'!L20))</f>
        <v>0</v>
      </c>
      <c r="M26" s="36">
        <f t="shared" si="1"/>
        <v>3</v>
      </c>
      <c r="N26" s="42">
        <f t="shared" si="2"/>
        <v>0.9166666667</v>
      </c>
      <c r="S26" s="35">
        <f>IFERROR(__xludf.DUMMYFUNCTION("""COMPUTED_VALUE"""),7204.0)</f>
        <v>7204</v>
      </c>
    </row>
    <row r="27">
      <c r="A27" s="35">
        <f>'4JSON'!A21</f>
        <v>7384</v>
      </c>
      <c r="B27" s="25" t="str">
        <f>'4JSON'!B21</f>
        <v>Commercial Divers</v>
      </c>
      <c r="C27" s="41" t="str">
        <f>'4JSON'!C21</f>
        <v>Other trades and related occupations, n.e.c.</v>
      </c>
      <c r="D27" s="41">
        <f>ABS(D$5-(6-'4JSON'!D21))</f>
        <v>1</v>
      </c>
      <c r="E27" s="41">
        <f>ABS(E$5-(6-'4JSON'!E21))</f>
        <v>0</v>
      </c>
      <c r="F27" s="41">
        <f>ABS(F$5-(6-'4JSON'!F21))</f>
        <v>1</v>
      </c>
      <c r="G27" s="41">
        <f>ABS(G$5-(6-'4JSON'!G21))</f>
        <v>0</v>
      </c>
      <c r="H27" s="41">
        <f>ABS(H$5-(6-'4JSON'!H21))</f>
        <v>1</v>
      </c>
      <c r="I27" s="41">
        <f>ABS(I$5-(6-'4JSON'!I21))</f>
        <v>2</v>
      </c>
      <c r="J27" s="41">
        <f>ABS(J$5-(6-'4JSON'!J21))</f>
        <v>0</v>
      </c>
      <c r="K27" s="41">
        <f>ABS(K$5-(6-'4JSON'!K21))</f>
        <v>0</v>
      </c>
      <c r="L27" s="41">
        <f>ABS(L$5-(6-'4JSON'!L21))</f>
        <v>0</v>
      </c>
      <c r="M27" s="36">
        <f t="shared" si="1"/>
        <v>5</v>
      </c>
      <c r="N27" s="42">
        <f t="shared" si="2"/>
        <v>0.8611111111</v>
      </c>
      <c r="S27" s="35">
        <f>IFERROR(__xludf.DUMMYFUNCTION("""COMPUTED_VALUE"""),7202.0)</f>
        <v>7202</v>
      </c>
    </row>
    <row r="28">
      <c r="A28" s="35">
        <f>'4JSON'!A22</f>
        <v>5132</v>
      </c>
      <c r="B28" s="25" t="str">
        <f>'4JSON'!B22</f>
        <v>Conductors</v>
      </c>
      <c r="C28" s="41" t="str">
        <f>'4JSON'!C22</f>
        <v>Conductors, composers and arrangers</v>
      </c>
      <c r="D28" s="41">
        <f>ABS(D$5-(6-'4JSON'!D22))</f>
        <v>3</v>
      </c>
      <c r="E28" s="41">
        <f>ABS(E$5-(6-'4JSON'!E22))</f>
        <v>1</v>
      </c>
      <c r="F28" s="41">
        <f>ABS(F$5-(6-'4JSON'!F22))</f>
        <v>0</v>
      </c>
      <c r="G28" s="41">
        <f>ABS(G$5-(6-'4JSON'!G22))</f>
        <v>0</v>
      </c>
      <c r="H28" s="41">
        <f>ABS(H$5-(6-'4JSON'!H22))</f>
        <v>1</v>
      </c>
      <c r="I28" s="41">
        <f>ABS(I$5-(6-'4JSON'!I22))</f>
        <v>1</v>
      </c>
      <c r="J28" s="41">
        <f>ABS(J$5-(6-'4JSON'!J22))</f>
        <v>1</v>
      </c>
      <c r="K28" s="41">
        <f>ABS(K$5-(6-'4JSON'!K22))</f>
        <v>0</v>
      </c>
      <c r="L28" s="41">
        <f>ABS(L$5-(6-'4JSON'!L22))</f>
        <v>0</v>
      </c>
      <c r="M28" s="36">
        <f t="shared" si="1"/>
        <v>7</v>
      </c>
      <c r="N28" s="42">
        <f t="shared" si="2"/>
        <v>0.8055555556</v>
      </c>
      <c r="S28" s="35">
        <f>IFERROR(__xludf.DUMMYFUNCTION("""COMPUTED_VALUE"""),7302.0)</f>
        <v>7302</v>
      </c>
    </row>
    <row r="29">
      <c r="A29" s="35">
        <f>'4JSON'!A23</f>
        <v>5212</v>
      </c>
      <c r="B29" s="25" t="str">
        <f>'4JSON'!B23</f>
        <v>Conservation and Restoration Technicians</v>
      </c>
      <c r="C29" s="41" t="str">
        <f>'4JSON'!C23</f>
        <v>Technical occupations related to museums and art galleries</v>
      </c>
      <c r="D29" s="41">
        <f>ABS(D$5-(6-'4JSON'!D23))</f>
        <v>1</v>
      </c>
      <c r="E29" s="41">
        <f>ABS(E$5-(6-'4JSON'!E23))</f>
        <v>0</v>
      </c>
      <c r="F29" s="41">
        <f>ABS(F$5-(6-'4JSON'!F23))</f>
        <v>1</v>
      </c>
      <c r="G29" s="41">
        <f>ABS(G$5-(6-'4JSON'!G23))</f>
        <v>0</v>
      </c>
      <c r="H29" s="41">
        <f>ABS(H$5-(6-'4JSON'!H23))</f>
        <v>1</v>
      </c>
      <c r="I29" s="41">
        <f>ABS(I$5-(6-'4JSON'!I23))</f>
        <v>1</v>
      </c>
      <c r="J29" s="41">
        <f>ABS(J$5-(6-'4JSON'!J23))</f>
        <v>0</v>
      </c>
      <c r="K29" s="41">
        <f>ABS(K$5-(6-'4JSON'!K23))</f>
        <v>1</v>
      </c>
      <c r="L29" s="41">
        <f>ABS(L$5-(6-'4JSON'!L23))</f>
        <v>0</v>
      </c>
      <c r="M29" s="36">
        <f t="shared" si="1"/>
        <v>5</v>
      </c>
      <c r="N29" s="42">
        <f t="shared" si="2"/>
        <v>0.8611111111</v>
      </c>
      <c r="S29" s="35">
        <f>IFERROR(__xludf.DUMMYFUNCTION("""COMPUTED_VALUE"""),7301.0)</f>
        <v>7301</v>
      </c>
    </row>
    <row r="30">
      <c r="A30" s="35">
        <f>'4JSON'!A24</f>
        <v>5112</v>
      </c>
      <c r="B30" s="25" t="str">
        <f>'4JSON'!B24</f>
        <v>Conservators</v>
      </c>
      <c r="C30" s="41" t="str">
        <f>'4JSON'!C24</f>
        <v>Conservators and curators</v>
      </c>
      <c r="D30" s="41">
        <f>ABS(D$5-(6-'4JSON'!D24))</f>
        <v>2</v>
      </c>
      <c r="E30" s="41">
        <f>ABS(E$5-(6-'4JSON'!E24))</f>
        <v>1</v>
      </c>
      <c r="F30" s="41">
        <f>ABS(F$5-(6-'4JSON'!F24))</f>
        <v>0</v>
      </c>
      <c r="G30" s="41">
        <f>ABS(G$5-(6-'4JSON'!G24))</f>
        <v>1</v>
      </c>
      <c r="H30" s="41">
        <f>ABS(H$5-(6-'4JSON'!H24))</f>
        <v>0</v>
      </c>
      <c r="I30" s="41">
        <f>ABS(I$5-(6-'4JSON'!I24))</f>
        <v>1</v>
      </c>
      <c r="J30" s="41">
        <f>ABS(J$5-(6-'4JSON'!J24))</f>
        <v>0</v>
      </c>
      <c r="K30" s="41">
        <f>ABS(K$5-(6-'4JSON'!K24))</f>
        <v>0</v>
      </c>
      <c r="L30" s="41">
        <f>ABS(L$5-(6-'4JSON'!L24))</f>
        <v>0</v>
      </c>
      <c r="M30" s="36">
        <f t="shared" si="1"/>
        <v>5</v>
      </c>
      <c r="N30" s="42">
        <f t="shared" si="2"/>
        <v>0.8611111111</v>
      </c>
      <c r="S30" s="35">
        <f>IFERROR(__xludf.DUMMYFUNCTION("""COMPUTED_VALUE"""),7201.0)</f>
        <v>7201</v>
      </c>
    </row>
    <row r="31">
      <c r="A31" s="35">
        <f>'4JSON'!A25</f>
        <v>7204</v>
      </c>
      <c r="B31" s="25" t="str">
        <f>'4JSON'!B25</f>
        <v>Contractors and Supervisors, Carpentry Trades</v>
      </c>
      <c r="C31" s="41" t="str">
        <f>'4JSON'!C25</f>
        <v>Contractors and supervisors, carpentry trades</v>
      </c>
      <c r="D31" s="41">
        <f>ABS(D$5-(6-'4JSON'!D25))</f>
        <v>1</v>
      </c>
      <c r="E31" s="41">
        <f>ABS(E$5-(6-'4JSON'!E25))</f>
        <v>0</v>
      </c>
      <c r="F31" s="41">
        <f>ABS(F$5-(6-'4JSON'!F25))</f>
        <v>0</v>
      </c>
      <c r="G31" s="41">
        <f>ABS(G$5-(6-'4JSON'!G25))</f>
        <v>0</v>
      </c>
      <c r="H31" s="41">
        <f>ABS(H$5-(6-'4JSON'!H25))</f>
        <v>1</v>
      </c>
      <c r="I31" s="41">
        <f>ABS(I$5-(6-'4JSON'!I25))</f>
        <v>0</v>
      </c>
      <c r="J31" s="41">
        <f>ABS(J$5-(6-'4JSON'!J25))</f>
        <v>0</v>
      </c>
      <c r="K31" s="41">
        <f>ABS(K$5-(6-'4JSON'!K25))</f>
        <v>1</v>
      </c>
      <c r="L31" s="41">
        <f>ABS(L$5-(6-'4JSON'!L25))</f>
        <v>0</v>
      </c>
      <c r="M31" s="36">
        <f t="shared" si="1"/>
        <v>3</v>
      </c>
      <c r="N31" s="42">
        <f t="shared" si="2"/>
        <v>0.9166666667</v>
      </c>
      <c r="S31" s="35">
        <f>IFERROR(__xludf.DUMMYFUNCTION("""COMPUTED_VALUE"""),7205.0)</f>
        <v>7205</v>
      </c>
    </row>
    <row r="32">
      <c r="A32" s="35">
        <f>'4JSON'!A26</f>
        <v>7202</v>
      </c>
      <c r="B32" s="25" t="str">
        <f>'4JSON'!B26</f>
        <v>Contractors and Supervisors, Electrical Trades and Telecommunications Occupations</v>
      </c>
      <c r="C32" s="41" t="str">
        <f>'4JSON'!C26</f>
        <v>Contractors and supervisors, electrical trades and telecommunications occupations</v>
      </c>
      <c r="D32" s="41">
        <f>ABS(D$5-(6-'4JSON'!D26))</f>
        <v>1</v>
      </c>
      <c r="E32" s="41">
        <f>ABS(E$5-(6-'4JSON'!E26))</f>
        <v>0</v>
      </c>
      <c r="F32" s="41">
        <f>ABS(F$5-(6-'4JSON'!F26))</f>
        <v>0</v>
      </c>
      <c r="G32" s="41">
        <f>ABS(G$5-(6-'4JSON'!G26))</f>
        <v>0</v>
      </c>
      <c r="H32" s="41">
        <f>ABS(H$5-(6-'4JSON'!H26))</f>
        <v>1</v>
      </c>
      <c r="I32" s="41">
        <f>ABS(I$5-(6-'4JSON'!I26))</f>
        <v>0</v>
      </c>
      <c r="J32" s="41">
        <f>ABS(J$5-(6-'4JSON'!J26))</f>
        <v>0</v>
      </c>
      <c r="K32" s="41">
        <f>ABS(K$5-(6-'4JSON'!K26))</f>
        <v>1</v>
      </c>
      <c r="L32" s="41">
        <f>ABS(L$5-(6-'4JSON'!L26))</f>
        <v>0</v>
      </c>
      <c r="M32" s="36">
        <f t="shared" si="1"/>
        <v>3</v>
      </c>
      <c r="N32" s="42">
        <f t="shared" si="2"/>
        <v>0.9166666667</v>
      </c>
      <c r="S32" s="35">
        <f>IFERROR(__xludf.DUMMYFUNCTION("""COMPUTED_VALUE"""),7203.0)</f>
        <v>7203</v>
      </c>
    </row>
    <row r="33">
      <c r="A33" s="35">
        <f>'4JSON'!A27</f>
        <v>7302</v>
      </c>
      <c r="B33" s="25" t="str">
        <f>'4JSON'!B27</f>
        <v>Contractors and Supervisors, Heavy Construction Equipment Crews</v>
      </c>
      <c r="C33" s="41" t="str">
        <f>'4JSON'!C27</f>
        <v>Contractors and supervisors, heavy equipment operator crews</v>
      </c>
      <c r="D33" s="41">
        <f>ABS(D$5-(6-'4JSON'!D27))</f>
        <v>1</v>
      </c>
      <c r="E33" s="41">
        <f>ABS(E$5-(6-'4JSON'!E27))</f>
        <v>0</v>
      </c>
      <c r="F33" s="41">
        <f>ABS(F$5-(6-'4JSON'!F27))</f>
        <v>0</v>
      </c>
      <c r="G33" s="41">
        <f>ABS(G$5-(6-'4JSON'!G27))</f>
        <v>0</v>
      </c>
      <c r="H33" s="41">
        <f>ABS(H$5-(6-'4JSON'!H27))</f>
        <v>1</v>
      </c>
      <c r="I33" s="41">
        <f>ABS(I$5-(6-'4JSON'!I27))</f>
        <v>0</v>
      </c>
      <c r="J33" s="41">
        <f>ABS(J$5-(6-'4JSON'!J27))</f>
        <v>0</v>
      </c>
      <c r="K33" s="41">
        <f>ABS(K$5-(6-'4JSON'!K27))</f>
        <v>1</v>
      </c>
      <c r="L33" s="41">
        <f>ABS(L$5-(6-'4JSON'!L27))</f>
        <v>0</v>
      </c>
      <c r="M33" s="36">
        <f t="shared" si="1"/>
        <v>3</v>
      </c>
      <c r="N33" s="42">
        <f t="shared" si="2"/>
        <v>0.9166666667</v>
      </c>
      <c r="S33" s="35">
        <f>IFERROR(__xludf.DUMMYFUNCTION("""COMPUTED_VALUE"""),1422.0)</f>
        <v>1422</v>
      </c>
    </row>
    <row r="34">
      <c r="A34" s="35">
        <f>'4JSON'!A28</f>
        <v>7301</v>
      </c>
      <c r="B34" s="25" t="str">
        <f>'4JSON'!B28</f>
        <v>Contractors and Supervisors, Mechanic Trades</v>
      </c>
      <c r="C34" s="41" t="str">
        <f>'4JSON'!C28</f>
        <v>Contractors and supervisors, mechanic trades</v>
      </c>
      <c r="D34" s="41">
        <f>ABS(D$5-(6-'4JSON'!D28))</f>
        <v>1</v>
      </c>
      <c r="E34" s="41">
        <f>ABS(E$5-(6-'4JSON'!E28))</f>
        <v>0</v>
      </c>
      <c r="F34" s="41">
        <f>ABS(F$5-(6-'4JSON'!F28))</f>
        <v>0</v>
      </c>
      <c r="G34" s="41">
        <f>ABS(G$5-(6-'4JSON'!G28))</f>
        <v>0</v>
      </c>
      <c r="H34" s="41">
        <f>ABS(H$5-(6-'4JSON'!H28))</f>
        <v>1</v>
      </c>
      <c r="I34" s="41">
        <f>ABS(I$5-(6-'4JSON'!I28))</f>
        <v>0</v>
      </c>
      <c r="J34" s="41">
        <f>ABS(J$5-(6-'4JSON'!J28))</f>
        <v>0</v>
      </c>
      <c r="K34" s="41">
        <f>ABS(K$5-(6-'4JSON'!K28))</f>
        <v>1</v>
      </c>
      <c r="L34" s="41">
        <f>ABS(L$5-(6-'4JSON'!L28))</f>
        <v>0</v>
      </c>
      <c r="M34" s="36">
        <f t="shared" si="1"/>
        <v>3</v>
      </c>
      <c r="N34" s="42">
        <f t="shared" si="2"/>
        <v>0.9166666667</v>
      </c>
      <c r="S34" s="35">
        <f>IFERROR(__xludf.DUMMYFUNCTION("""COMPUTED_VALUE"""),3222.0)</f>
        <v>3222</v>
      </c>
    </row>
    <row r="35">
      <c r="A35" s="35">
        <f>'4JSON'!A29</f>
        <v>7201</v>
      </c>
      <c r="B35" s="25" t="str">
        <f>'4JSON'!B29</f>
        <v>Contractors and Supervisors, Metal Forming, Shaping and Erecting Trades</v>
      </c>
      <c r="C35" s="41" t="str">
        <f>'4JSON'!C29</f>
        <v>Contractors and supervisors, machining, metal forming, shaping and erecting trades and related occupations</v>
      </c>
      <c r="D35" s="41">
        <f>ABS(D$5-(6-'4JSON'!D29))</f>
        <v>1</v>
      </c>
      <c r="E35" s="41">
        <f>ABS(E$5-(6-'4JSON'!E29))</f>
        <v>0</v>
      </c>
      <c r="F35" s="41">
        <f>ABS(F$5-(6-'4JSON'!F29))</f>
        <v>0</v>
      </c>
      <c r="G35" s="41">
        <f>ABS(G$5-(6-'4JSON'!G29))</f>
        <v>0</v>
      </c>
      <c r="H35" s="41">
        <f>ABS(H$5-(6-'4JSON'!H29))</f>
        <v>1</v>
      </c>
      <c r="I35" s="41">
        <f>ABS(I$5-(6-'4JSON'!I29))</f>
        <v>0</v>
      </c>
      <c r="J35" s="41">
        <f>ABS(J$5-(6-'4JSON'!J29))</f>
        <v>0</v>
      </c>
      <c r="K35" s="41">
        <f>ABS(K$5-(6-'4JSON'!K29))</f>
        <v>1</v>
      </c>
      <c r="L35" s="41">
        <f>ABS(L$5-(6-'4JSON'!L29))</f>
        <v>0</v>
      </c>
      <c r="M35" s="36">
        <f t="shared" si="1"/>
        <v>3</v>
      </c>
      <c r="N35" s="42">
        <f t="shared" si="2"/>
        <v>0.9166666667</v>
      </c>
      <c r="S35" s="35">
        <f>IFERROR(__xludf.DUMMYFUNCTION("""COMPUTED_VALUE"""),3221.0)</f>
        <v>3221</v>
      </c>
    </row>
    <row r="36">
      <c r="A36" s="35">
        <f>'4JSON'!A30</f>
        <v>7205</v>
      </c>
      <c r="B36" s="25" t="str">
        <f>'4JSON'!B30</f>
        <v>Contractors and Supervisors, Other Construction Trades, Installers, Repairers and Servicers</v>
      </c>
      <c r="C36" s="41" t="str">
        <f>'4JSON'!C30</f>
        <v>Contractors and supervisors, other construction trades, installers, repairers and servicers</v>
      </c>
      <c r="D36" s="41">
        <f>ABS(D$5-(6-'4JSON'!D30))</f>
        <v>1</v>
      </c>
      <c r="E36" s="41">
        <f>ABS(E$5-(6-'4JSON'!E30))</f>
        <v>0</v>
      </c>
      <c r="F36" s="41">
        <f>ABS(F$5-(6-'4JSON'!F30))</f>
        <v>0</v>
      </c>
      <c r="G36" s="41">
        <f>ABS(G$5-(6-'4JSON'!G30))</f>
        <v>0</v>
      </c>
      <c r="H36" s="41">
        <f>ABS(H$5-(6-'4JSON'!H30))</f>
        <v>1</v>
      </c>
      <c r="I36" s="41">
        <f>ABS(I$5-(6-'4JSON'!I30))</f>
        <v>0</v>
      </c>
      <c r="J36" s="41">
        <f>ABS(J$5-(6-'4JSON'!J30))</f>
        <v>0</v>
      </c>
      <c r="K36" s="41">
        <f>ABS(K$5-(6-'4JSON'!K30))</f>
        <v>1</v>
      </c>
      <c r="L36" s="41">
        <f>ABS(L$5-(6-'4JSON'!L30))</f>
        <v>0</v>
      </c>
      <c r="M36" s="36">
        <f t="shared" si="1"/>
        <v>3</v>
      </c>
      <c r="N36" s="42">
        <f t="shared" si="2"/>
        <v>0.9166666667</v>
      </c>
      <c r="S36" s="35">
        <f>IFERROR(__xludf.DUMMYFUNCTION("""COMPUTED_VALUE"""),3125.0)</f>
        <v>3125</v>
      </c>
    </row>
    <row r="37">
      <c r="A37" s="35">
        <f>'4JSON'!A31</f>
        <v>7203</v>
      </c>
      <c r="B37" s="25" t="str">
        <f>'4JSON'!B31</f>
        <v>Contractors and Supervisors, Pipefitting Trades</v>
      </c>
      <c r="C37" s="41" t="str">
        <f>'4JSON'!C31</f>
        <v>Contractors and supervisors, pipefitting trades</v>
      </c>
      <c r="D37" s="41">
        <f>ABS(D$5-(6-'4JSON'!D31))</f>
        <v>1</v>
      </c>
      <c r="E37" s="41">
        <f>ABS(E$5-(6-'4JSON'!E31))</f>
        <v>0</v>
      </c>
      <c r="F37" s="41">
        <f>ABS(F$5-(6-'4JSON'!F31))</f>
        <v>0</v>
      </c>
      <c r="G37" s="41">
        <f>ABS(G$5-(6-'4JSON'!G31))</f>
        <v>0</v>
      </c>
      <c r="H37" s="41">
        <f>ABS(H$5-(6-'4JSON'!H31))</f>
        <v>1</v>
      </c>
      <c r="I37" s="41">
        <f>ABS(I$5-(6-'4JSON'!I31))</f>
        <v>0</v>
      </c>
      <c r="J37" s="41">
        <f>ABS(J$5-(6-'4JSON'!J31))</f>
        <v>0</v>
      </c>
      <c r="K37" s="41">
        <f>ABS(K$5-(6-'4JSON'!K31))</f>
        <v>1</v>
      </c>
      <c r="L37" s="41">
        <f>ABS(L$5-(6-'4JSON'!L31))</f>
        <v>0</v>
      </c>
      <c r="M37" s="36">
        <f t="shared" si="1"/>
        <v>3</v>
      </c>
      <c r="N37" s="42">
        <f t="shared" si="2"/>
        <v>0.9166666667</v>
      </c>
      <c r="S37" s="35">
        <f>IFERROR(__xludf.DUMMYFUNCTION("""COMPUTED_VALUE"""),2253.0)</f>
        <v>2253</v>
      </c>
    </row>
    <row r="38">
      <c r="A38" s="35">
        <f>'4JSON'!A32</f>
        <v>1422</v>
      </c>
      <c r="B38" s="25" t="str">
        <f>'4JSON'!B32</f>
        <v>Data Entry Clerks</v>
      </c>
      <c r="C38" s="41" t="str">
        <f>'4JSON'!C32</f>
        <v>Data entry clerks</v>
      </c>
      <c r="D38" s="41">
        <f>ABS(D$5-(6-'4JSON'!D32))</f>
        <v>1</v>
      </c>
      <c r="E38" s="41">
        <f>ABS(E$5-(6-'4JSON'!E32))</f>
        <v>0</v>
      </c>
      <c r="F38" s="41">
        <f>ABS(F$5-(6-'4JSON'!F32))</f>
        <v>1</v>
      </c>
      <c r="G38" s="41">
        <f>ABS(G$5-(6-'4JSON'!G32))</f>
        <v>1</v>
      </c>
      <c r="H38" s="41">
        <f>ABS(H$5-(6-'4JSON'!H32))</f>
        <v>2</v>
      </c>
      <c r="I38" s="41">
        <f>ABS(I$5-(6-'4JSON'!I32))</f>
        <v>0</v>
      </c>
      <c r="J38" s="41">
        <f>ABS(J$5-(6-'4JSON'!J32))</f>
        <v>0</v>
      </c>
      <c r="K38" s="41">
        <f>ABS(K$5-(6-'4JSON'!K32))</f>
        <v>0</v>
      </c>
      <c r="L38" s="41">
        <f>ABS(L$5-(6-'4JSON'!L32))</f>
        <v>0</v>
      </c>
      <c r="M38" s="36">
        <f t="shared" si="1"/>
        <v>5</v>
      </c>
      <c r="N38" s="42">
        <f t="shared" si="2"/>
        <v>0.8611111111</v>
      </c>
      <c r="S38" s="35">
        <f>IFERROR(__xludf.DUMMYFUNCTION("""COMPUTED_VALUE"""),7512.0)</f>
        <v>7512</v>
      </c>
    </row>
    <row r="39">
      <c r="A39" s="35">
        <f>'4JSON'!A33</f>
        <v>3222</v>
      </c>
      <c r="B39" s="25" t="str">
        <f>'4JSON'!B33</f>
        <v>Dental Hygienists</v>
      </c>
      <c r="C39" s="41" t="str">
        <f>'4JSON'!C33</f>
        <v>Dental hygienists and dental therapists</v>
      </c>
      <c r="D39" s="41">
        <f>ABS(D$5-(6-'4JSON'!D33))</f>
        <v>1</v>
      </c>
      <c r="E39" s="41">
        <f>ABS(E$5-(6-'4JSON'!E33))</f>
        <v>0</v>
      </c>
      <c r="F39" s="41">
        <f>ABS(F$5-(6-'4JSON'!F33))</f>
        <v>0</v>
      </c>
      <c r="G39" s="41">
        <f>ABS(G$5-(6-'4JSON'!G33))</f>
        <v>0</v>
      </c>
      <c r="H39" s="41">
        <f>ABS(H$5-(6-'4JSON'!H33))</f>
        <v>1</v>
      </c>
      <c r="I39" s="41">
        <f>ABS(I$5-(6-'4JSON'!I33))</f>
        <v>1</v>
      </c>
      <c r="J39" s="41">
        <f>ABS(J$5-(6-'4JSON'!J33))</f>
        <v>0</v>
      </c>
      <c r="K39" s="41">
        <f>ABS(K$5-(6-'4JSON'!K33))</f>
        <v>0</v>
      </c>
      <c r="L39" s="41">
        <f>ABS(L$5-(6-'4JSON'!L33))</f>
        <v>0</v>
      </c>
      <c r="M39" s="36">
        <f t="shared" si="1"/>
        <v>3</v>
      </c>
      <c r="N39" s="42">
        <f t="shared" si="2"/>
        <v>0.9166666667</v>
      </c>
      <c r="S39" s="35">
        <f>IFERROR(__xludf.DUMMYFUNCTION("""COMPUTED_VALUE"""),6342.0)</f>
        <v>6342</v>
      </c>
    </row>
    <row r="40">
      <c r="A40" s="35">
        <f>'4JSON'!A34</f>
        <v>3222</v>
      </c>
      <c r="B40" s="25" t="str">
        <f>'4JSON'!B34</f>
        <v>Dental Therapists</v>
      </c>
      <c r="C40" s="41" t="str">
        <f>'4JSON'!C34</f>
        <v>Dental hygienists and dental therapists</v>
      </c>
      <c r="D40" s="41">
        <f>ABS(D$5-(6-'4JSON'!D34))</f>
        <v>1</v>
      </c>
      <c r="E40" s="41">
        <f>ABS(E$5-(6-'4JSON'!E34))</f>
        <v>0</v>
      </c>
      <c r="F40" s="41">
        <f>ABS(F$5-(6-'4JSON'!F34))</f>
        <v>0</v>
      </c>
      <c r="G40" s="41">
        <f>ABS(G$5-(6-'4JSON'!G34))</f>
        <v>0</v>
      </c>
      <c r="H40" s="41">
        <f>ABS(H$5-(6-'4JSON'!H34))</f>
        <v>1</v>
      </c>
      <c r="I40" s="41">
        <f>ABS(I$5-(6-'4JSON'!I34))</f>
        <v>1</v>
      </c>
      <c r="J40" s="41">
        <f>ABS(J$5-(6-'4JSON'!J34))</f>
        <v>0</v>
      </c>
      <c r="K40" s="41">
        <f>ABS(K$5-(6-'4JSON'!K34))</f>
        <v>0</v>
      </c>
      <c r="L40" s="41">
        <f>ABS(L$5-(6-'4JSON'!L34))</f>
        <v>0</v>
      </c>
      <c r="M40" s="36">
        <f t="shared" si="1"/>
        <v>3</v>
      </c>
      <c r="N40" s="42">
        <f t="shared" si="2"/>
        <v>0.9166666667</v>
      </c>
      <c r="S40" s="35">
        <f>IFERROR(__xludf.DUMMYFUNCTION("""COMPUTED_VALUE"""),9422.0)</f>
        <v>9422</v>
      </c>
    </row>
    <row r="41">
      <c r="A41" s="35">
        <f>'4JSON'!A35</f>
        <v>3221</v>
      </c>
      <c r="B41" s="25" t="str">
        <f>'4JSON'!B35</f>
        <v>Denturists</v>
      </c>
      <c r="C41" s="41" t="str">
        <f>'4JSON'!C35</f>
        <v>Denturists</v>
      </c>
      <c r="D41" s="41">
        <f>ABS(D$5-(6-'4JSON'!D35))</f>
        <v>1</v>
      </c>
      <c r="E41" s="41">
        <f>ABS(E$5-(6-'4JSON'!E35))</f>
        <v>0</v>
      </c>
      <c r="F41" s="41">
        <f>ABS(F$5-(6-'4JSON'!F35))</f>
        <v>0</v>
      </c>
      <c r="G41" s="41">
        <f>ABS(G$5-(6-'4JSON'!G35))</f>
        <v>1</v>
      </c>
      <c r="H41" s="41">
        <f>ABS(H$5-(6-'4JSON'!H35))</f>
        <v>0</v>
      </c>
      <c r="I41" s="41">
        <f>ABS(I$5-(6-'4JSON'!I35))</f>
        <v>1</v>
      </c>
      <c r="J41" s="41">
        <f>ABS(J$5-(6-'4JSON'!J35))</f>
        <v>0</v>
      </c>
      <c r="K41" s="41">
        <f>ABS(K$5-(6-'4JSON'!K35))</f>
        <v>1</v>
      </c>
      <c r="L41" s="41">
        <f>ABS(L$5-(6-'4JSON'!L35))</f>
        <v>1</v>
      </c>
      <c r="M41" s="36">
        <f t="shared" si="1"/>
        <v>5</v>
      </c>
      <c r="N41" s="42">
        <f t="shared" si="2"/>
        <v>0.8611111111</v>
      </c>
      <c r="S41" s="35">
        <f>IFERROR(__xludf.DUMMYFUNCTION("""COMPUTED_VALUE"""),2241.0)</f>
        <v>2241</v>
      </c>
    </row>
    <row r="42">
      <c r="A42" s="35">
        <f>'4JSON'!A36</f>
        <v>3125</v>
      </c>
      <c r="B42" s="25" t="str">
        <f>'4JSON'!B36</f>
        <v>Doctors of Podiatric Medicine</v>
      </c>
      <c r="C42" s="41" t="str">
        <f>'4JSON'!C36</f>
        <v>Other professional occupations in health diagnosing and treating</v>
      </c>
      <c r="D42" s="41">
        <f>ABS(D$5-(6-'4JSON'!D36))</f>
        <v>2</v>
      </c>
      <c r="E42" s="41">
        <f>ABS(E$5-(6-'4JSON'!E36))</f>
        <v>1</v>
      </c>
      <c r="F42" s="41">
        <f>ABS(F$5-(6-'4JSON'!F36))</f>
        <v>0</v>
      </c>
      <c r="G42" s="41">
        <f>ABS(G$5-(6-'4JSON'!G36))</f>
        <v>1</v>
      </c>
      <c r="H42" s="41">
        <f>ABS(H$5-(6-'4JSON'!H36))</f>
        <v>0</v>
      </c>
      <c r="I42" s="41">
        <f>ABS(I$5-(6-'4JSON'!I36))</f>
        <v>1</v>
      </c>
      <c r="J42" s="41">
        <f>ABS(J$5-(6-'4JSON'!J36))</f>
        <v>0</v>
      </c>
      <c r="K42" s="41">
        <f>ABS(K$5-(6-'4JSON'!K36))</f>
        <v>1</v>
      </c>
      <c r="L42" s="41">
        <f>ABS(L$5-(6-'4JSON'!L36))</f>
        <v>1</v>
      </c>
      <c r="M42" s="36">
        <f t="shared" si="1"/>
        <v>7</v>
      </c>
      <c r="N42" s="42">
        <f t="shared" si="2"/>
        <v>0.8055555556</v>
      </c>
      <c r="S42" s="35">
        <f>IFERROR(__xludf.DUMMYFUNCTION("""COMPUTED_VALUE"""),7241.0)</f>
        <v>7241</v>
      </c>
    </row>
    <row r="43">
      <c r="A43" s="35">
        <f>'4JSON'!A37</f>
        <v>2253</v>
      </c>
      <c r="B43" s="25" t="str">
        <f>'4JSON'!B37</f>
        <v>Drafting Technologists</v>
      </c>
      <c r="C43" s="41" t="str">
        <f>'4JSON'!C37</f>
        <v>Drafting technologists and technicians</v>
      </c>
      <c r="D43" s="41">
        <f>ABS(D$5-(6-'4JSON'!D37))</f>
        <v>2</v>
      </c>
      <c r="E43" s="41">
        <f>ABS(E$5-(6-'4JSON'!E37))</f>
        <v>1</v>
      </c>
      <c r="F43" s="41">
        <f>ABS(F$5-(6-'4JSON'!F37))</f>
        <v>1</v>
      </c>
      <c r="G43" s="41">
        <f>ABS(G$5-(6-'4JSON'!G37))</f>
        <v>1</v>
      </c>
      <c r="H43" s="41">
        <f>ABS(H$5-(6-'4JSON'!H37))</f>
        <v>0</v>
      </c>
      <c r="I43" s="41">
        <f>ABS(I$5-(6-'4JSON'!I37))</f>
        <v>0</v>
      </c>
      <c r="J43" s="41">
        <f>ABS(J$5-(6-'4JSON'!J37))</f>
        <v>1</v>
      </c>
      <c r="K43" s="41">
        <f>ABS(K$5-(6-'4JSON'!K37))</f>
        <v>1</v>
      </c>
      <c r="L43" s="41">
        <f>ABS(L$5-(6-'4JSON'!L37))</f>
        <v>0</v>
      </c>
      <c r="M43" s="36">
        <f t="shared" si="1"/>
        <v>7</v>
      </c>
      <c r="N43" s="42">
        <f t="shared" si="2"/>
        <v>0.8055555556</v>
      </c>
      <c r="S43" s="35">
        <f>IFERROR(__xludf.DUMMYFUNCTION("""COMPUTED_VALUE"""),4413.0)</f>
        <v>4413</v>
      </c>
    </row>
    <row r="44">
      <c r="A44" s="35">
        <f>'4JSON'!A38</f>
        <v>7512</v>
      </c>
      <c r="B44" s="25" t="str">
        <f>'4JSON'!B38</f>
        <v>Bus and Streetcar Drivers</v>
      </c>
      <c r="C44" s="41" t="str">
        <f>'4JSON'!C38</f>
        <v>Bus drivers, subway operators and other transit operators</v>
      </c>
      <c r="D44" s="41">
        <f>ABS(D$5-(6-'4JSON'!D38))</f>
        <v>1</v>
      </c>
      <c r="E44" s="41">
        <f>ABS(E$5-(6-'4JSON'!E38))</f>
        <v>1</v>
      </c>
      <c r="F44" s="41">
        <f>ABS(F$5-(6-'4JSON'!F38))</f>
        <v>1</v>
      </c>
      <c r="G44" s="41">
        <f>ABS(G$5-(6-'4JSON'!G38))</f>
        <v>0</v>
      </c>
      <c r="H44" s="41">
        <f>ABS(H$5-(6-'4JSON'!H38))</f>
        <v>2</v>
      </c>
      <c r="I44" s="41">
        <f>ABS(I$5-(6-'4JSON'!I38))</f>
        <v>1</v>
      </c>
      <c r="J44" s="41">
        <f>ABS(J$5-(6-'4JSON'!J38))</f>
        <v>0</v>
      </c>
      <c r="K44" s="41">
        <f>ABS(K$5-(6-'4JSON'!K38))</f>
        <v>1</v>
      </c>
      <c r="L44" s="41">
        <f>ABS(L$5-(6-'4JSON'!L38))</f>
        <v>0</v>
      </c>
      <c r="M44" s="36">
        <f t="shared" si="1"/>
        <v>7</v>
      </c>
      <c r="N44" s="42">
        <f t="shared" si="2"/>
        <v>0.8055555556</v>
      </c>
      <c r="S44" s="35">
        <f>IFERROR(__xludf.DUMMYFUNCTION("""COMPUTED_VALUE"""),6562.0)</f>
        <v>6562</v>
      </c>
    </row>
    <row r="45">
      <c r="A45" s="35">
        <f>'4JSON'!A39</f>
        <v>6342</v>
      </c>
      <c r="B45" s="25" t="str">
        <f>'4JSON'!B39</f>
        <v>Dressmakers</v>
      </c>
      <c r="C45" s="41" t="str">
        <f>'4JSON'!C39</f>
        <v>Tailors, dressmakers, furriers and milliners</v>
      </c>
      <c r="D45" s="41">
        <f>ABS(D$5-(6-'4JSON'!D39))</f>
        <v>1</v>
      </c>
      <c r="E45" s="41">
        <f>ABS(E$5-(6-'4JSON'!E39))</f>
        <v>0</v>
      </c>
      <c r="F45" s="41">
        <f>ABS(F$5-(6-'4JSON'!F39))</f>
        <v>1</v>
      </c>
      <c r="G45" s="41">
        <f>ABS(G$5-(6-'4JSON'!G39))</f>
        <v>0</v>
      </c>
      <c r="H45" s="41">
        <f>ABS(H$5-(6-'4JSON'!H39))</f>
        <v>1</v>
      </c>
      <c r="I45" s="41">
        <f>ABS(I$5-(6-'4JSON'!I39))</f>
        <v>1</v>
      </c>
      <c r="J45" s="41">
        <f>ABS(J$5-(6-'4JSON'!J39))</f>
        <v>0</v>
      </c>
      <c r="K45" s="41">
        <f>ABS(K$5-(6-'4JSON'!K39))</f>
        <v>1</v>
      </c>
      <c r="L45" s="41">
        <f>ABS(L$5-(6-'4JSON'!L39))</f>
        <v>0</v>
      </c>
      <c r="M45" s="36">
        <f t="shared" si="1"/>
        <v>5</v>
      </c>
      <c r="N45" s="42">
        <f t="shared" si="2"/>
        <v>0.8611111111</v>
      </c>
      <c r="S45" s="35">
        <f>IFERROR(__xludf.DUMMYFUNCTION("""COMPUTED_VALUE"""),5227.0)</f>
        <v>5227</v>
      </c>
    </row>
    <row r="46">
      <c r="A46" s="35">
        <f>'4JSON'!A40</f>
        <v>9422</v>
      </c>
      <c r="B46" s="25" t="str">
        <f>'4JSON'!B40</f>
        <v>Calendering Process Operators - Plastics Processing</v>
      </c>
      <c r="C46" s="41" t="str">
        <f>'4JSON'!C40</f>
        <v>Plastics processing machine operators</v>
      </c>
      <c r="D46" s="41">
        <f>ABS(D$5-(6-'4JSON'!D40))</f>
        <v>1</v>
      </c>
      <c r="E46" s="41">
        <f>ABS(E$5-(6-'4JSON'!E40))</f>
        <v>1</v>
      </c>
      <c r="F46" s="41">
        <f>ABS(F$5-(6-'4JSON'!F40))</f>
        <v>1</v>
      </c>
      <c r="G46" s="41">
        <f>ABS(G$5-(6-'4JSON'!G40))</f>
        <v>0</v>
      </c>
      <c r="H46" s="41">
        <f>ABS(H$5-(6-'4JSON'!H40))</f>
        <v>1</v>
      </c>
      <c r="I46" s="41">
        <f>ABS(I$5-(6-'4JSON'!I40))</f>
        <v>1</v>
      </c>
      <c r="J46" s="41">
        <f>ABS(J$5-(6-'4JSON'!J40))</f>
        <v>1</v>
      </c>
      <c r="K46" s="41">
        <f>ABS(K$5-(6-'4JSON'!K40))</f>
        <v>1</v>
      </c>
      <c r="L46" s="41">
        <f>ABS(L$5-(6-'4JSON'!L40))</f>
        <v>0</v>
      </c>
      <c r="M46" s="36">
        <f t="shared" si="1"/>
        <v>7</v>
      </c>
      <c r="N46" s="42">
        <f t="shared" si="2"/>
        <v>0.8055555556</v>
      </c>
      <c r="S46" s="35">
        <f>IFERROR(__xludf.DUMMYFUNCTION("""COMPUTED_VALUE"""),8261.0)</f>
        <v>8261</v>
      </c>
    </row>
    <row r="47">
      <c r="A47" s="35">
        <f>'4JSON'!A41</f>
        <v>2241</v>
      </c>
      <c r="B47" s="25" t="str">
        <f>'4JSON'!B41</f>
        <v>Electrical and Electronics Engineering Technologists</v>
      </c>
      <c r="C47" s="41" t="str">
        <f>'4JSON'!C41</f>
        <v>Electrical and electronics engineering technologists and technicians</v>
      </c>
      <c r="D47" s="41">
        <f>ABS(D$5-(6-'4JSON'!D41))</f>
        <v>2</v>
      </c>
      <c r="E47" s="41">
        <f>ABS(E$5-(6-'4JSON'!E41))</f>
        <v>1</v>
      </c>
      <c r="F47" s="41">
        <f>ABS(F$5-(6-'4JSON'!F41))</f>
        <v>1</v>
      </c>
      <c r="G47" s="41">
        <f>ABS(G$5-(6-'4JSON'!G41))</f>
        <v>1</v>
      </c>
      <c r="H47" s="41">
        <f>ABS(H$5-(6-'4JSON'!H41))</f>
        <v>0</v>
      </c>
      <c r="I47" s="41">
        <f>ABS(I$5-(6-'4JSON'!I41))</f>
        <v>0</v>
      </c>
      <c r="J47" s="41">
        <f>ABS(J$5-(6-'4JSON'!J41))</f>
        <v>0</v>
      </c>
      <c r="K47" s="41">
        <f>ABS(K$5-(6-'4JSON'!K41))</f>
        <v>0</v>
      </c>
      <c r="L47" s="41">
        <f>ABS(L$5-(6-'4JSON'!L41))</f>
        <v>0</v>
      </c>
      <c r="M47" s="36">
        <f t="shared" si="1"/>
        <v>5</v>
      </c>
      <c r="N47" s="42">
        <f t="shared" si="2"/>
        <v>0.8611111111</v>
      </c>
      <c r="S47" s="35">
        <f>IFERROR(__xludf.DUMMYFUNCTION("""COMPUTED_VALUE"""),7372.0)</f>
        <v>7372</v>
      </c>
    </row>
    <row r="48">
      <c r="A48" s="35">
        <f>'4JSON'!A42</f>
        <v>7241</v>
      </c>
      <c r="B48" s="25" t="str">
        <f>'4JSON'!B42</f>
        <v>Electricians (Except Industrial and Power System)</v>
      </c>
      <c r="C48" s="41" t="str">
        <f>'4JSON'!C42</f>
        <v>Electricians (except industrial and power system)</v>
      </c>
      <c r="D48" s="41">
        <f>ABS(D$5-(6-'4JSON'!D42))</f>
        <v>1</v>
      </c>
      <c r="E48" s="41">
        <f>ABS(E$5-(6-'4JSON'!E42))</f>
        <v>0</v>
      </c>
      <c r="F48" s="41">
        <f>ABS(F$5-(6-'4JSON'!F42))</f>
        <v>0</v>
      </c>
      <c r="G48" s="41">
        <f>ABS(G$5-(6-'4JSON'!G42))</f>
        <v>0</v>
      </c>
      <c r="H48" s="41">
        <f>ABS(H$5-(6-'4JSON'!H42))</f>
        <v>1</v>
      </c>
      <c r="I48" s="41">
        <f>ABS(I$5-(6-'4JSON'!I42))</f>
        <v>1</v>
      </c>
      <c r="J48" s="41">
        <f>ABS(J$5-(6-'4JSON'!J42))</f>
        <v>0</v>
      </c>
      <c r="K48" s="41">
        <f>ABS(K$5-(6-'4JSON'!K42))</f>
        <v>0</v>
      </c>
      <c r="L48" s="41">
        <f>ABS(L$5-(6-'4JSON'!L42))</f>
        <v>0</v>
      </c>
      <c r="M48" s="36">
        <f t="shared" si="1"/>
        <v>3</v>
      </c>
      <c r="N48" s="42">
        <f t="shared" si="2"/>
        <v>0.9166666667</v>
      </c>
      <c r="S48" s="35">
        <f>IFERROR(__xludf.DUMMYFUNCTION("""COMPUTED_VALUE"""),621.0)</f>
        <v>621</v>
      </c>
    </row>
    <row r="49">
      <c r="A49" s="35">
        <f>'4JSON'!A43</f>
        <v>4413</v>
      </c>
      <c r="B49" s="25" t="str">
        <f>'4JSON'!B43</f>
        <v>Elementary and Secondary School Teacher Assistants</v>
      </c>
      <c r="C49" s="41" t="str">
        <f>'4JSON'!C43</f>
        <v>Elementary and secondary school teacher assistants</v>
      </c>
      <c r="D49" s="41">
        <f>ABS(D$5-(6-'4JSON'!D43))</f>
        <v>1</v>
      </c>
      <c r="E49" s="41">
        <f>ABS(E$5-(6-'4JSON'!E43))</f>
        <v>0</v>
      </c>
      <c r="F49" s="41">
        <f>ABS(F$5-(6-'4JSON'!F43))</f>
        <v>0</v>
      </c>
      <c r="G49" s="41">
        <f>ABS(G$5-(6-'4JSON'!G43))</f>
        <v>0</v>
      </c>
      <c r="H49" s="41">
        <f>ABS(H$5-(6-'4JSON'!H43))</f>
        <v>1</v>
      </c>
      <c r="I49" s="41">
        <f>ABS(I$5-(6-'4JSON'!I43))</f>
        <v>0</v>
      </c>
      <c r="J49" s="41">
        <f>ABS(J$5-(6-'4JSON'!J43))</f>
        <v>1</v>
      </c>
      <c r="K49" s="41">
        <f>ABS(K$5-(6-'4JSON'!K43))</f>
        <v>0</v>
      </c>
      <c r="L49" s="41">
        <f>ABS(L$5-(6-'4JSON'!L43))</f>
        <v>0</v>
      </c>
      <c r="M49" s="36">
        <f t="shared" si="1"/>
        <v>3</v>
      </c>
      <c r="N49" s="42">
        <f t="shared" si="2"/>
        <v>0.9166666667</v>
      </c>
      <c r="S49" s="35">
        <f>IFERROR(__xludf.DUMMYFUNCTION("""COMPUTED_VALUE"""),5226.0)</f>
        <v>5226</v>
      </c>
    </row>
    <row r="50">
      <c r="A50" s="35">
        <f>'4JSON'!A44</f>
        <v>6562</v>
      </c>
      <c r="B50" s="25" t="str">
        <f>'4JSON'!B44</f>
        <v>Estheticians</v>
      </c>
      <c r="C50" s="41" t="str">
        <f>'4JSON'!C44</f>
        <v>Estheticians, electrologists and related occupations</v>
      </c>
      <c r="D50" s="41">
        <f>ABS(D$5-(6-'4JSON'!D44))</f>
        <v>1</v>
      </c>
      <c r="E50" s="41">
        <f>ABS(E$5-(6-'4JSON'!E44))</f>
        <v>0</v>
      </c>
      <c r="F50" s="41">
        <f>ABS(F$5-(6-'4JSON'!F44))</f>
        <v>1</v>
      </c>
      <c r="G50" s="41">
        <f>ABS(G$5-(6-'4JSON'!G44))</f>
        <v>1</v>
      </c>
      <c r="H50" s="41">
        <f>ABS(H$5-(6-'4JSON'!H44))</f>
        <v>1</v>
      </c>
      <c r="I50" s="41">
        <f>ABS(I$5-(6-'4JSON'!I44))</f>
        <v>1</v>
      </c>
      <c r="J50" s="41">
        <f>ABS(J$5-(6-'4JSON'!J44))</f>
        <v>0</v>
      </c>
      <c r="K50" s="41">
        <f>ABS(K$5-(6-'4JSON'!K44))</f>
        <v>0</v>
      </c>
      <c r="L50" s="41">
        <f>ABS(L$5-(6-'4JSON'!L44))</f>
        <v>0</v>
      </c>
      <c r="M50" s="36">
        <f t="shared" si="1"/>
        <v>5</v>
      </c>
      <c r="N50" s="42">
        <f t="shared" si="2"/>
        <v>0.8611111111</v>
      </c>
      <c r="S50" s="35">
        <f>IFERROR(__xludf.DUMMYFUNCTION("""COMPUTED_VALUE"""),7295.0)</f>
        <v>7295</v>
      </c>
    </row>
    <row r="51">
      <c r="A51" s="35">
        <f>'4JSON'!A45</f>
        <v>5227</v>
      </c>
      <c r="B51" s="25" t="str">
        <f>'4JSON'!B45</f>
        <v>Dressers</v>
      </c>
      <c r="C51" s="41" t="str">
        <f>'4JSON'!C45</f>
        <v>Support occupations in motion pictures, broadcasting, photography and the performing arts</v>
      </c>
      <c r="D51" s="41">
        <f>ABS(D$5-(6-'4JSON'!D45))</f>
        <v>0</v>
      </c>
      <c r="E51" s="41">
        <f>ABS(E$5-(6-'4JSON'!E45))</f>
        <v>1</v>
      </c>
      <c r="F51" s="41">
        <f>ABS(F$5-(6-'4JSON'!F45))</f>
        <v>1</v>
      </c>
      <c r="G51" s="41">
        <f>ABS(G$5-(6-'4JSON'!G45))</f>
        <v>1</v>
      </c>
      <c r="H51" s="41">
        <f>ABS(H$5-(6-'4JSON'!H45))</f>
        <v>1</v>
      </c>
      <c r="I51" s="41">
        <f>ABS(I$5-(6-'4JSON'!I45))</f>
        <v>1</v>
      </c>
      <c r="J51" s="41">
        <f>ABS(J$5-(6-'4JSON'!J45))</f>
        <v>0</v>
      </c>
      <c r="K51" s="41">
        <f>ABS(K$5-(6-'4JSON'!K45))</f>
        <v>0</v>
      </c>
      <c r="L51" s="41">
        <f>ABS(L$5-(6-'4JSON'!L45))</f>
        <v>0</v>
      </c>
      <c r="M51" s="36">
        <f t="shared" si="1"/>
        <v>5</v>
      </c>
      <c r="N51" s="42">
        <f t="shared" si="2"/>
        <v>0.8611111111</v>
      </c>
      <c r="S51" s="35">
        <f>IFERROR(__xludf.DUMMYFUNCTION("""COMPUTED_VALUE"""),2212.0)</f>
        <v>2212</v>
      </c>
    </row>
    <row r="52">
      <c r="A52" s="35">
        <f>'4JSON'!A46</f>
        <v>8261</v>
      </c>
      <c r="B52" s="25" t="str">
        <f>'4JSON'!B46</f>
        <v>Fishing Masters and Officers</v>
      </c>
      <c r="C52" s="41" t="str">
        <f>'4JSON'!C46</f>
        <v>Fishing masters and officers</v>
      </c>
      <c r="D52" s="41">
        <f>ABS(D$5-(6-'4JSON'!D46))</f>
        <v>1</v>
      </c>
      <c r="E52" s="41">
        <f>ABS(E$5-(6-'4JSON'!E46))</f>
        <v>0</v>
      </c>
      <c r="F52" s="41">
        <f>ABS(F$5-(6-'4JSON'!F46))</f>
        <v>0</v>
      </c>
      <c r="G52" s="41">
        <f>ABS(G$5-(6-'4JSON'!G46))</f>
        <v>1</v>
      </c>
      <c r="H52" s="41">
        <f>ABS(H$5-(6-'4JSON'!H46))</f>
        <v>1</v>
      </c>
      <c r="I52" s="41">
        <f>ABS(I$5-(6-'4JSON'!I46))</f>
        <v>1</v>
      </c>
      <c r="J52" s="41">
        <f>ABS(J$5-(6-'4JSON'!J46))</f>
        <v>0</v>
      </c>
      <c r="K52" s="41">
        <f>ABS(K$5-(6-'4JSON'!K46))</f>
        <v>1</v>
      </c>
      <c r="L52" s="41">
        <f>ABS(L$5-(6-'4JSON'!L46))</f>
        <v>0</v>
      </c>
      <c r="M52" s="36">
        <f t="shared" si="1"/>
        <v>5</v>
      </c>
      <c r="N52" s="42">
        <f t="shared" si="2"/>
        <v>0.8611111111</v>
      </c>
      <c r="S52" s="35">
        <f>IFERROR(__xludf.DUMMYFUNCTION("""COMPUTED_VALUE"""),9532.0)</f>
        <v>9532</v>
      </c>
    </row>
    <row r="53">
      <c r="A53" s="35">
        <f>'4JSON'!A47</f>
        <v>7372</v>
      </c>
      <c r="B53" s="25" t="str">
        <f>'4JSON'!B47</f>
        <v>Drillers - Surface Mining, Quarrying and Construction</v>
      </c>
      <c r="C53" s="41" t="str">
        <f>'4JSON'!C47</f>
        <v>Drillers and blasters - surface mining, quarrying and construction</v>
      </c>
      <c r="D53" s="41">
        <f>ABS(D$5-(6-'4JSON'!D47))</f>
        <v>1</v>
      </c>
      <c r="E53" s="41">
        <f>ABS(E$5-(6-'4JSON'!E47))</f>
        <v>1</v>
      </c>
      <c r="F53" s="41">
        <f>ABS(F$5-(6-'4JSON'!F47))</f>
        <v>1</v>
      </c>
      <c r="G53" s="41">
        <f>ABS(G$5-(6-'4JSON'!G47))</f>
        <v>0</v>
      </c>
      <c r="H53" s="41">
        <f>ABS(H$5-(6-'4JSON'!H47))</f>
        <v>2</v>
      </c>
      <c r="I53" s="41">
        <f>ABS(I$5-(6-'4JSON'!I47))</f>
        <v>1</v>
      </c>
      <c r="J53" s="41">
        <f>ABS(J$5-(6-'4JSON'!J47))</f>
        <v>0</v>
      </c>
      <c r="K53" s="41">
        <f>ABS(K$5-(6-'4JSON'!K47))</f>
        <v>1</v>
      </c>
      <c r="L53" s="41">
        <f>ABS(L$5-(6-'4JSON'!L47))</f>
        <v>0</v>
      </c>
      <c r="M53" s="36">
        <f t="shared" si="1"/>
        <v>7</v>
      </c>
      <c r="N53" s="42">
        <f t="shared" si="2"/>
        <v>0.8055555556</v>
      </c>
      <c r="S53" s="35">
        <f>IFERROR(__xludf.DUMMYFUNCTION("""COMPUTED_VALUE"""),7442.0)</f>
        <v>7442</v>
      </c>
    </row>
    <row r="54">
      <c r="A54" s="35">
        <f>'4JSON'!A48</f>
        <v>621</v>
      </c>
      <c r="B54" s="25" t="str">
        <f>'4JSON'!B48</f>
        <v>Floor Managers</v>
      </c>
      <c r="C54" s="41" t="str">
        <f>'4JSON'!C48</f>
        <v>Retail and wholesale trade managers</v>
      </c>
      <c r="D54" s="41">
        <f>ABS(D$5-(6-'4JSON'!D48))</f>
        <v>1</v>
      </c>
      <c r="E54" s="41">
        <f>ABS(E$5-(6-'4JSON'!E48))</f>
        <v>0</v>
      </c>
      <c r="F54" s="41">
        <f>ABS(F$5-(6-'4JSON'!F48))</f>
        <v>1</v>
      </c>
      <c r="G54" s="41">
        <f>ABS(G$5-(6-'4JSON'!G48))</f>
        <v>0</v>
      </c>
      <c r="H54" s="41">
        <f>ABS(H$5-(6-'4JSON'!H48))</f>
        <v>1</v>
      </c>
      <c r="I54" s="41">
        <f>ABS(I$5-(6-'4JSON'!I48))</f>
        <v>0</v>
      </c>
      <c r="J54" s="41">
        <f>ABS(J$5-(6-'4JSON'!J48))</f>
        <v>0</v>
      </c>
      <c r="K54" s="41">
        <f>ABS(K$5-(6-'4JSON'!K48))</f>
        <v>1</v>
      </c>
      <c r="L54" s="41">
        <f>ABS(L$5-(6-'4JSON'!L48))</f>
        <v>1</v>
      </c>
      <c r="M54" s="36">
        <f t="shared" si="1"/>
        <v>5</v>
      </c>
      <c r="N54" s="42">
        <f t="shared" si="2"/>
        <v>0.8611111111</v>
      </c>
      <c r="S54" s="35">
        <f>IFERROR(__xludf.DUMMYFUNCTION("""COMPUTED_VALUE"""),2225.0)</f>
        <v>2225</v>
      </c>
    </row>
    <row r="55">
      <c r="A55" s="35">
        <f>'4JSON'!A49</f>
        <v>9422</v>
      </c>
      <c r="B55" s="25" t="str">
        <f>'4JSON'!B49</f>
        <v>Extruding Process Operators - Plastics Processing</v>
      </c>
      <c r="C55" s="41" t="str">
        <f>'4JSON'!C49</f>
        <v>Plastics processing machine operators</v>
      </c>
      <c r="D55" s="41">
        <f>ABS(D$5-(6-'4JSON'!D49))</f>
        <v>1</v>
      </c>
      <c r="E55" s="41">
        <f>ABS(E$5-(6-'4JSON'!E49))</f>
        <v>1</v>
      </c>
      <c r="F55" s="41">
        <f>ABS(F$5-(6-'4JSON'!F49))</f>
        <v>1</v>
      </c>
      <c r="G55" s="41">
        <f>ABS(G$5-(6-'4JSON'!G49))</f>
        <v>0</v>
      </c>
      <c r="H55" s="41">
        <f>ABS(H$5-(6-'4JSON'!H49))</f>
        <v>1</v>
      </c>
      <c r="I55" s="41">
        <f>ABS(I$5-(6-'4JSON'!I49))</f>
        <v>1</v>
      </c>
      <c r="J55" s="41">
        <f>ABS(J$5-(6-'4JSON'!J49))</f>
        <v>1</v>
      </c>
      <c r="K55" s="41">
        <f>ABS(K$5-(6-'4JSON'!K49))</f>
        <v>1</v>
      </c>
      <c r="L55" s="41">
        <f>ABS(L$5-(6-'4JSON'!L49))</f>
        <v>0</v>
      </c>
      <c r="M55" s="36">
        <f t="shared" si="1"/>
        <v>7</v>
      </c>
      <c r="N55" s="42">
        <f t="shared" si="2"/>
        <v>0.8055555556</v>
      </c>
      <c r="S55" s="35">
        <f>IFERROR(__xludf.DUMMYFUNCTION("""COMPUTED_VALUE"""),9413.0)</f>
        <v>9413</v>
      </c>
    </row>
    <row r="56">
      <c r="A56" s="35">
        <f>'4JSON'!A50</f>
        <v>6342</v>
      </c>
      <c r="B56" s="25" t="str">
        <f>'4JSON'!B50</f>
        <v>Furriers</v>
      </c>
      <c r="C56" s="41" t="str">
        <f>'4JSON'!C50</f>
        <v>Tailors, dressmakers, furriers and milliners</v>
      </c>
      <c r="D56" s="41">
        <f>ABS(D$5-(6-'4JSON'!D50))</f>
        <v>1</v>
      </c>
      <c r="E56" s="41">
        <f>ABS(E$5-(6-'4JSON'!E50))</f>
        <v>0</v>
      </c>
      <c r="F56" s="41">
        <f>ABS(F$5-(6-'4JSON'!F50))</f>
        <v>1</v>
      </c>
      <c r="G56" s="41">
        <f>ABS(G$5-(6-'4JSON'!G50))</f>
        <v>1</v>
      </c>
      <c r="H56" s="41">
        <f>ABS(H$5-(6-'4JSON'!H50))</f>
        <v>0</v>
      </c>
      <c r="I56" s="41">
        <f>ABS(I$5-(6-'4JSON'!I50))</f>
        <v>1</v>
      </c>
      <c r="J56" s="41">
        <f>ABS(J$5-(6-'4JSON'!J50))</f>
        <v>0</v>
      </c>
      <c r="K56" s="41">
        <f>ABS(K$5-(6-'4JSON'!K50))</f>
        <v>1</v>
      </c>
      <c r="L56" s="41">
        <f>ABS(L$5-(6-'4JSON'!L50))</f>
        <v>0</v>
      </c>
      <c r="M56" s="36">
        <f t="shared" si="1"/>
        <v>5</v>
      </c>
      <c r="N56" s="42">
        <f t="shared" si="2"/>
        <v>0.8611111111</v>
      </c>
      <c r="S56" s="35">
        <f>IFERROR(__xludf.DUMMYFUNCTION("""COMPUTED_VALUE"""),822.0)</f>
        <v>822</v>
      </c>
    </row>
    <row r="57">
      <c r="A57" s="35">
        <f>'4JSON'!A51</f>
        <v>5226</v>
      </c>
      <c r="B57" s="25" t="str">
        <f>'4JSON'!B51</f>
        <v>Gaffers and Lighting Technicians</v>
      </c>
      <c r="C57" s="41" t="str">
        <f>'4JSON'!C51</f>
        <v>Other technical and co-ordinating occupations in motion pictures, broadcasting and the performing arts</v>
      </c>
      <c r="D57" s="41">
        <f>ABS(D$5-(6-'4JSON'!D51))</f>
        <v>1</v>
      </c>
      <c r="E57" s="41">
        <f>ABS(E$5-(6-'4JSON'!E51))</f>
        <v>0</v>
      </c>
      <c r="F57" s="41">
        <f>ABS(F$5-(6-'4JSON'!F51))</f>
        <v>1</v>
      </c>
      <c r="G57" s="41">
        <f>ABS(G$5-(6-'4JSON'!G51))</f>
        <v>0</v>
      </c>
      <c r="H57" s="41">
        <f>ABS(H$5-(6-'4JSON'!H51))</f>
        <v>1</v>
      </c>
      <c r="I57" s="41">
        <f>ABS(I$5-(6-'4JSON'!I51))</f>
        <v>1</v>
      </c>
      <c r="J57" s="41">
        <f>ABS(J$5-(6-'4JSON'!J51))</f>
        <v>0</v>
      </c>
      <c r="K57" s="41">
        <f>ABS(K$5-(6-'4JSON'!K51))</f>
        <v>1</v>
      </c>
      <c r="L57" s="41">
        <f>ABS(L$5-(6-'4JSON'!L51))</f>
        <v>0</v>
      </c>
      <c r="M57" s="36">
        <f t="shared" si="1"/>
        <v>5</v>
      </c>
      <c r="N57" s="42">
        <f t="shared" si="2"/>
        <v>0.8611111111</v>
      </c>
      <c r="S57" s="35">
        <f>IFERROR(__xludf.DUMMYFUNCTION("""COMPUTED_VALUE"""),2252.0)</f>
        <v>2252</v>
      </c>
    </row>
    <row r="58">
      <c r="A58" s="35">
        <f>'4JSON'!A52</f>
        <v>7295</v>
      </c>
      <c r="B58" s="25" t="str">
        <f>'4JSON'!B52</f>
        <v>Floor Covering Installers</v>
      </c>
      <c r="C58" s="41" t="str">
        <f>'4JSON'!C52</f>
        <v>Floor covering installers</v>
      </c>
      <c r="D58" s="41">
        <f>ABS(D$5-(6-'4JSON'!D52))</f>
        <v>1</v>
      </c>
      <c r="E58" s="41">
        <f>ABS(E$5-(6-'4JSON'!E52))</f>
        <v>1</v>
      </c>
      <c r="F58" s="41">
        <f>ABS(F$5-(6-'4JSON'!F52))</f>
        <v>0</v>
      </c>
      <c r="G58" s="41">
        <f>ABS(G$5-(6-'4JSON'!G52))</f>
        <v>0</v>
      </c>
      <c r="H58" s="41">
        <f>ABS(H$5-(6-'4JSON'!H52))</f>
        <v>1</v>
      </c>
      <c r="I58" s="41">
        <f>ABS(I$5-(6-'4JSON'!I52))</f>
        <v>1</v>
      </c>
      <c r="J58" s="41">
        <f>ABS(J$5-(6-'4JSON'!J52))</f>
        <v>0</v>
      </c>
      <c r="K58" s="41">
        <f>ABS(K$5-(6-'4JSON'!K52))</f>
        <v>1</v>
      </c>
      <c r="L58" s="41">
        <f>ABS(L$5-(6-'4JSON'!L52))</f>
        <v>0</v>
      </c>
      <c r="M58" s="36">
        <f t="shared" si="1"/>
        <v>5</v>
      </c>
      <c r="N58" s="42">
        <f t="shared" si="2"/>
        <v>0.8611111111</v>
      </c>
      <c r="S58" s="35">
        <f>IFERROR(__xludf.DUMMYFUNCTION("""COMPUTED_VALUE"""),7242.0)</f>
        <v>7242</v>
      </c>
    </row>
    <row r="59">
      <c r="A59" s="35">
        <f>'4JSON'!A53</f>
        <v>2212</v>
      </c>
      <c r="B59" s="25" t="str">
        <f>'4JSON'!B53</f>
        <v>Geological and Mineral Technologists</v>
      </c>
      <c r="C59" s="41" t="str">
        <f>'4JSON'!C53</f>
        <v>Geological and mineral technologists and technicians</v>
      </c>
      <c r="D59" s="41">
        <f>ABS(D$5-(6-'4JSON'!D53))</f>
        <v>2</v>
      </c>
      <c r="E59" s="41">
        <f>ABS(E$5-(6-'4JSON'!E53))</f>
        <v>1</v>
      </c>
      <c r="F59" s="41">
        <f>ABS(F$5-(6-'4JSON'!F53))</f>
        <v>1</v>
      </c>
      <c r="G59" s="41">
        <f>ABS(G$5-(6-'4JSON'!G53))</f>
        <v>1</v>
      </c>
      <c r="H59" s="41">
        <f>ABS(H$5-(6-'4JSON'!H53))</f>
        <v>0</v>
      </c>
      <c r="I59" s="41">
        <f>ABS(I$5-(6-'4JSON'!I53))</f>
        <v>0</v>
      </c>
      <c r="J59" s="41">
        <f>ABS(J$5-(6-'4JSON'!J53))</f>
        <v>0</v>
      </c>
      <c r="K59" s="41">
        <f>ABS(K$5-(6-'4JSON'!K53))</f>
        <v>0</v>
      </c>
      <c r="L59" s="41">
        <f>ABS(L$5-(6-'4JSON'!L53))</f>
        <v>0</v>
      </c>
      <c r="M59" s="36">
        <f t="shared" si="1"/>
        <v>5</v>
      </c>
      <c r="N59" s="42">
        <f t="shared" si="2"/>
        <v>0.8611111111</v>
      </c>
      <c r="S59" s="35">
        <f>IFERROR(__xludf.DUMMYFUNCTION("""COMPUTED_VALUE"""),7292.0)</f>
        <v>7292</v>
      </c>
    </row>
    <row r="60">
      <c r="A60" s="35">
        <f>'4JSON'!A54</f>
        <v>9532</v>
      </c>
      <c r="B60" s="25" t="str">
        <f>'4JSON'!B54</f>
        <v>Furniture and Fixture Assemblers</v>
      </c>
      <c r="C60" s="41" t="str">
        <f>'4JSON'!C54</f>
        <v>Furniture and fixture assemblers and inspectors</v>
      </c>
      <c r="D60" s="41">
        <f>ABS(D$5-(6-'4JSON'!D54))</f>
        <v>0</v>
      </c>
      <c r="E60" s="41">
        <f>ABS(E$5-(6-'4JSON'!E54))</f>
        <v>1</v>
      </c>
      <c r="F60" s="41">
        <f>ABS(F$5-(6-'4JSON'!F54))</f>
        <v>1</v>
      </c>
      <c r="G60" s="41">
        <f>ABS(G$5-(6-'4JSON'!G54))</f>
        <v>0</v>
      </c>
      <c r="H60" s="41">
        <f>ABS(H$5-(6-'4JSON'!H54))</f>
        <v>2</v>
      </c>
      <c r="I60" s="41">
        <f>ABS(I$5-(6-'4JSON'!I54))</f>
        <v>1</v>
      </c>
      <c r="J60" s="41">
        <f>ABS(J$5-(6-'4JSON'!J54))</f>
        <v>0</v>
      </c>
      <c r="K60" s="41">
        <f>ABS(K$5-(6-'4JSON'!K54))</f>
        <v>0</v>
      </c>
      <c r="L60" s="41">
        <f>ABS(L$5-(6-'4JSON'!L54))</f>
        <v>0</v>
      </c>
      <c r="M60" s="36">
        <f t="shared" si="1"/>
        <v>5</v>
      </c>
      <c r="N60" s="42">
        <f t="shared" si="2"/>
        <v>0.8611111111</v>
      </c>
      <c r="S60" s="35">
        <f>IFERROR(__xludf.DUMMYFUNCTION("""COMPUTED_VALUE"""),2154.0)</f>
        <v>2154</v>
      </c>
    </row>
    <row r="61">
      <c r="A61" s="35">
        <f>'4JSON'!A55</f>
        <v>7442</v>
      </c>
      <c r="B61" s="25" t="str">
        <f>'4JSON'!B55</f>
        <v>Gas Maintenance Workers</v>
      </c>
      <c r="C61" s="41" t="str">
        <f>'4JSON'!C55</f>
        <v>Waterworks and gas maintenance workers</v>
      </c>
      <c r="D61" s="41">
        <f>ABS(D$5-(6-'4JSON'!D55))</f>
        <v>1</v>
      </c>
      <c r="E61" s="41">
        <f>ABS(E$5-(6-'4JSON'!E55))</f>
        <v>1</v>
      </c>
      <c r="F61" s="41">
        <f>ABS(F$5-(6-'4JSON'!F55))</f>
        <v>1</v>
      </c>
      <c r="G61" s="41">
        <f>ABS(G$5-(6-'4JSON'!G55))</f>
        <v>1</v>
      </c>
      <c r="H61" s="41">
        <f>ABS(H$5-(6-'4JSON'!H55))</f>
        <v>2</v>
      </c>
      <c r="I61" s="41">
        <f>ABS(I$5-(6-'4JSON'!I55))</f>
        <v>0</v>
      </c>
      <c r="J61" s="41">
        <f>ABS(J$5-(6-'4JSON'!J55))</f>
        <v>0</v>
      </c>
      <c r="K61" s="41">
        <f>ABS(K$5-(6-'4JSON'!K55))</f>
        <v>1</v>
      </c>
      <c r="L61" s="41">
        <f>ABS(L$5-(6-'4JSON'!L55))</f>
        <v>0</v>
      </c>
      <c r="M61" s="36">
        <f t="shared" si="1"/>
        <v>7</v>
      </c>
      <c r="N61" s="42">
        <f t="shared" si="2"/>
        <v>0.8055555556</v>
      </c>
      <c r="S61" s="35">
        <f>IFERROR(__xludf.DUMMYFUNCTION("""COMPUTED_VALUE"""),2152.0)</f>
        <v>2152</v>
      </c>
    </row>
    <row r="62">
      <c r="A62" s="35">
        <f>'4JSON'!A56</f>
        <v>2225</v>
      </c>
      <c r="B62" s="25" t="str">
        <f>'4JSON'!B56</f>
        <v>Golf Course Superintendents</v>
      </c>
      <c r="C62" s="41" t="str">
        <f>'4JSON'!C56</f>
        <v>Landscape and horticulture technicians and specialists</v>
      </c>
      <c r="D62" s="41">
        <f>ABS(D$5-(6-'4JSON'!D56))</f>
        <v>1</v>
      </c>
      <c r="E62" s="41">
        <f>ABS(E$5-(6-'4JSON'!E56))</f>
        <v>0</v>
      </c>
      <c r="F62" s="41">
        <f>ABS(F$5-(6-'4JSON'!F56))</f>
        <v>0</v>
      </c>
      <c r="G62" s="41">
        <f>ABS(G$5-(6-'4JSON'!G56))</f>
        <v>0</v>
      </c>
      <c r="H62" s="41">
        <f>ABS(H$5-(6-'4JSON'!H56))</f>
        <v>1</v>
      </c>
      <c r="I62" s="41">
        <f>ABS(I$5-(6-'4JSON'!I56))</f>
        <v>0</v>
      </c>
      <c r="J62" s="41">
        <f>ABS(J$5-(6-'4JSON'!J56))</f>
        <v>0</v>
      </c>
      <c r="K62" s="41">
        <f>ABS(K$5-(6-'4JSON'!K56))</f>
        <v>1</v>
      </c>
      <c r="L62" s="41">
        <f>ABS(L$5-(6-'4JSON'!L56))</f>
        <v>0</v>
      </c>
      <c r="M62" s="36">
        <f t="shared" si="1"/>
        <v>3</v>
      </c>
      <c r="N62" s="42">
        <f t="shared" si="2"/>
        <v>0.9166666667</v>
      </c>
      <c r="S62" s="35">
        <f>IFERROR(__xludf.DUMMYFUNCTION("""COMPUTED_VALUE"""),8612.0)</f>
        <v>8612</v>
      </c>
    </row>
    <row r="63">
      <c r="A63" s="35">
        <f>'4JSON'!A57</f>
        <v>9413</v>
      </c>
      <c r="B63" s="25" t="str">
        <f>'4JSON'!B57</f>
        <v>Glass Finishing Machine Operators</v>
      </c>
      <c r="C63" s="41" t="str">
        <f>'4JSON'!C57</f>
        <v>Glass forming and finishing machine operators and glass cutters</v>
      </c>
      <c r="D63" s="41">
        <f>ABS(D$5-(6-'4JSON'!D57))</f>
        <v>1</v>
      </c>
      <c r="E63" s="41">
        <f>ABS(E$5-(6-'4JSON'!E57))</f>
        <v>1</v>
      </c>
      <c r="F63" s="41">
        <f>ABS(F$5-(6-'4JSON'!F57))</f>
        <v>1</v>
      </c>
      <c r="G63" s="41">
        <f>ABS(G$5-(6-'4JSON'!G57))</f>
        <v>1</v>
      </c>
      <c r="H63" s="41">
        <f>ABS(H$5-(6-'4JSON'!H57))</f>
        <v>1</v>
      </c>
      <c r="I63" s="41">
        <f>ABS(I$5-(6-'4JSON'!I57))</f>
        <v>1</v>
      </c>
      <c r="J63" s="41">
        <f>ABS(J$5-(6-'4JSON'!J57))</f>
        <v>0</v>
      </c>
      <c r="K63" s="41">
        <f>ABS(K$5-(6-'4JSON'!K57))</f>
        <v>1</v>
      </c>
      <c r="L63" s="41">
        <f>ABS(L$5-(6-'4JSON'!L57))</f>
        <v>0</v>
      </c>
      <c r="M63" s="36">
        <f t="shared" si="1"/>
        <v>7</v>
      </c>
      <c r="N63" s="42">
        <f t="shared" si="2"/>
        <v>0.8055555556</v>
      </c>
      <c r="S63" s="35">
        <f>IFERROR(__xludf.DUMMYFUNCTION("""COMPUTED_VALUE"""),9447.0)</f>
        <v>9447</v>
      </c>
    </row>
    <row r="64">
      <c r="A64" s="35">
        <f>'4JSON'!A58</f>
        <v>822</v>
      </c>
      <c r="B64" s="25" t="str">
        <f>'4JSON'!B58</f>
        <v>Horticulturists</v>
      </c>
      <c r="C64" s="41" t="str">
        <f>'4JSON'!C58</f>
        <v>Managers in horticulture</v>
      </c>
      <c r="D64" s="41">
        <f>ABS(D$5-(6-'4JSON'!D58))</f>
        <v>2</v>
      </c>
      <c r="E64" s="41">
        <f>ABS(E$5-(6-'4JSON'!E58))</f>
        <v>0</v>
      </c>
      <c r="F64" s="41">
        <f>ABS(F$5-(6-'4JSON'!F58))</f>
        <v>0</v>
      </c>
      <c r="G64" s="41">
        <f>ABS(G$5-(6-'4JSON'!G58))</f>
        <v>0</v>
      </c>
      <c r="H64" s="41">
        <f>ABS(H$5-(6-'4JSON'!H58))</f>
        <v>1</v>
      </c>
      <c r="I64" s="41">
        <f>ABS(I$5-(6-'4JSON'!I58))</f>
        <v>1</v>
      </c>
      <c r="J64" s="41">
        <f>ABS(J$5-(6-'4JSON'!J58))</f>
        <v>1</v>
      </c>
      <c r="K64" s="41">
        <f>ABS(K$5-(6-'4JSON'!K58))</f>
        <v>0</v>
      </c>
      <c r="L64" s="41">
        <f>ABS(L$5-(6-'4JSON'!L58))</f>
        <v>0</v>
      </c>
      <c r="M64" s="36">
        <f t="shared" si="1"/>
        <v>5</v>
      </c>
      <c r="N64" s="42">
        <f t="shared" si="2"/>
        <v>0.8611111111</v>
      </c>
      <c r="S64" s="35">
        <f>IFERROR(__xludf.DUMMYFUNCTION("""COMPUTED_VALUE"""),3233.0)</f>
        <v>3233</v>
      </c>
    </row>
    <row r="65">
      <c r="A65" s="35">
        <f>'4JSON'!A59</f>
        <v>2252</v>
      </c>
      <c r="B65" s="25" t="str">
        <f>'4JSON'!B59</f>
        <v>Industrial Designers</v>
      </c>
      <c r="C65" s="41" t="str">
        <f>'4JSON'!C59</f>
        <v>Industrial designers</v>
      </c>
      <c r="D65" s="41">
        <f>ABS(D$5-(6-'4JSON'!D59))</f>
        <v>2</v>
      </c>
      <c r="E65" s="41">
        <f>ABS(E$5-(6-'4JSON'!E59))</f>
        <v>1</v>
      </c>
      <c r="F65" s="41">
        <f>ABS(F$5-(6-'4JSON'!F59))</f>
        <v>0</v>
      </c>
      <c r="G65" s="41">
        <f>ABS(G$5-(6-'4JSON'!G59))</f>
        <v>1</v>
      </c>
      <c r="H65" s="41">
        <f>ABS(H$5-(6-'4JSON'!H59))</f>
        <v>0</v>
      </c>
      <c r="I65" s="41">
        <f>ABS(I$5-(6-'4JSON'!I59))</f>
        <v>1</v>
      </c>
      <c r="J65" s="41">
        <f>ABS(J$5-(6-'4JSON'!J59))</f>
        <v>1</v>
      </c>
      <c r="K65" s="41">
        <f>ABS(K$5-(6-'4JSON'!K59))</f>
        <v>1</v>
      </c>
      <c r="L65" s="41">
        <f>ABS(L$5-(6-'4JSON'!L59))</f>
        <v>0</v>
      </c>
      <c r="M65" s="36">
        <f t="shared" si="1"/>
        <v>7</v>
      </c>
      <c r="N65" s="42">
        <f t="shared" si="2"/>
        <v>0.8055555556</v>
      </c>
      <c r="S65" s="35">
        <f>IFERROR(__xludf.DUMMYFUNCTION("""COMPUTED_VALUE"""),7284.0)</f>
        <v>7284</v>
      </c>
    </row>
    <row r="66">
      <c r="A66" s="35">
        <f>'4JSON'!A60</f>
        <v>7242</v>
      </c>
      <c r="B66" s="25" t="str">
        <f>'4JSON'!B60</f>
        <v>Industrial Electricians</v>
      </c>
      <c r="C66" s="41" t="str">
        <f>'4JSON'!C60</f>
        <v>Industrial electricians</v>
      </c>
      <c r="D66" s="41">
        <f>ABS(D$5-(6-'4JSON'!D60))</f>
        <v>1</v>
      </c>
      <c r="E66" s="41">
        <f>ABS(E$5-(6-'4JSON'!E60))</f>
        <v>0</v>
      </c>
      <c r="F66" s="41">
        <f>ABS(F$5-(6-'4JSON'!F60))</f>
        <v>0</v>
      </c>
      <c r="G66" s="41">
        <f>ABS(G$5-(6-'4JSON'!G60))</f>
        <v>0</v>
      </c>
      <c r="H66" s="41">
        <f>ABS(H$5-(6-'4JSON'!H60))</f>
        <v>1</v>
      </c>
      <c r="I66" s="41">
        <f>ABS(I$5-(6-'4JSON'!I60))</f>
        <v>1</v>
      </c>
      <c r="J66" s="41">
        <f>ABS(J$5-(6-'4JSON'!J60))</f>
        <v>0</v>
      </c>
      <c r="K66" s="41">
        <f>ABS(K$5-(6-'4JSON'!K60))</f>
        <v>0</v>
      </c>
      <c r="L66" s="41">
        <f>ABS(L$5-(6-'4JSON'!L60))</f>
        <v>0</v>
      </c>
      <c r="M66" s="36">
        <f t="shared" si="1"/>
        <v>3</v>
      </c>
      <c r="N66" s="42">
        <f t="shared" si="2"/>
        <v>0.9166666667</v>
      </c>
      <c r="S66" s="35">
        <f>IFERROR(__xludf.DUMMYFUNCTION("""COMPUTED_VALUE"""),7511.0)</f>
        <v>7511</v>
      </c>
    </row>
    <row r="67">
      <c r="A67" s="35">
        <f>'4JSON'!A61</f>
        <v>9524</v>
      </c>
      <c r="B67" s="25" t="str">
        <f>'4JSON'!B61</f>
        <v>Inspectors and Testers, Electrical Appliance, Apparatus and Equipment Manufacturing</v>
      </c>
      <c r="C67" s="41" t="str">
        <f>'4JSON'!C61</f>
        <v>Assemblers and inspectors, electrical appliance, apparatus and equipment manufacturing</v>
      </c>
      <c r="D67" s="41">
        <f>ABS(D$5-(6-'4JSON'!D61))</f>
        <v>1</v>
      </c>
      <c r="E67" s="41">
        <f>ABS(E$5-(6-'4JSON'!E61))</f>
        <v>0</v>
      </c>
      <c r="F67" s="41">
        <f>ABS(F$5-(6-'4JSON'!F61))</f>
        <v>0</v>
      </c>
      <c r="G67" s="41">
        <f>ABS(G$5-(6-'4JSON'!G61))</f>
        <v>1</v>
      </c>
      <c r="H67" s="41">
        <f>ABS(H$5-(6-'4JSON'!H61))</f>
        <v>1</v>
      </c>
      <c r="I67" s="41">
        <f>ABS(I$5-(6-'4JSON'!I61))</f>
        <v>0</v>
      </c>
      <c r="J67" s="41">
        <f>ABS(J$5-(6-'4JSON'!J61))</f>
        <v>0</v>
      </c>
      <c r="K67" s="41">
        <f>ABS(K$5-(6-'4JSON'!K61))</f>
        <v>0</v>
      </c>
      <c r="L67" s="41">
        <f>ABS(L$5-(6-'4JSON'!L61))</f>
        <v>0</v>
      </c>
      <c r="M67" s="36">
        <f t="shared" si="1"/>
        <v>3</v>
      </c>
      <c r="N67" s="42">
        <f t="shared" si="2"/>
        <v>0.9166666667</v>
      </c>
      <c r="S67" s="35">
        <f>IFERROR(__xludf.DUMMYFUNCTION("""COMPUTED_VALUE"""),7316.0)</f>
        <v>7316</v>
      </c>
    </row>
    <row r="68">
      <c r="A68" s="35">
        <f>'4JSON'!A62</f>
        <v>7292</v>
      </c>
      <c r="B68" s="25" t="str">
        <f>'4JSON'!B62</f>
        <v>Glaziers</v>
      </c>
      <c r="C68" s="41" t="str">
        <f>'4JSON'!C62</f>
        <v>Glaziers</v>
      </c>
      <c r="D68" s="41">
        <f>ABS(D$5-(6-'4JSON'!D62))</f>
        <v>1</v>
      </c>
      <c r="E68" s="41">
        <f>ABS(E$5-(6-'4JSON'!E62))</f>
        <v>1</v>
      </c>
      <c r="F68" s="41">
        <f>ABS(F$5-(6-'4JSON'!F62))</f>
        <v>0</v>
      </c>
      <c r="G68" s="41">
        <f>ABS(G$5-(6-'4JSON'!G62))</f>
        <v>0</v>
      </c>
      <c r="H68" s="41">
        <f>ABS(H$5-(6-'4JSON'!H62))</f>
        <v>1</v>
      </c>
      <c r="I68" s="41">
        <f>ABS(I$5-(6-'4JSON'!I62))</f>
        <v>1</v>
      </c>
      <c r="J68" s="41">
        <f>ABS(J$5-(6-'4JSON'!J62))</f>
        <v>0</v>
      </c>
      <c r="K68" s="41">
        <f>ABS(K$5-(6-'4JSON'!K62))</f>
        <v>1</v>
      </c>
      <c r="L68" s="41">
        <f>ABS(L$5-(6-'4JSON'!L62))</f>
        <v>0</v>
      </c>
      <c r="M68" s="36">
        <f t="shared" si="1"/>
        <v>5</v>
      </c>
      <c r="N68" s="42">
        <f t="shared" si="2"/>
        <v>0.8611111111</v>
      </c>
      <c r="S68" s="35">
        <f>IFERROR(__xludf.DUMMYFUNCTION("""COMPUTED_VALUE"""),7451.0)</f>
        <v>7451</v>
      </c>
    </row>
    <row r="69">
      <c r="A69" s="35">
        <f>'4JSON'!A63</f>
        <v>2154</v>
      </c>
      <c r="B69" s="25" t="str">
        <f>'4JSON'!B63</f>
        <v>Land Surveyors</v>
      </c>
      <c r="C69" s="41" t="str">
        <f>'4JSON'!C63</f>
        <v>Land surveyors</v>
      </c>
      <c r="D69" s="41">
        <f>ABS(D$5-(6-'4JSON'!D63))</f>
        <v>2</v>
      </c>
      <c r="E69" s="41">
        <f>ABS(E$5-(6-'4JSON'!E63))</f>
        <v>1</v>
      </c>
      <c r="F69" s="41">
        <f>ABS(F$5-(6-'4JSON'!F63))</f>
        <v>1</v>
      </c>
      <c r="G69" s="41">
        <f>ABS(G$5-(6-'4JSON'!G63))</f>
        <v>1</v>
      </c>
      <c r="H69" s="41">
        <f>ABS(H$5-(6-'4JSON'!H63))</f>
        <v>0</v>
      </c>
      <c r="I69" s="41">
        <f>ABS(I$5-(6-'4JSON'!I63))</f>
        <v>0</v>
      </c>
      <c r="J69" s="41">
        <f>ABS(J$5-(6-'4JSON'!J63))</f>
        <v>0</v>
      </c>
      <c r="K69" s="41">
        <f>ABS(K$5-(6-'4JSON'!K63))</f>
        <v>0</v>
      </c>
      <c r="L69" s="41">
        <f>ABS(L$5-(6-'4JSON'!L63))</f>
        <v>0</v>
      </c>
      <c r="M69" s="36">
        <f t="shared" si="1"/>
        <v>5</v>
      </c>
      <c r="N69" s="42">
        <f t="shared" si="2"/>
        <v>0.8611111111</v>
      </c>
      <c r="S69" s="35">
        <f>IFERROR(__xludf.DUMMYFUNCTION("""COMPUTED_VALUE"""),7231.0)</f>
        <v>7231</v>
      </c>
    </row>
    <row r="70">
      <c r="A70" s="35">
        <f>'4JSON'!A64</f>
        <v>2152</v>
      </c>
      <c r="B70" s="25" t="str">
        <f>'4JSON'!B64</f>
        <v>Landscape Architects</v>
      </c>
      <c r="C70" s="41" t="str">
        <f>'4JSON'!C64</f>
        <v>Landscape architects</v>
      </c>
      <c r="D70" s="41">
        <f>ABS(D$5-(6-'4JSON'!D64))</f>
        <v>2</v>
      </c>
      <c r="E70" s="41">
        <f>ABS(E$5-(6-'4JSON'!E64))</f>
        <v>1</v>
      </c>
      <c r="F70" s="41">
        <f>ABS(F$5-(6-'4JSON'!F64))</f>
        <v>1</v>
      </c>
      <c r="G70" s="41">
        <f>ABS(G$5-(6-'4JSON'!G64))</f>
        <v>2</v>
      </c>
      <c r="H70" s="41">
        <f>ABS(H$5-(6-'4JSON'!H64))</f>
        <v>1</v>
      </c>
      <c r="I70" s="41">
        <f>ABS(I$5-(6-'4JSON'!I64))</f>
        <v>0</v>
      </c>
      <c r="J70" s="41">
        <f>ABS(J$5-(6-'4JSON'!J64))</f>
        <v>0</v>
      </c>
      <c r="K70" s="41">
        <f>ABS(K$5-(6-'4JSON'!K64))</f>
        <v>0</v>
      </c>
      <c r="L70" s="41">
        <f>ABS(L$5-(6-'4JSON'!L64))</f>
        <v>0</v>
      </c>
      <c r="M70" s="36">
        <f t="shared" si="1"/>
        <v>7</v>
      </c>
      <c r="N70" s="42">
        <f t="shared" si="2"/>
        <v>0.8055555556</v>
      </c>
      <c r="S70" s="35">
        <f>IFERROR(__xludf.DUMMYFUNCTION("""COMPUTED_VALUE"""),9417.0)</f>
        <v>9417</v>
      </c>
    </row>
    <row r="71">
      <c r="A71" s="35">
        <f>'4JSON'!A65</f>
        <v>8612</v>
      </c>
      <c r="B71" s="25" t="str">
        <f>'4JSON'!B65</f>
        <v>Landscapers</v>
      </c>
      <c r="C71" s="41" t="str">
        <f>'4JSON'!C65</f>
        <v>Landscaping and grounds maintenance labourers</v>
      </c>
      <c r="D71" s="41">
        <f>ABS(D$5-(6-'4JSON'!D65))</f>
        <v>1</v>
      </c>
      <c r="E71" s="41">
        <f>ABS(E$5-(6-'4JSON'!E65))</f>
        <v>0</v>
      </c>
      <c r="F71" s="41">
        <f>ABS(F$5-(6-'4JSON'!F65))</f>
        <v>0</v>
      </c>
      <c r="G71" s="41">
        <f>ABS(G$5-(6-'4JSON'!G65))</f>
        <v>1</v>
      </c>
      <c r="H71" s="41">
        <f>ABS(H$5-(6-'4JSON'!H65))</f>
        <v>1</v>
      </c>
      <c r="I71" s="41">
        <f>ABS(I$5-(6-'4JSON'!I65))</f>
        <v>1</v>
      </c>
      <c r="J71" s="41">
        <f>ABS(J$5-(6-'4JSON'!J65))</f>
        <v>0</v>
      </c>
      <c r="K71" s="41">
        <f>ABS(K$5-(6-'4JSON'!K65))</f>
        <v>1</v>
      </c>
      <c r="L71" s="41">
        <f>ABS(L$5-(6-'4JSON'!L65))</f>
        <v>0</v>
      </c>
      <c r="M71" s="36">
        <f t="shared" si="1"/>
        <v>5</v>
      </c>
      <c r="N71" s="42">
        <f t="shared" si="2"/>
        <v>0.8611111111</v>
      </c>
      <c r="S71" s="35">
        <f>IFERROR(__xludf.DUMMYFUNCTION("""COMPUTED_VALUE"""),7332.0)</f>
        <v>7332</v>
      </c>
    </row>
    <row r="72">
      <c r="A72" s="35">
        <f>'4JSON'!A66</f>
        <v>9447</v>
      </c>
      <c r="B72" s="25" t="str">
        <f>'4JSON'!B66</f>
        <v>Inspectors and Testers, Fabric, Fur and Leather Products Manufacturing</v>
      </c>
      <c r="C72" s="41" t="str">
        <f>'4JSON'!C66</f>
        <v>Inspectors and graders, textile, fabric, fur and leather products manufacturing</v>
      </c>
      <c r="D72" s="41">
        <f>ABS(D$5-(6-'4JSON'!D66))</f>
        <v>0</v>
      </c>
      <c r="E72" s="41">
        <f>ABS(E$5-(6-'4JSON'!E66))</f>
        <v>1</v>
      </c>
      <c r="F72" s="41">
        <f>ABS(F$5-(6-'4JSON'!F66))</f>
        <v>1</v>
      </c>
      <c r="G72" s="41">
        <f>ABS(G$5-(6-'4JSON'!G66))</f>
        <v>0</v>
      </c>
      <c r="H72" s="41">
        <f>ABS(H$5-(6-'4JSON'!H66))</f>
        <v>1</v>
      </c>
      <c r="I72" s="41">
        <f>ABS(I$5-(6-'4JSON'!I66))</f>
        <v>1</v>
      </c>
      <c r="J72" s="41">
        <f>ABS(J$5-(6-'4JSON'!J66))</f>
        <v>0</v>
      </c>
      <c r="K72" s="41">
        <f>ABS(K$5-(6-'4JSON'!K66))</f>
        <v>0</v>
      </c>
      <c r="L72" s="41">
        <f>ABS(L$5-(6-'4JSON'!L66))</f>
        <v>1</v>
      </c>
      <c r="M72" s="36">
        <f t="shared" si="1"/>
        <v>5</v>
      </c>
      <c r="N72" s="42">
        <f t="shared" si="2"/>
        <v>0.8611111111</v>
      </c>
      <c r="S72" s="35">
        <f>IFERROR(__xludf.DUMMYFUNCTION("""COMPUTED_VALUE"""),2232.0)</f>
        <v>2232</v>
      </c>
    </row>
    <row r="73">
      <c r="A73" s="35">
        <f>'4JSON'!A67</f>
        <v>3233</v>
      </c>
      <c r="B73" s="25" t="str">
        <f>'4JSON'!B67</f>
        <v>Licensed Practical Nurses</v>
      </c>
      <c r="C73" s="41" t="str">
        <f>'4JSON'!C67</f>
        <v>Licensed practical nurses</v>
      </c>
      <c r="D73" s="41">
        <f>ABS(D$5-(6-'4JSON'!D67))</f>
        <v>1</v>
      </c>
      <c r="E73" s="41">
        <f>ABS(E$5-(6-'4JSON'!E67))</f>
        <v>0</v>
      </c>
      <c r="F73" s="41">
        <f>ABS(F$5-(6-'4JSON'!F67))</f>
        <v>1</v>
      </c>
      <c r="G73" s="41">
        <f>ABS(G$5-(6-'4JSON'!G67))</f>
        <v>1</v>
      </c>
      <c r="H73" s="41">
        <f>ABS(H$5-(6-'4JSON'!H67))</f>
        <v>2</v>
      </c>
      <c r="I73" s="41">
        <f>ABS(I$5-(6-'4JSON'!I67))</f>
        <v>0</v>
      </c>
      <c r="J73" s="41">
        <f>ABS(J$5-(6-'4JSON'!J67))</f>
        <v>0</v>
      </c>
      <c r="K73" s="41">
        <f>ABS(K$5-(6-'4JSON'!K67))</f>
        <v>0</v>
      </c>
      <c r="L73" s="41">
        <f>ABS(L$5-(6-'4JSON'!L67))</f>
        <v>0</v>
      </c>
      <c r="M73" s="36">
        <f t="shared" si="1"/>
        <v>5</v>
      </c>
      <c r="N73" s="42">
        <f t="shared" si="2"/>
        <v>0.8611111111</v>
      </c>
      <c r="S73" s="35">
        <f>IFERROR(__xludf.DUMMYFUNCTION("""COMPUTED_VALUE"""),9461.0)</f>
        <v>9461</v>
      </c>
    </row>
    <row r="74">
      <c r="A74" s="35">
        <f>'4JSON'!A68</f>
        <v>7284</v>
      </c>
      <c r="B74" s="25" t="str">
        <f>'4JSON'!B68</f>
        <v>Lathers</v>
      </c>
      <c r="C74" s="41" t="str">
        <f>'4JSON'!C68</f>
        <v>Plasterers, drywall installers and finishers and lathers</v>
      </c>
      <c r="D74" s="41">
        <f>ABS(D$5-(6-'4JSON'!D68))</f>
        <v>1</v>
      </c>
      <c r="E74" s="41">
        <f>ABS(E$5-(6-'4JSON'!E68))</f>
        <v>1</v>
      </c>
      <c r="F74" s="41">
        <f>ABS(F$5-(6-'4JSON'!F68))</f>
        <v>1</v>
      </c>
      <c r="G74" s="41">
        <f>ABS(G$5-(6-'4JSON'!G68))</f>
        <v>0</v>
      </c>
      <c r="H74" s="41">
        <f>ABS(H$5-(6-'4JSON'!H68))</f>
        <v>2</v>
      </c>
      <c r="I74" s="41">
        <f>ABS(I$5-(6-'4JSON'!I68))</f>
        <v>1</v>
      </c>
      <c r="J74" s="41">
        <f>ABS(J$5-(6-'4JSON'!J68))</f>
        <v>0</v>
      </c>
      <c r="K74" s="41">
        <f>ABS(K$5-(6-'4JSON'!K68))</f>
        <v>1</v>
      </c>
      <c r="L74" s="41">
        <f>ABS(L$5-(6-'4JSON'!L68))</f>
        <v>0</v>
      </c>
      <c r="M74" s="36">
        <f t="shared" si="1"/>
        <v>7</v>
      </c>
      <c r="N74" s="42">
        <f t="shared" si="2"/>
        <v>0.8055555556</v>
      </c>
      <c r="S74" s="35">
        <f>IFERROR(__xludf.DUMMYFUNCTION("""COMPUTED_VALUE"""),3212.0)</f>
        <v>3212</v>
      </c>
    </row>
    <row r="75">
      <c r="A75" s="35">
        <f>'4JSON'!A69</f>
        <v>7511</v>
      </c>
      <c r="B75" s="25" t="str">
        <f>'4JSON'!B69</f>
        <v>Line-Haul and Local Truck Drivers</v>
      </c>
      <c r="C75" s="41" t="str">
        <f>'4JSON'!C69</f>
        <v>Transport truck drivers</v>
      </c>
      <c r="D75" s="41">
        <f>ABS(D$5-(6-'4JSON'!D69))</f>
        <v>1</v>
      </c>
      <c r="E75" s="41">
        <f>ABS(E$5-(6-'4JSON'!E69))</f>
        <v>1</v>
      </c>
      <c r="F75" s="41">
        <f>ABS(F$5-(6-'4JSON'!F69))</f>
        <v>1</v>
      </c>
      <c r="G75" s="41">
        <f>ABS(G$5-(6-'4JSON'!G69))</f>
        <v>0</v>
      </c>
      <c r="H75" s="41">
        <f>ABS(H$5-(6-'4JSON'!H69))</f>
        <v>2</v>
      </c>
      <c r="I75" s="41">
        <f>ABS(I$5-(6-'4JSON'!I69))</f>
        <v>1</v>
      </c>
      <c r="J75" s="41">
        <f>ABS(J$5-(6-'4JSON'!J69))</f>
        <v>0</v>
      </c>
      <c r="K75" s="41">
        <f>ABS(K$5-(6-'4JSON'!K69))</f>
        <v>1</v>
      </c>
      <c r="L75" s="41">
        <f>ABS(L$5-(6-'4JSON'!L69))</f>
        <v>0</v>
      </c>
      <c r="M75" s="36">
        <f t="shared" si="1"/>
        <v>7</v>
      </c>
      <c r="N75" s="42">
        <f t="shared" si="2"/>
        <v>0.8055555556</v>
      </c>
      <c r="S75" s="35">
        <f>IFERROR(__xludf.DUMMYFUNCTION("""COMPUTED_VALUE"""),3216.0)</f>
        <v>3216</v>
      </c>
    </row>
    <row r="76">
      <c r="A76" s="35">
        <f>'4JSON'!A70</f>
        <v>7511</v>
      </c>
      <c r="B76" s="25" t="str">
        <f>'4JSON'!B70</f>
        <v>Long-Haul Truck Drivers</v>
      </c>
      <c r="C76" s="41" t="str">
        <f>'4JSON'!C70</f>
        <v>Transport truck drivers</v>
      </c>
      <c r="D76" s="41">
        <f>ABS(D$5-(6-'4JSON'!D70))</f>
        <v>1</v>
      </c>
      <c r="E76" s="41">
        <f>ABS(E$5-(6-'4JSON'!E70))</f>
        <v>1</v>
      </c>
      <c r="F76" s="41">
        <f>ABS(F$5-(6-'4JSON'!F70))</f>
        <v>1</v>
      </c>
      <c r="G76" s="41">
        <f>ABS(G$5-(6-'4JSON'!G70))</f>
        <v>0</v>
      </c>
      <c r="H76" s="41">
        <f>ABS(H$5-(6-'4JSON'!H70))</f>
        <v>2</v>
      </c>
      <c r="I76" s="41">
        <f>ABS(I$5-(6-'4JSON'!I70))</f>
        <v>1</v>
      </c>
      <c r="J76" s="41">
        <f>ABS(J$5-(6-'4JSON'!J70))</f>
        <v>0</v>
      </c>
      <c r="K76" s="41">
        <f>ABS(K$5-(6-'4JSON'!K70))</f>
        <v>1</v>
      </c>
      <c r="L76" s="41">
        <f>ABS(L$5-(6-'4JSON'!L70))</f>
        <v>0</v>
      </c>
      <c r="M76" s="36">
        <f t="shared" si="1"/>
        <v>7</v>
      </c>
      <c r="N76" s="42">
        <f t="shared" si="2"/>
        <v>0.8055555556</v>
      </c>
      <c r="S76" s="35">
        <f>IFERROR(__xludf.DUMMYFUNCTION("""COMPUTED_VALUE"""),9412.0)</f>
        <v>9412</v>
      </c>
    </row>
    <row r="77">
      <c r="A77" s="35">
        <f>'4JSON'!A71</f>
        <v>7316</v>
      </c>
      <c r="B77" s="25" t="str">
        <f>'4JSON'!B71</f>
        <v>Machine Fitters</v>
      </c>
      <c r="C77" s="41" t="str">
        <f>'4JSON'!C71</f>
        <v>Machine fitters</v>
      </c>
      <c r="D77" s="41">
        <f>ABS(D$5-(6-'4JSON'!D71))</f>
        <v>1</v>
      </c>
      <c r="E77" s="41">
        <f>ABS(E$5-(6-'4JSON'!E71))</f>
        <v>0</v>
      </c>
      <c r="F77" s="41">
        <f>ABS(F$5-(6-'4JSON'!F71))</f>
        <v>0</v>
      </c>
      <c r="G77" s="41">
        <f>ABS(G$5-(6-'4JSON'!G71))</f>
        <v>0</v>
      </c>
      <c r="H77" s="41">
        <f>ABS(H$5-(6-'4JSON'!H71))</f>
        <v>1</v>
      </c>
      <c r="I77" s="41">
        <f>ABS(I$5-(6-'4JSON'!I71))</f>
        <v>1</v>
      </c>
      <c r="J77" s="41">
        <f>ABS(J$5-(6-'4JSON'!J71))</f>
        <v>0</v>
      </c>
      <c r="K77" s="41">
        <f>ABS(K$5-(6-'4JSON'!K71))</f>
        <v>0</v>
      </c>
      <c r="L77" s="41">
        <f>ABS(L$5-(6-'4JSON'!L71))</f>
        <v>0</v>
      </c>
      <c r="M77" s="36">
        <f t="shared" si="1"/>
        <v>3</v>
      </c>
      <c r="N77" s="42">
        <f t="shared" si="2"/>
        <v>0.9166666667</v>
      </c>
      <c r="S77" s="35">
        <f>IFERROR(__xludf.DUMMYFUNCTION("""COMPUTED_VALUE"""),7232.0)</f>
        <v>7232</v>
      </c>
    </row>
    <row r="78">
      <c r="A78" s="35">
        <f>'4JSON'!A72</f>
        <v>7451</v>
      </c>
      <c r="B78" s="25" t="str">
        <f>'4JSON'!B72</f>
        <v>Longshore Workers</v>
      </c>
      <c r="C78" s="41" t="str">
        <f>'4JSON'!C72</f>
        <v>Longshore workers</v>
      </c>
      <c r="D78" s="41">
        <f>ABS(D$5-(6-'4JSON'!D72))</f>
        <v>1</v>
      </c>
      <c r="E78" s="41">
        <f>ABS(E$5-(6-'4JSON'!E72))</f>
        <v>1</v>
      </c>
      <c r="F78" s="41">
        <f>ABS(F$5-(6-'4JSON'!F72))</f>
        <v>1</v>
      </c>
      <c r="G78" s="41">
        <f>ABS(G$5-(6-'4JSON'!G72))</f>
        <v>0</v>
      </c>
      <c r="H78" s="41">
        <f>ABS(H$5-(6-'4JSON'!H72))</f>
        <v>2</v>
      </c>
      <c r="I78" s="41">
        <f>ABS(I$5-(6-'4JSON'!I72))</f>
        <v>1</v>
      </c>
      <c r="J78" s="41">
        <f>ABS(J$5-(6-'4JSON'!J72))</f>
        <v>0</v>
      </c>
      <c r="K78" s="41">
        <f>ABS(K$5-(6-'4JSON'!K72))</f>
        <v>1</v>
      </c>
      <c r="L78" s="41">
        <f>ABS(L$5-(6-'4JSON'!L72))</f>
        <v>0</v>
      </c>
      <c r="M78" s="36">
        <f t="shared" si="1"/>
        <v>7</v>
      </c>
      <c r="N78" s="42">
        <f t="shared" si="2"/>
        <v>0.8055555556</v>
      </c>
      <c r="S78" s="35">
        <f>IFERROR(__xludf.DUMMYFUNCTION("""COMPUTED_VALUE"""),2255.0)</f>
        <v>2255</v>
      </c>
    </row>
    <row r="79">
      <c r="A79" s="35">
        <f>'4JSON'!A73</f>
        <v>7231</v>
      </c>
      <c r="B79" s="25" t="str">
        <f>'4JSON'!B73</f>
        <v>Machining and Tooling Inspectors</v>
      </c>
      <c r="C79" s="41" t="str">
        <f>'4JSON'!C73</f>
        <v>Machinists and machining and tooling inspectors</v>
      </c>
      <c r="D79" s="41">
        <f>ABS(D$5-(6-'4JSON'!D73))</f>
        <v>1</v>
      </c>
      <c r="E79" s="41">
        <f>ABS(E$5-(6-'4JSON'!E73))</f>
        <v>0</v>
      </c>
      <c r="F79" s="41">
        <f>ABS(F$5-(6-'4JSON'!F73))</f>
        <v>0</v>
      </c>
      <c r="G79" s="41">
        <f>ABS(G$5-(6-'4JSON'!G73))</f>
        <v>0</v>
      </c>
      <c r="H79" s="41">
        <f>ABS(H$5-(6-'4JSON'!H73))</f>
        <v>0</v>
      </c>
      <c r="I79" s="41">
        <f>ABS(I$5-(6-'4JSON'!I73))</f>
        <v>0</v>
      </c>
      <c r="J79" s="41">
        <f>ABS(J$5-(6-'4JSON'!J73))</f>
        <v>0</v>
      </c>
      <c r="K79" s="41">
        <f>ABS(K$5-(6-'4JSON'!K73))</f>
        <v>0</v>
      </c>
      <c r="L79" s="41">
        <f>ABS(L$5-(6-'4JSON'!L73))</f>
        <v>0</v>
      </c>
      <c r="M79" s="36">
        <f t="shared" si="1"/>
        <v>1</v>
      </c>
      <c r="N79" s="42">
        <f t="shared" si="2"/>
        <v>0.9722222222</v>
      </c>
      <c r="S79" s="35">
        <f>IFERROR(__xludf.DUMMYFUNCTION("""COMPUTED_VALUE"""),9526.0)</f>
        <v>9526</v>
      </c>
    </row>
    <row r="80">
      <c r="A80" s="35">
        <f>'4JSON'!A74</f>
        <v>9417</v>
      </c>
      <c r="B80" s="25" t="str">
        <f>'4JSON'!B74</f>
        <v>Machining Tool Operators</v>
      </c>
      <c r="C80" s="41" t="str">
        <f>'4JSON'!C74</f>
        <v>Machining tool operators</v>
      </c>
      <c r="D80" s="41">
        <f>ABS(D$5-(6-'4JSON'!D74))</f>
        <v>1</v>
      </c>
      <c r="E80" s="41">
        <f>ABS(E$5-(6-'4JSON'!E74))</f>
        <v>0</v>
      </c>
      <c r="F80" s="41">
        <f>ABS(F$5-(6-'4JSON'!F74))</f>
        <v>0</v>
      </c>
      <c r="G80" s="41">
        <f>ABS(G$5-(6-'4JSON'!G74))</f>
        <v>0</v>
      </c>
      <c r="H80" s="41">
        <f>ABS(H$5-(6-'4JSON'!H74))</f>
        <v>1</v>
      </c>
      <c r="I80" s="41">
        <f>ABS(I$5-(6-'4JSON'!I74))</f>
        <v>1</v>
      </c>
      <c r="J80" s="41">
        <f>ABS(J$5-(6-'4JSON'!J74))</f>
        <v>0</v>
      </c>
      <c r="K80" s="41">
        <f>ABS(K$5-(6-'4JSON'!K74))</f>
        <v>0</v>
      </c>
      <c r="L80" s="41">
        <f>ABS(L$5-(6-'4JSON'!L74))</f>
        <v>0</v>
      </c>
      <c r="M80" s="36">
        <f t="shared" si="1"/>
        <v>3</v>
      </c>
      <c r="N80" s="42">
        <f t="shared" si="2"/>
        <v>0.9166666667</v>
      </c>
      <c r="S80" s="35">
        <f>IFERROR(__xludf.DUMMYFUNCTION("""COMPUTED_VALUE"""),7334.0)</f>
        <v>7334</v>
      </c>
    </row>
    <row r="81">
      <c r="A81" s="35">
        <f>'4JSON'!A75</f>
        <v>7231</v>
      </c>
      <c r="B81" s="25" t="str">
        <f>'4JSON'!B75</f>
        <v>Machinists</v>
      </c>
      <c r="C81" s="41" t="str">
        <f>'4JSON'!C75</f>
        <v>Machinists and machining and tooling inspectors</v>
      </c>
      <c r="D81" s="41">
        <f>ABS(D$5-(6-'4JSON'!D75))</f>
        <v>1</v>
      </c>
      <c r="E81" s="41">
        <f>ABS(E$5-(6-'4JSON'!E75))</f>
        <v>0</v>
      </c>
      <c r="F81" s="41">
        <f>ABS(F$5-(6-'4JSON'!F75))</f>
        <v>0</v>
      </c>
      <c r="G81" s="41">
        <f>ABS(G$5-(6-'4JSON'!G75))</f>
        <v>1</v>
      </c>
      <c r="H81" s="41">
        <f>ABS(H$5-(6-'4JSON'!H75))</f>
        <v>0</v>
      </c>
      <c r="I81" s="41">
        <f>ABS(I$5-(6-'4JSON'!I75))</f>
        <v>1</v>
      </c>
      <c r="J81" s="41">
        <f>ABS(J$5-(6-'4JSON'!J75))</f>
        <v>0</v>
      </c>
      <c r="K81" s="41">
        <f>ABS(K$5-(6-'4JSON'!K75))</f>
        <v>1</v>
      </c>
      <c r="L81" s="41">
        <f>ABS(L$5-(6-'4JSON'!L75))</f>
        <v>1</v>
      </c>
      <c r="M81" s="36">
        <f t="shared" si="1"/>
        <v>5</v>
      </c>
      <c r="N81" s="42">
        <f t="shared" si="2"/>
        <v>0.8611111111</v>
      </c>
      <c r="S81" s="35">
        <f>IFERROR(__xludf.DUMMYFUNCTION("""COMPUTED_VALUE"""),5133.0)</f>
        <v>5133</v>
      </c>
    </row>
    <row r="82">
      <c r="A82" s="35">
        <f>'4JSON'!A76</f>
        <v>7332</v>
      </c>
      <c r="B82" s="25" t="str">
        <f>'4JSON'!B76</f>
        <v>Major Appliance Repairers/Technicians</v>
      </c>
      <c r="C82" s="41" t="str">
        <f>'4JSON'!C76</f>
        <v>Appliance servicers and repairers</v>
      </c>
      <c r="D82" s="41">
        <f>ABS(D$5-(6-'4JSON'!D76))</f>
        <v>1</v>
      </c>
      <c r="E82" s="41">
        <f>ABS(E$5-(6-'4JSON'!E76))</f>
        <v>0</v>
      </c>
      <c r="F82" s="41">
        <f>ABS(F$5-(6-'4JSON'!F76))</f>
        <v>0</v>
      </c>
      <c r="G82" s="41">
        <f>ABS(G$5-(6-'4JSON'!G76))</f>
        <v>0</v>
      </c>
      <c r="H82" s="41">
        <f>ABS(H$5-(6-'4JSON'!H76))</f>
        <v>1</v>
      </c>
      <c r="I82" s="41">
        <f>ABS(I$5-(6-'4JSON'!I76))</f>
        <v>1</v>
      </c>
      <c r="J82" s="41">
        <f>ABS(J$5-(6-'4JSON'!J76))</f>
        <v>0</v>
      </c>
      <c r="K82" s="41">
        <f>ABS(K$5-(6-'4JSON'!K76))</f>
        <v>0</v>
      </c>
      <c r="L82" s="41">
        <f>ABS(L$5-(6-'4JSON'!L76))</f>
        <v>0</v>
      </c>
      <c r="M82" s="36">
        <f t="shared" si="1"/>
        <v>3</v>
      </c>
      <c r="N82" s="42">
        <f t="shared" si="2"/>
        <v>0.9166666667</v>
      </c>
      <c r="S82" s="35">
        <f>IFERROR(__xludf.DUMMYFUNCTION("""COMPUTED_VALUE"""),3012.0)</f>
        <v>3012</v>
      </c>
    </row>
    <row r="83">
      <c r="A83" s="35">
        <f>'4JSON'!A77</f>
        <v>5226</v>
      </c>
      <c r="B83" s="25" t="str">
        <f>'4JSON'!B77</f>
        <v>Make-Up Artists</v>
      </c>
      <c r="C83" s="41" t="str">
        <f>'4JSON'!C77</f>
        <v>Other technical and co-ordinating occupations in motion pictures, broadcasting and the performing arts</v>
      </c>
      <c r="D83" s="41">
        <f>ABS(D$5-(6-'4JSON'!D77))</f>
        <v>1</v>
      </c>
      <c r="E83" s="41">
        <f>ABS(E$5-(6-'4JSON'!E77))</f>
        <v>0</v>
      </c>
      <c r="F83" s="41">
        <f>ABS(F$5-(6-'4JSON'!F77))</f>
        <v>1</v>
      </c>
      <c r="G83" s="41">
        <f>ABS(G$5-(6-'4JSON'!G77))</f>
        <v>0</v>
      </c>
      <c r="H83" s="41">
        <f>ABS(H$5-(6-'4JSON'!H77))</f>
        <v>0</v>
      </c>
      <c r="I83" s="41">
        <f>ABS(I$5-(6-'4JSON'!I77))</f>
        <v>1</v>
      </c>
      <c r="J83" s="41">
        <f>ABS(J$5-(6-'4JSON'!J77))</f>
        <v>0</v>
      </c>
      <c r="K83" s="41">
        <f>ABS(K$5-(6-'4JSON'!K77))</f>
        <v>0</v>
      </c>
      <c r="L83" s="41">
        <f>ABS(L$5-(6-'4JSON'!L77))</f>
        <v>0</v>
      </c>
      <c r="M83" s="36">
        <f t="shared" si="1"/>
        <v>3</v>
      </c>
      <c r="N83" s="42">
        <f t="shared" si="2"/>
        <v>0.9166666667</v>
      </c>
      <c r="S83" s="35">
        <f>IFERROR(__xludf.DUMMYFUNCTION("""COMPUTED_VALUE"""),3143.0)</f>
        <v>3143</v>
      </c>
    </row>
    <row r="84">
      <c r="A84" s="35">
        <f>'4JSON'!A78</f>
        <v>2232</v>
      </c>
      <c r="B84" s="25" t="str">
        <f>'4JSON'!B78</f>
        <v>Mechanical Engineering Technologists</v>
      </c>
      <c r="C84" s="41" t="str">
        <f>'4JSON'!C78</f>
        <v>Mechanical engineering technologists and technicians</v>
      </c>
      <c r="D84" s="41">
        <f>ABS(D$5-(6-'4JSON'!D78))</f>
        <v>2</v>
      </c>
      <c r="E84" s="41">
        <f>ABS(E$5-(6-'4JSON'!E78))</f>
        <v>1</v>
      </c>
      <c r="F84" s="41">
        <f>ABS(F$5-(6-'4JSON'!F78))</f>
        <v>1</v>
      </c>
      <c r="G84" s="41">
        <f>ABS(G$5-(6-'4JSON'!G78))</f>
        <v>1</v>
      </c>
      <c r="H84" s="41">
        <f>ABS(H$5-(6-'4JSON'!H78))</f>
        <v>0</v>
      </c>
      <c r="I84" s="41">
        <f>ABS(I$5-(6-'4JSON'!I78))</f>
        <v>0</v>
      </c>
      <c r="J84" s="41">
        <f>ABS(J$5-(6-'4JSON'!J78))</f>
        <v>0</v>
      </c>
      <c r="K84" s="41">
        <f>ABS(K$5-(6-'4JSON'!K78))</f>
        <v>0</v>
      </c>
      <c r="L84" s="41">
        <f>ABS(L$5-(6-'4JSON'!L78))</f>
        <v>0</v>
      </c>
      <c r="M84" s="36">
        <f t="shared" si="1"/>
        <v>5</v>
      </c>
      <c r="N84" s="42">
        <f t="shared" si="2"/>
        <v>0.8611111111</v>
      </c>
      <c r="S84" s="35">
        <f>IFERROR(__xludf.DUMMYFUNCTION("""COMPUTED_VALUE"""),3219.0)</f>
        <v>3219</v>
      </c>
    </row>
    <row r="85">
      <c r="A85" s="35">
        <f>'4JSON'!A79</f>
        <v>9461</v>
      </c>
      <c r="B85" s="25" t="str">
        <f>'4JSON'!B79</f>
        <v>Machine Operators, Food and Beverage Processing</v>
      </c>
      <c r="C85" s="41" t="str">
        <f>'4JSON'!C79</f>
        <v>Process control and machine operators, food, beverage and associated products processing</v>
      </c>
      <c r="D85" s="41">
        <f>ABS(D$5-(6-'4JSON'!D79))</f>
        <v>1</v>
      </c>
      <c r="E85" s="41">
        <f>ABS(E$5-(6-'4JSON'!E79))</f>
        <v>1</v>
      </c>
      <c r="F85" s="41">
        <f>ABS(F$5-(6-'4JSON'!F79))</f>
        <v>1</v>
      </c>
      <c r="G85" s="41">
        <f>ABS(G$5-(6-'4JSON'!G79))</f>
        <v>1</v>
      </c>
      <c r="H85" s="41">
        <f>ABS(H$5-(6-'4JSON'!H79))</f>
        <v>1</v>
      </c>
      <c r="I85" s="41">
        <f>ABS(I$5-(6-'4JSON'!I79))</f>
        <v>1</v>
      </c>
      <c r="J85" s="41">
        <f>ABS(J$5-(6-'4JSON'!J79))</f>
        <v>0</v>
      </c>
      <c r="K85" s="41">
        <f>ABS(K$5-(6-'4JSON'!K79))</f>
        <v>1</v>
      </c>
      <c r="L85" s="41">
        <f>ABS(L$5-(6-'4JSON'!L79))</f>
        <v>0</v>
      </c>
      <c r="M85" s="36">
        <f t="shared" si="1"/>
        <v>7</v>
      </c>
      <c r="N85" s="42">
        <f t="shared" si="2"/>
        <v>0.8055555556</v>
      </c>
      <c r="S85" s="35">
        <f>IFERROR(__xludf.DUMMYFUNCTION("""COMPUTED_VALUE"""),3237.0)</f>
        <v>3237</v>
      </c>
    </row>
    <row r="86">
      <c r="A86" s="35">
        <f>'4JSON'!A80</f>
        <v>3212</v>
      </c>
      <c r="B86" s="25" t="str">
        <f>'4JSON'!B80</f>
        <v>Medical Laboratory Technicians</v>
      </c>
      <c r="C86" s="41" t="str">
        <f>'4JSON'!C80</f>
        <v>Medical laboratory technicians and pathologists' assistants</v>
      </c>
      <c r="D86" s="41">
        <f>ABS(D$5-(6-'4JSON'!D80))</f>
        <v>1</v>
      </c>
      <c r="E86" s="41">
        <f>ABS(E$5-(6-'4JSON'!E80))</f>
        <v>0</v>
      </c>
      <c r="F86" s="41">
        <f>ABS(F$5-(6-'4JSON'!F80))</f>
        <v>0</v>
      </c>
      <c r="G86" s="41">
        <f>ABS(G$5-(6-'4JSON'!G80))</f>
        <v>1</v>
      </c>
      <c r="H86" s="41">
        <f>ABS(H$5-(6-'4JSON'!H80))</f>
        <v>1</v>
      </c>
      <c r="I86" s="41">
        <f>ABS(I$5-(6-'4JSON'!I80))</f>
        <v>0</v>
      </c>
      <c r="J86" s="41">
        <f>ABS(J$5-(6-'4JSON'!J80))</f>
        <v>0</v>
      </c>
      <c r="K86" s="41">
        <f>ABS(K$5-(6-'4JSON'!K80))</f>
        <v>0</v>
      </c>
      <c r="L86" s="41">
        <f>ABS(L$5-(6-'4JSON'!L80))</f>
        <v>0</v>
      </c>
      <c r="M86" s="36">
        <f t="shared" si="1"/>
        <v>3</v>
      </c>
      <c r="N86" s="42">
        <f t="shared" si="2"/>
        <v>0.9166666667</v>
      </c>
      <c r="S86" s="35">
        <f>IFERROR(__xludf.DUMMYFUNCTION("""COMPUTED_VALUE"""),3121.0)</f>
        <v>3121</v>
      </c>
    </row>
    <row r="87">
      <c r="A87" s="35">
        <f>'4JSON'!A81</f>
        <v>3216</v>
      </c>
      <c r="B87" s="25" t="str">
        <f>'4JSON'!B81</f>
        <v>Medical Sonographers</v>
      </c>
      <c r="C87" s="41" t="str">
        <f>'4JSON'!C81</f>
        <v>Medical sonographers</v>
      </c>
      <c r="D87" s="41">
        <f>ABS(D$5-(6-'4JSON'!D81))</f>
        <v>1</v>
      </c>
      <c r="E87" s="41">
        <f>ABS(E$5-(6-'4JSON'!E81))</f>
        <v>0</v>
      </c>
      <c r="F87" s="41">
        <f>ABS(F$5-(6-'4JSON'!F81))</f>
        <v>0</v>
      </c>
      <c r="G87" s="41">
        <f>ABS(G$5-(6-'4JSON'!G81))</f>
        <v>0</v>
      </c>
      <c r="H87" s="41">
        <f>ABS(H$5-(6-'4JSON'!H81))</f>
        <v>1</v>
      </c>
      <c r="I87" s="41">
        <f>ABS(I$5-(6-'4JSON'!I81))</f>
        <v>1</v>
      </c>
      <c r="J87" s="41">
        <f>ABS(J$5-(6-'4JSON'!J81))</f>
        <v>0</v>
      </c>
      <c r="K87" s="41">
        <f>ABS(K$5-(6-'4JSON'!K81))</f>
        <v>0</v>
      </c>
      <c r="L87" s="41">
        <f>ABS(L$5-(6-'4JSON'!L81))</f>
        <v>0</v>
      </c>
      <c r="M87" s="36">
        <f t="shared" si="1"/>
        <v>3</v>
      </c>
      <c r="N87" s="42">
        <f t="shared" si="2"/>
        <v>0.9166666667</v>
      </c>
      <c r="S87" s="35">
        <f>IFERROR(__xludf.DUMMYFUNCTION("""COMPUTED_VALUE"""),6532.0)</f>
        <v>6532</v>
      </c>
    </row>
    <row r="88">
      <c r="A88" s="35">
        <f>'4JSON'!A82</f>
        <v>9412</v>
      </c>
      <c r="B88" s="25" t="str">
        <f>'4JSON'!B82</f>
        <v>Metal Mould Makers</v>
      </c>
      <c r="C88" s="41" t="str">
        <f>'4JSON'!C82</f>
        <v>Foundry workers</v>
      </c>
      <c r="D88" s="41">
        <f>ABS(D$5-(6-'4JSON'!D82))</f>
        <v>1</v>
      </c>
      <c r="E88" s="41">
        <f>ABS(E$5-(6-'4JSON'!E82))</f>
        <v>0</v>
      </c>
      <c r="F88" s="41">
        <f>ABS(F$5-(6-'4JSON'!F82))</f>
        <v>0</v>
      </c>
      <c r="G88" s="41">
        <f>ABS(G$5-(6-'4JSON'!G82))</f>
        <v>1</v>
      </c>
      <c r="H88" s="41">
        <f>ABS(H$5-(6-'4JSON'!H82))</f>
        <v>0</v>
      </c>
      <c r="I88" s="41">
        <f>ABS(I$5-(6-'4JSON'!I82))</f>
        <v>1</v>
      </c>
      <c r="J88" s="41">
        <f>ABS(J$5-(6-'4JSON'!J82))</f>
        <v>0</v>
      </c>
      <c r="K88" s="41">
        <f>ABS(K$5-(6-'4JSON'!K82))</f>
        <v>1</v>
      </c>
      <c r="L88" s="41">
        <f>ABS(L$5-(6-'4JSON'!L82))</f>
        <v>1</v>
      </c>
      <c r="M88" s="36">
        <f t="shared" si="1"/>
        <v>5</v>
      </c>
      <c r="N88" s="42">
        <f t="shared" si="2"/>
        <v>0.8611111111</v>
      </c>
      <c r="S88" s="35">
        <f>IFERROR(__xludf.DUMMYFUNCTION("""COMPUTED_VALUE"""),9536.0)</f>
        <v>9536</v>
      </c>
    </row>
    <row r="89">
      <c r="A89" s="35">
        <f>'4JSON'!A83</f>
        <v>7232</v>
      </c>
      <c r="B89" s="25" t="str">
        <f>'4JSON'!B83</f>
        <v>Metal Patternmakers</v>
      </c>
      <c r="C89" s="41" t="str">
        <f>'4JSON'!C83</f>
        <v>Tool and die makers</v>
      </c>
      <c r="D89" s="41">
        <f>ABS(D$5-(6-'4JSON'!D83))</f>
        <v>1</v>
      </c>
      <c r="E89" s="41">
        <f>ABS(E$5-(6-'4JSON'!E83))</f>
        <v>0</v>
      </c>
      <c r="F89" s="41">
        <f>ABS(F$5-(6-'4JSON'!F83))</f>
        <v>0</v>
      </c>
      <c r="G89" s="41">
        <f>ABS(G$5-(6-'4JSON'!G83))</f>
        <v>1</v>
      </c>
      <c r="H89" s="41">
        <f>ABS(H$5-(6-'4JSON'!H83))</f>
        <v>0</v>
      </c>
      <c r="I89" s="41">
        <f>ABS(I$5-(6-'4JSON'!I83))</f>
        <v>1</v>
      </c>
      <c r="J89" s="41">
        <f>ABS(J$5-(6-'4JSON'!J83))</f>
        <v>0</v>
      </c>
      <c r="K89" s="41">
        <f>ABS(K$5-(6-'4JSON'!K83))</f>
        <v>1</v>
      </c>
      <c r="L89" s="41">
        <f>ABS(L$5-(6-'4JSON'!L83))</f>
        <v>1</v>
      </c>
      <c r="M89" s="36">
        <f t="shared" si="1"/>
        <v>5</v>
      </c>
      <c r="N89" s="42">
        <f t="shared" si="2"/>
        <v>0.8611111111</v>
      </c>
      <c r="S89" s="35">
        <f>IFERROR(__xludf.DUMMYFUNCTION("""COMPUTED_VALUE"""),9433.0)</f>
        <v>9433</v>
      </c>
    </row>
    <row r="90">
      <c r="A90" s="35">
        <f>'4JSON'!A84</f>
        <v>2255</v>
      </c>
      <c r="B90" s="25" t="str">
        <f>'4JSON'!B84</f>
        <v>Meteorological Technicians</v>
      </c>
      <c r="C90" s="41" t="str">
        <f>'4JSON'!C84</f>
        <v>Technical occupations in geomatics and meteorology</v>
      </c>
      <c r="D90" s="41">
        <f>ABS(D$5-(6-'4JSON'!D84))</f>
        <v>1</v>
      </c>
      <c r="E90" s="41">
        <f>ABS(E$5-(6-'4JSON'!E84))</f>
        <v>0</v>
      </c>
      <c r="F90" s="41">
        <f>ABS(F$5-(6-'4JSON'!F84))</f>
        <v>0</v>
      </c>
      <c r="G90" s="41">
        <f>ABS(G$5-(6-'4JSON'!G84))</f>
        <v>0</v>
      </c>
      <c r="H90" s="41">
        <f>ABS(H$5-(6-'4JSON'!H84))</f>
        <v>1</v>
      </c>
      <c r="I90" s="41">
        <f>ABS(I$5-(6-'4JSON'!I84))</f>
        <v>1</v>
      </c>
      <c r="J90" s="41">
        <f>ABS(J$5-(6-'4JSON'!J84))</f>
        <v>0</v>
      </c>
      <c r="K90" s="41">
        <f>ABS(K$5-(6-'4JSON'!K84))</f>
        <v>0</v>
      </c>
      <c r="L90" s="41">
        <f>ABS(L$5-(6-'4JSON'!L84))</f>
        <v>0</v>
      </c>
      <c r="M90" s="36">
        <f t="shared" si="1"/>
        <v>3</v>
      </c>
      <c r="N90" s="42">
        <f t="shared" si="2"/>
        <v>0.9166666667</v>
      </c>
      <c r="S90" s="35">
        <f>IFERROR(__xludf.DUMMYFUNCTION("""COMPUTED_VALUE"""),5221.0)</f>
        <v>5221</v>
      </c>
    </row>
    <row r="91">
      <c r="A91" s="35">
        <f>'4JSON'!A85</f>
        <v>6342</v>
      </c>
      <c r="B91" s="25" t="str">
        <f>'4JSON'!B85</f>
        <v>Milliners</v>
      </c>
      <c r="C91" s="41" t="str">
        <f>'4JSON'!C85</f>
        <v>Tailors, dressmakers, furriers and milliners</v>
      </c>
      <c r="D91" s="41">
        <f>ABS(D$5-(6-'4JSON'!D85))</f>
        <v>1</v>
      </c>
      <c r="E91" s="41">
        <f>ABS(E$5-(6-'4JSON'!E85))</f>
        <v>0</v>
      </c>
      <c r="F91" s="41">
        <f>ABS(F$5-(6-'4JSON'!F85))</f>
        <v>1</v>
      </c>
      <c r="G91" s="41">
        <f>ABS(G$5-(6-'4JSON'!G85))</f>
        <v>0</v>
      </c>
      <c r="H91" s="41">
        <f>ABS(H$5-(6-'4JSON'!H85))</f>
        <v>1</v>
      </c>
      <c r="I91" s="41">
        <f>ABS(I$5-(6-'4JSON'!I85))</f>
        <v>1</v>
      </c>
      <c r="J91" s="41">
        <f>ABS(J$5-(6-'4JSON'!J85))</f>
        <v>0</v>
      </c>
      <c r="K91" s="41">
        <f>ABS(K$5-(6-'4JSON'!K85))</f>
        <v>1</v>
      </c>
      <c r="L91" s="41">
        <f>ABS(L$5-(6-'4JSON'!L85))</f>
        <v>0</v>
      </c>
      <c r="M91" s="36">
        <f t="shared" si="1"/>
        <v>5</v>
      </c>
      <c r="N91" s="42">
        <f t="shared" si="2"/>
        <v>0.8611111111</v>
      </c>
      <c r="S91" s="35">
        <f>IFERROR(__xludf.DUMMYFUNCTION("""COMPUTED_VALUE"""),3142.0)</f>
        <v>3142</v>
      </c>
    </row>
    <row r="92">
      <c r="A92" s="35">
        <f>'4JSON'!A86</f>
        <v>9526</v>
      </c>
      <c r="B92" s="25" t="str">
        <f>'4JSON'!B86</f>
        <v>Mechanical Inspectors</v>
      </c>
      <c r="C92" s="41" t="str">
        <f>'4JSON'!C86</f>
        <v>Mechanical assemblers and inspectors</v>
      </c>
      <c r="D92" s="41">
        <f>ABS(D$5-(6-'4JSON'!D86))</f>
        <v>1</v>
      </c>
      <c r="E92" s="41">
        <f>ABS(E$5-(6-'4JSON'!E86))</f>
        <v>1</v>
      </c>
      <c r="F92" s="41">
        <f>ABS(F$5-(6-'4JSON'!F86))</f>
        <v>1</v>
      </c>
      <c r="G92" s="41">
        <f>ABS(G$5-(6-'4JSON'!G86))</f>
        <v>1</v>
      </c>
      <c r="H92" s="41">
        <f>ABS(H$5-(6-'4JSON'!H86))</f>
        <v>1</v>
      </c>
      <c r="I92" s="41">
        <f>ABS(I$5-(6-'4JSON'!I86))</f>
        <v>1</v>
      </c>
      <c r="J92" s="41">
        <f>ABS(J$5-(6-'4JSON'!J86))</f>
        <v>0</v>
      </c>
      <c r="K92" s="41">
        <f>ABS(K$5-(6-'4JSON'!K86))</f>
        <v>1</v>
      </c>
      <c r="L92" s="41">
        <f>ABS(L$5-(6-'4JSON'!L86))</f>
        <v>0</v>
      </c>
      <c r="M92" s="36">
        <f t="shared" si="1"/>
        <v>7</v>
      </c>
      <c r="N92" s="42">
        <f t="shared" si="2"/>
        <v>0.8055555556</v>
      </c>
      <c r="S92" s="35">
        <f>IFERROR(__xludf.DUMMYFUNCTION("""COMPUTED_VALUE"""),3414.0)</f>
        <v>3414</v>
      </c>
    </row>
    <row r="93">
      <c r="A93" s="35">
        <f>'4JSON'!A87</f>
        <v>7334</v>
      </c>
      <c r="B93" s="25" t="str">
        <f>'4JSON'!B87</f>
        <v>Motorcycle and Other Related Mechanics</v>
      </c>
      <c r="C93" s="41" t="str">
        <f>'4JSON'!C87</f>
        <v>Motorcycle, all-terrain vehicle and other related mechanics</v>
      </c>
      <c r="D93" s="41">
        <f>ABS(D$5-(6-'4JSON'!D87))</f>
        <v>1</v>
      </c>
      <c r="E93" s="41">
        <f>ABS(E$5-(6-'4JSON'!E87))</f>
        <v>0</v>
      </c>
      <c r="F93" s="41">
        <f>ABS(F$5-(6-'4JSON'!F87))</f>
        <v>0</v>
      </c>
      <c r="G93" s="41">
        <f>ABS(G$5-(6-'4JSON'!G87))</f>
        <v>0</v>
      </c>
      <c r="H93" s="41">
        <f>ABS(H$5-(6-'4JSON'!H87))</f>
        <v>1</v>
      </c>
      <c r="I93" s="41">
        <f>ABS(I$5-(6-'4JSON'!I87))</f>
        <v>1</v>
      </c>
      <c r="J93" s="41">
        <f>ABS(J$5-(6-'4JSON'!J87))</f>
        <v>0</v>
      </c>
      <c r="K93" s="41">
        <f>ABS(K$5-(6-'4JSON'!K87))</f>
        <v>0</v>
      </c>
      <c r="L93" s="41">
        <f>ABS(L$5-(6-'4JSON'!L87))</f>
        <v>0</v>
      </c>
      <c r="M93" s="36">
        <f t="shared" si="1"/>
        <v>3</v>
      </c>
      <c r="N93" s="42">
        <f t="shared" si="2"/>
        <v>0.9166666667</v>
      </c>
      <c r="S93" s="35">
        <f>IFERROR(__xludf.DUMMYFUNCTION("""COMPUTED_VALUE"""),7243.0)</f>
        <v>7243</v>
      </c>
    </row>
    <row r="94">
      <c r="A94" s="35">
        <f>'4JSON'!A88</f>
        <v>9422</v>
      </c>
      <c r="B94" s="25" t="str">
        <f>'4JSON'!B88</f>
        <v>Mixing Machine Operators - Plastics Processing</v>
      </c>
      <c r="C94" s="41" t="str">
        <f>'4JSON'!C88</f>
        <v>Plastics processing machine operators</v>
      </c>
      <c r="D94" s="41">
        <f>ABS(D$5-(6-'4JSON'!D88))</f>
        <v>1</v>
      </c>
      <c r="E94" s="41">
        <f>ABS(E$5-(6-'4JSON'!E88))</f>
        <v>1</v>
      </c>
      <c r="F94" s="41">
        <f>ABS(F$5-(6-'4JSON'!F88))</f>
        <v>1</v>
      </c>
      <c r="G94" s="41">
        <f>ABS(G$5-(6-'4JSON'!G88))</f>
        <v>0</v>
      </c>
      <c r="H94" s="41">
        <f>ABS(H$5-(6-'4JSON'!H88))</f>
        <v>1</v>
      </c>
      <c r="I94" s="41">
        <f>ABS(I$5-(6-'4JSON'!I88))</f>
        <v>1</v>
      </c>
      <c r="J94" s="41">
        <f>ABS(J$5-(6-'4JSON'!J88))</f>
        <v>1</v>
      </c>
      <c r="K94" s="41">
        <f>ABS(K$5-(6-'4JSON'!K88))</f>
        <v>1</v>
      </c>
      <c r="L94" s="41">
        <f>ABS(L$5-(6-'4JSON'!L88))</f>
        <v>0</v>
      </c>
      <c r="M94" s="36">
        <f t="shared" si="1"/>
        <v>7</v>
      </c>
      <c r="N94" s="42">
        <f t="shared" si="2"/>
        <v>0.8055555556</v>
      </c>
      <c r="S94" s="35">
        <f>IFERROR(__xludf.DUMMYFUNCTION("""COMPUTED_VALUE"""),9472.0)</f>
        <v>9472</v>
      </c>
    </row>
    <row r="95">
      <c r="A95" s="35">
        <f>'4JSON'!A89</f>
        <v>5133</v>
      </c>
      <c r="B95" s="25" t="str">
        <f>'4JSON'!B89</f>
        <v>Musicians</v>
      </c>
      <c r="C95" s="41" t="str">
        <f>'4JSON'!C89</f>
        <v>Musicians and singers</v>
      </c>
      <c r="D95" s="41">
        <f>ABS(D$5-(6-'4JSON'!D89))</f>
        <v>2</v>
      </c>
      <c r="E95" s="41">
        <f>ABS(E$5-(6-'4JSON'!E89))</f>
        <v>1</v>
      </c>
      <c r="F95" s="41">
        <f>ABS(F$5-(6-'4JSON'!F89))</f>
        <v>0</v>
      </c>
      <c r="G95" s="41">
        <f>ABS(G$5-(6-'4JSON'!G89))</f>
        <v>1</v>
      </c>
      <c r="H95" s="41">
        <f>ABS(H$5-(6-'4JSON'!H89))</f>
        <v>1</v>
      </c>
      <c r="I95" s="41">
        <f>ABS(I$5-(6-'4JSON'!I89))</f>
        <v>0</v>
      </c>
      <c r="J95" s="41">
        <f>ABS(J$5-(6-'4JSON'!J89))</f>
        <v>1</v>
      </c>
      <c r="K95" s="41">
        <f>ABS(K$5-(6-'4JSON'!K89))</f>
        <v>2</v>
      </c>
      <c r="L95" s="41">
        <f>ABS(L$5-(6-'4JSON'!L89))</f>
        <v>1</v>
      </c>
      <c r="M95" s="36">
        <f t="shared" si="1"/>
        <v>9</v>
      </c>
      <c r="N95" s="42">
        <f t="shared" si="2"/>
        <v>0.75</v>
      </c>
      <c r="S95" s="35">
        <f>IFERROR(__xludf.DUMMYFUNCTION("""COMPUTED_VALUE"""),3215.0)</f>
        <v>3215</v>
      </c>
    </row>
    <row r="96">
      <c r="A96" s="35">
        <f>'4JSON'!A90</f>
        <v>3125</v>
      </c>
      <c r="B96" s="25" t="str">
        <f>'4JSON'!B90</f>
        <v>Naturopaths</v>
      </c>
      <c r="C96" s="41" t="str">
        <f>'4JSON'!C90</f>
        <v>Other professional occupations in health diagnosing and treating</v>
      </c>
      <c r="D96" s="41">
        <f>ABS(D$5-(6-'4JSON'!D90))</f>
        <v>2</v>
      </c>
      <c r="E96" s="41">
        <f>ABS(E$5-(6-'4JSON'!E90))</f>
        <v>1</v>
      </c>
      <c r="F96" s="41">
        <f>ABS(F$5-(6-'4JSON'!F90))</f>
        <v>0</v>
      </c>
      <c r="G96" s="41">
        <f>ABS(G$5-(6-'4JSON'!G90))</f>
        <v>0</v>
      </c>
      <c r="H96" s="41">
        <f>ABS(H$5-(6-'4JSON'!H90))</f>
        <v>1</v>
      </c>
      <c r="I96" s="41">
        <f>ABS(I$5-(6-'4JSON'!I90))</f>
        <v>1</v>
      </c>
      <c r="J96" s="41">
        <f>ABS(J$5-(6-'4JSON'!J90))</f>
        <v>0</v>
      </c>
      <c r="K96" s="41">
        <f>ABS(K$5-(6-'4JSON'!K90))</f>
        <v>0</v>
      </c>
      <c r="L96" s="41">
        <f>ABS(L$5-(6-'4JSON'!L90))</f>
        <v>0</v>
      </c>
      <c r="M96" s="36">
        <f t="shared" si="1"/>
        <v>5</v>
      </c>
      <c r="N96" s="42">
        <f t="shared" si="2"/>
        <v>0.8611111111</v>
      </c>
      <c r="S96" s="35">
        <f>IFERROR(__xludf.DUMMYFUNCTION("""COMPUTED_VALUE"""),7313.0)</f>
        <v>7313</v>
      </c>
    </row>
    <row r="97">
      <c r="A97" s="35">
        <f>'4JSON'!A91</f>
        <v>3012</v>
      </c>
      <c r="B97" s="25" t="str">
        <f>'4JSON'!B91</f>
        <v>Occupational Health Nurses</v>
      </c>
      <c r="C97" s="41" t="str">
        <f>'4JSON'!C91</f>
        <v>Registered nurses and registered psychiatric nurses</v>
      </c>
      <c r="D97" s="41">
        <f>ABS(D$5-(6-'4JSON'!D91))</f>
        <v>2</v>
      </c>
      <c r="E97" s="41">
        <f>ABS(E$5-(6-'4JSON'!E91))</f>
        <v>1</v>
      </c>
      <c r="F97" s="41">
        <f>ABS(F$5-(6-'4JSON'!F91))</f>
        <v>0</v>
      </c>
      <c r="G97" s="41">
        <f>ABS(G$5-(6-'4JSON'!G91))</f>
        <v>0</v>
      </c>
      <c r="H97" s="41">
        <f>ABS(H$5-(6-'4JSON'!H91))</f>
        <v>1</v>
      </c>
      <c r="I97" s="41">
        <f>ABS(I$5-(6-'4JSON'!I91))</f>
        <v>1</v>
      </c>
      <c r="J97" s="41">
        <f>ABS(J$5-(6-'4JSON'!J91))</f>
        <v>0</v>
      </c>
      <c r="K97" s="41">
        <f>ABS(K$5-(6-'4JSON'!K91))</f>
        <v>0</v>
      </c>
      <c r="L97" s="41">
        <f>ABS(L$5-(6-'4JSON'!L91))</f>
        <v>0</v>
      </c>
      <c r="M97" s="36">
        <f t="shared" si="1"/>
        <v>5</v>
      </c>
      <c r="N97" s="42">
        <f t="shared" si="2"/>
        <v>0.8611111111</v>
      </c>
      <c r="S97" s="35">
        <f>IFERROR(__xludf.DUMMYFUNCTION("""COMPUTED_VALUE"""),9431.0)</f>
        <v>9431</v>
      </c>
    </row>
    <row r="98">
      <c r="A98" s="35">
        <f>'4JSON'!A92</f>
        <v>3143</v>
      </c>
      <c r="B98" s="25" t="str">
        <f>'4JSON'!B92</f>
        <v>Occupational Therapists</v>
      </c>
      <c r="C98" s="41" t="str">
        <f>'4JSON'!C92</f>
        <v>Occupational therapists</v>
      </c>
      <c r="D98" s="41">
        <f>ABS(D$5-(6-'4JSON'!D92))</f>
        <v>2</v>
      </c>
      <c r="E98" s="41">
        <f>ABS(E$5-(6-'4JSON'!E92))</f>
        <v>1</v>
      </c>
      <c r="F98" s="41">
        <f>ABS(F$5-(6-'4JSON'!F92))</f>
        <v>0</v>
      </c>
      <c r="G98" s="41">
        <f>ABS(G$5-(6-'4JSON'!G92))</f>
        <v>0</v>
      </c>
      <c r="H98" s="41">
        <f>ABS(H$5-(6-'4JSON'!H92))</f>
        <v>1</v>
      </c>
      <c r="I98" s="41">
        <f>ABS(I$5-(6-'4JSON'!I92))</f>
        <v>0</v>
      </c>
      <c r="J98" s="41">
        <f>ABS(J$5-(6-'4JSON'!J92))</f>
        <v>1</v>
      </c>
      <c r="K98" s="41">
        <f>ABS(K$5-(6-'4JSON'!K92))</f>
        <v>0</v>
      </c>
      <c r="L98" s="41">
        <f>ABS(L$5-(6-'4JSON'!L92))</f>
        <v>0</v>
      </c>
      <c r="M98" s="36">
        <f t="shared" si="1"/>
        <v>5</v>
      </c>
      <c r="N98" s="42">
        <f t="shared" si="2"/>
        <v>0.8611111111</v>
      </c>
      <c r="S98" s="35">
        <f>IFERROR(__xludf.DUMMYFUNCTION("""COMPUTED_VALUE"""),1423.0)</f>
        <v>1423</v>
      </c>
    </row>
    <row r="99">
      <c r="A99" s="35">
        <f>'4JSON'!A93</f>
        <v>3219</v>
      </c>
      <c r="B99" s="25" t="str">
        <f>'4JSON'!B93</f>
        <v>Ocularists</v>
      </c>
      <c r="C99" s="41" t="str">
        <f>'4JSON'!C93</f>
        <v>Other medical technologists and technicians (except dental health)</v>
      </c>
      <c r="D99" s="41">
        <f>ABS(D$5-(6-'4JSON'!D93))</f>
        <v>2</v>
      </c>
      <c r="E99" s="41">
        <f>ABS(E$5-(6-'4JSON'!E93))</f>
        <v>0</v>
      </c>
      <c r="F99" s="41">
        <f>ABS(F$5-(6-'4JSON'!F93))</f>
        <v>0</v>
      </c>
      <c r="G99" s="41">
        <f>ABS(G$5-(6-'4JSON'!G93))</f>
        <v>1</v>
      </c>
      <c r="H99" s="41">
        <f>ABS(H$5-(6-'4JSON'!H93))</f>
        <v>0</v>
      </c>
      <c r="I99" s="41">
        <f>ABS(I$5-(6-'4JSON'!I93))</f>
        <v>1</v>
      </c>
      <c r="J99" s="41">
        <f>ABS(J$5-(6-'4JSON'!J93))</f>
        <v>0</v>
      </c>
      <c r="K99" s="41">
        <f>ABS(K$5-(6-'4JSON'!K93))</f>
        <v>1</v>
      </c>
      <c r="L99" s="41">
        <f>ABS(L$5-(6-'4JSON'!L93))</f>
        <v>0</v>
      </c>
      <c r="M99" s="36">
        <f t="shared" si="1"/>
        <v>5</v>
      </c>
      <c r="N99" s="42">
        <f t="shared" si="2"/>
        <v>0.8611111111</v>
      </c>
      <c r="S99" s="35">
        <f>IFERROR(__xludf.DUMMYFUNCTION("""COMPUTED_VALUE"""),6343.0)</f>
        <v>6343</v>
      </c>
    </row>
    <row r="100">
      <c r="A100" s="35">
        <f>'4JSON'!A94</f>
        <v>3237</v>
      </c>
      <c r="B100" s="25" t="str">
        <f>'4JSON'!B94</f>
        <v>Ophthalmic Medical Assistants</v>
      </c>
      <c r="C100" s="41" t="str">
        <f>'4JSON'!C94</f>
        <v>Other technical occupations in therapy and assessment</v>
      </c>
      <c r="D100" s="41">
        <f>ABS(D$5-(6-'4JSON'!D94))</f>
        <v>1</v>
      </c>
      <c r="E100" s="41">
        <f>ABS(E$5-(6-'4JSON'!E94))</f>
        <v>0</v>
      </c>
      <c r="F100" s="41">
        <f>ABS(F$5-(6-'4JSON'!F94))</f>
        <v>0</v>
      </c>
      <c r="G100" s="41">
        <f>ABS(G$5-(6-'4JSON'!G94))</f>
        <v>0</v>
      </c>
      <c r="H100" s="41">
        <f>ABS(H$5-(6-'4JSON'!H94))</f>
        <v>1</v>
      </c>
      <c r="I100" s="41">
        <f>ABS(I$5-(6-'4JSON'!I94))</f>
        <v>0</v>
      </c>
      <c r="J100" s="41">
        <f>ABS(J$5-(6-'4JSON'!J94))</f>
        <v>1</v>
      </c>
      <c r="K100" s="41">
        <f>ABS(K$5-(6-'4JSON'!K94))</f>
        <v>0</v>
      </c>
      <c r="L100" s="41">
        <f>ABS(L$5-(6-'4JSON'!L94))</f>
        <v>0</v>
      </c>
      <c r="M100" s="36">
        <f t="shared" si="1"/>
        <v>3</v>
      </c>
      <c r="N100" s="42">
        <f t="shared" si="2"/>
        <v>0.9166666667</v>
      </c>
      <c r="S100" s="35">
        <f>IFERROR(__xludf.DUMMYFUNCTION("""COMPUTED_VALUE"""),7252.0)</f>
        <v>7252</v>
      </c>
    </row>
    <row r="101">
      <c r="A101" s="35">
        <f>'4JSON'!A95</f>
        <v>3121</v>
      </c>
      <c r="B101" s="25" t="str">
        <f>'4JSON'!B95</f>
        <v>Optometrists</v>
      </c>
      <c r="C101" s="41" t="str">
        <f>'4JSON'!C95</f>
        <v>Optometrists</v>
      </c>
      <c r="D101" s="41">
        <f>ABS(D$5-(6-'4JSON'!D95))</f>
        <v>2</v>
      </c>
      <c r="E101" s="41">
        <f>ABS(E$5-(6-'4JSON'!E95))</f>
        <v>1</v>
      </c>
      <c r="F101" s="41">
        <f>ABS(F$5-(6-'4JSON'!F95))</f>
        <v>1</v>
      </c>
      <c r="G101" s="41">
        <f>ABS(G$5-(6-'4JSON'!G95))</f>
        <v>1</v>
      </c>
      <c r="H101" s="41">
        <f>ABS(H$5-(6-'4JSON'!H95))</f>
        <v>0</v>
      </c>
      <c r="I101" s="41">
        <f>ABS(I$5-(6-'4JSON'!I95))</f>
        <v>0</v>
      </c>
      <c r="J101" s="41">
        <f>ABS(J$5-(6-'4JSON'!J95))</f>
        <v>0</v>
      </c>
      <c r="K101" s="41">
        <f>ABS(K$5-(6-'4JSON'!K95))</f>
        <v>0</v>
      </c>
      <c r="L101" s="41">
        <f>ABS(L$5-(6-'4JSON'!L95))</f>
        <v>0</v>
      </c>
      <c r="M101" s="36">
        <f t="shared" si="1"/>
        <v>5</v>
      </c>
      <c r="N101" s="42">
        <f t="shared" si="2"/>
        <v>0.8611111111</v>
      </c>
      <c r="S101" s="35">
        <f>IFERROR(__xludf.DUMMYFUNCTION("""COMPUTED_VALUE"""),7304.0)</f>
        <v>7304</v>
      </c>
    </row>
    <row r="102">
      <c r="A102" s="35">
        <f>'4JSON'!A96</f>
        <v>6532</v>
      </c>
      <c r="B102" s="25" t="str">
        <f>'4JSON'!B96</f>
        <v>Outdoor Sport and Recreational Guides</v>
      </c>
      <c r="C102" s="41" t="str">
        <f>'4JSON'!C96</f>
        <v>Outdoor sport and recreational guides</v>
      </c>
      <c r="D102" s="41">
        <f>ABS(D$5-(6-'4JSON'!D96))</f>
        <v>1</v>
      </c>
      <c r="E102" s="41">
        <f>ABS(E$5-(6-'4JSON'!E96))</f>
        <v>0</v>
      </c>
      <c r="F102" s="41">
        <f>ABS(F$5-(6-'4JSON'!F96))</f>
        <v>1</v>
      </c>
      <c r="G102" s="41">
        <f>ABS(G$5-(6-'4JSON'!G96))</f>
        <v>0</v>
      </c>
      <c r="H102" s="41">
        <f>ABS(H$5-(6-'4JSON'!H96))</f>
        <v>1</v>
      </c>
      <c r="I102" s="41">
        <f>ABS(I$5-(6-'4JSON'!I96))</f>
        <v>1</v>
      </c>
      <c r="J102" s="41">
        <f>ABS(J$5-(6-'4JSON'!J96))</f>
        <v>0</v>
      </c>
      <c r="K102" s="41">
        <f>ABS(K$5-(6-'4JSON'!K96))</f>
        <v>1</v>
      </c>
      <c r="L102" s="41">
        <f>ABS(L$5-(6-'4JSON'!L96))</f>
        <v>0</v>
      </c>
      <c r="M102" s="36">
        <f t="shared" si="1"/>
        <v>5</v>
      </c>
      <c r="N102" s="42">
        <f t="shared" si="2"/>
        <v>0.8611111111</v>
      </c>
      <c r="S102" s="35">
        <f>IFERROR(__xludf.DUMMYFUNCTION("""COMPUTED_VALUE"""),7245.0)</f>
        <v>7245</v>
      </c>
    </row>
    <row r="103">
      <c r="A103" s="35">
        <f>'4JSON'!A97</f>
        <v>9422</v>
      </c>
      <c r="B103" s="25" t="str">
        <f>'4JSON'!B97</f>
        <v>Moulding Process Operators - Plastics Processing</v>
      </c>
      <c r="C103" s="41" t="str">
        <f>'4JSON'!C97</f>
        <v>Plastics processing machine operators</v>
      </c>
      <c r="D103" s="41">
        <f>ABS(D$5-(6-'4JSON'!D97))</f>
        <v>1</v>
      </c>
      <c r="E103" s="41">
        <f>ABS(E$5-(6-'4JSON'!E97))</f>
        <v>1</v>
      </c>
      <c r="F103" s="41">
        <f>ABS(F$5-(6-'4JSON'!F97))</f>
        <v>1</v>
      </c>
      <c r="G103" s="41">
        <f>ABS(G$5-(6-'4JSON'!G97))</f>
        <v>0</v>
      </c>
      <c r="H103" s="41">
        <f>ABS(H$5-(6-'4JSON'!H97))</f>
        <v>1</v>
      </c>
      <c r="I103" s="41">
        <f>ABS(I$5-(6-'4JSON'!I97))</f>
        <v>1</v>
      </c>
      <c r="J103" s="41">
        <f>ABS(J$5-(6-'4JSON'!J97))</f>
        <v>1</v>
      </c>
      <c r="K103" s="41">
        <f>ABS(K$5-(6-'4JSON'!K97))</f>
        <v>1</v>
      </c>
      <c r="L103" s="41">
        <f>ABS(L$5-(6-'4JSON'!L97))</f>
        <v>0</v>
      </c>
      <c r="M103" s="36">
        <f t="shared" si="1"/>
        <v>7</v>
      </c>
      <c r="N103" s="42">
        <f t="shared" si="2"/>
        <v>0.8055555556</v>
      </c>
      <c r="S103" s="35">
        <f>IFERROR(__xludf.DUMMYFUNCTION("""COMPUTED_VALUE"""),9446.0)</f>
        <v>9446</v>
      </c>
    </row>
    <row r="104">
      <c r="A104" s="35">
        <f>'4JSON'!A98</f>
        <v>9536</v>
      </c>
      <c r="B104" s="25" t="str">
        <f>'4JSON'!B98</f>
        <v>Painters and Coaters - Industrial</v>
      </c>
      <c r="C104" s="41" t="str">
        <f>'4JSON'!C98</f>
        <v>Industrial painters, coaters and metal finishing process operators</v>
      </c>
      <c r="D104" s="41">
        <f>ABS(D$5-(6-'4JSON'!D98))</f>
        <v>0</v>
      </c>
      <c r="E104" s="41">
        <f>ABS(E$5-(6-'4JSON'!E98))</f>
        <v>1</v>
      </c>
      <c r="F104" s="41">
        <f>ABS(F$5-(6-'4JSON'!F98))</f>
        <v>1</v>
      </c>
      <c r="G104" s="41">
        <f>ABS(G$5-(6-'4JSON'!G98))</f>
        <v>1</v>
      </c>
      <c r="H104" s="41">
        <f>ABS(H$5-(6-'4JSON'!H98))</f>
        <v>1</v>
      </c>
      <c r="I104" s="41">
        <f>ABS(I$5-(6-'4JSON'!I98))</f>
        <v>1</v>
      </c>
      <c r="J104" s="41">
        <f>ABS(J$5-(6-'4JSON'!J98))</f>
        <v>0</v>
      </c>
      <c r="K104" s="41">
        <f>ABS(K$5-(6-'4JSON'!K98))</f>
        <v>0</v>
      </c>
      <c r="L104" s="41">
        <f>ABS(L$5-(6-'4JSON'!L98))</f>
        <v>0</v>
      </c>
      <c r="M104" s="36">
        <f t="shared" si="1"/>
        <v>5</v>
      </c>
      <c r="N104" s="42">
        <f t="shared" si="2"/>
        <v>0.8611111111</v>
      </c>
      <c r="S104" s="35">
        <f>IFERROR(__xludf.DUMMYFUNCTION("""COMPUTED_VALUE"""),3114.0)</f>
        <v>3114</v>
      </c>
    </row>
    <row r="105">
      <c r="A105" s="35">
        <f>'4JSON'!A99</f>
        <v>9433</v>
      </c>
      <c r="B105" s="25" t="str">
        <f>'4JSON'!B99</f>
        <v>Papermaking and Finishing Machine Operators</v>
      </c>
      <c r="C105" s="41" t="str">
        <f>'4JSON'!C99</f>
        <v>Papermaking and finishing machine operators</v>
      </c>
      <c r="D105" s="41">
        <f>ABS(D$5-(6-'4JSON'!D99))</f>
        <v>0</v>
      </c>
      <c r="E105" s="41">
        <f>ABS(E$5-(6-'4JSON'!E99))</f>
        <v>1</v>
      </c>
      <c r="F105" s="41">
        <f>ABS(F$5-(6-'4JSON'!F99))</f>
        <v>1</v>
      </c>
      <c r="G105" s="41">
        <f>ABS(G$5-(6-'4JSON'!G99))</f>
        <v>0</v>
      </c>
      <c r="H105" s="41">
        <f>ABS(H$5-(6-'4JSON'!H99))</f>
        <v>1</v>
      </c>
      <c r="I105" s="41">
        <f>ABS(I$5-(6-'4JSON'!I99))</f>
        <v>1</v>
      </c>
      <c r="J105" s="41">
        <f>ABS(J$5-(6-'4JSON'!J99))</f>
        <v>0</v>
      </c>
      <c r="K105" s="41">
        <f>ABS(K$5-(6-'4JSON'!K99))</f>
        <v>1</v>
      </c>
      <c r="L105" s="41">
        <f>ABS(L$5-(6-'4JSON'!L99))</f>
        <v>0</v>
      </c>
      <c r="M105" s="36">
        <f t="shared" si="1"/>
        <v>5</v>
      </c>
      <c r="N105" s="42">
        <f t="shared" si="2"/>
        <v>0.8611111111</v>
      </c>
      <c r="S105" s="35">
        <f>IFERROR(__xludf.DUMMYFUNCTION("""COMPUTED_VALUE"""),6344.0)</f>
        <v>6344</v>
      </c>
    </row>
    <row r="106">
      <c r="A106" s="35">
        <f>'4JSON'!A100</f>
        <v>5221</v>
      </c>
      <c r="B106" s="25" t="str">
        <f>'4JSON'!B100</f>
        <v>Photographers</v>
      </c>
      <c r="C106" s="41" t="str">
        <f>'4JSON'!C100</f>
        <v>Photographers</v>
      </c>
      <c r="D106" s="41">
        <f>ABS(D$5-(6-'4JSON'!D100))</f>
        <v>1</v>
      </c>
      <c r="E106" s="41">
        <f>ABS(E$5-(6-'4JSON'!E100))</f>
        <v>0</v>
      </c>
      <c r="F106" s="41">
        <f>ABS(F$5-(6-'4JSON'!F100))</f>
        <v>0</v>
      </c>
      <c r="G106" s="41">
        <f>ABS(G$5-(6-'4JSON'!G100))</f>
        <v>1</v>
      </c>
      <c r="H106" s="41">
        <f>ABS(H$5-(6-'4JSON'!H100))</f>
        <v>0</v>
      </c>
      <c r="I106" s="41">
        <f>ABS(I$5-(6-'4JSON'!I100))</f>
        <v>1</v>
      </c>
      <c r="J106" s="41">
        <f>ABS(J$5-(6-'4JSON'!J100))</f>
        <v>0</v>
      </c>
      <c r="K106" s="41">
        <f>ABS(K$5-(6-'4JSON'!K100))</f>
        <v>0</v>
      </c>
      <c r="L106" s="41">
        <f>ABS(L$5-(6-'4JSON'!L100))</f>
        <v>0</v>
      </c>
      <c r="M106" s="36">
        <f t="shared" si="1"/>
        <v>3</v>
      </c>
      <c r="N106" s="42">
        <f t="shared" si="2"/>
        <v>0.9166666667</v>
      </c>
      <c r="S106" s="35">
        <f>IFERROR(__xludf.DUMMYFUNCTION("""COMPUTED_VALUE"""),3232.0)</f>
        <v>3232</v>
      </c>
    </row>
    <row r="107">
      <c r="A107" s="35">
        <f>'4JSON'!A101</f>
        <v>3142</v>
      </c>
      <c r="B107" s="25" t="str">
        <f>'4JSON'!B101</f>
        <v>Physiotherapists</v>
      </c>
      <c r="C107" s="41" t="str">
        <f>'4JSON'!C101</f>
        <v>Physiotherapists</v>
      </c>
      <c r="D107" s="41">
        <f>ABS(D$5-(6-'4JSON'!D101))</f>
        <v>2</v>
      </c>
      <c r="E107" s="41">
        <f>ABS(E$5-(6-'4JSON'!E101))</f>
        <v>1</v>
      </c>
      <c r="F107" s="41">
        <f>ABS(F$5-(6-'4JSON'!F101))</f>
        <v>0</v>
      </c>
      <c r="G107" s="41">
        <f>ABS(G$5-(6-'4JSON'!G101))</f>
        <v>0</v>
      </c>
      <c r="H107" s="41">
        <f>ABS(H$5-(6-'4JSON'!H101))</f>
        <v>1</v>
      </c>
      <c r="I107" s="41">
        <f>ABS(I$5-(6-'4JSON'!I101))</f>
        <v>0</v>
      </c>
      <c r="J107" s="41">
        <f>ABS(J$5-(6-'4JSON'!J101))</f>
        <v>1</v>
      </c>
      <c r="K107" s="41">
        <f>ABS(K$5-(6-'4JSON'!K101))</f>
        <v>0</v>
      </c>
      <c r="L107" s="41">
        <f>ABS(L$5-(6-'4JSON'!L101))</f>
        <v>0</v>
      </c>
      <c r="M107" s="36">
        <f t="shared" si="1"/>
        <v>5</v>
      </c>
      <c r="N107" s="42">
        <f t="shared" si="2"/>
        <v>0.8611111111</v>
      </c>
      <c r="S107" s="35">
        <f>IFERROR(__xludf.DUMMYFUNCTION("""COMPUTED_VALUE"""),2272.0)</f>
        <v>2272</v>
      </c>
    </row>
    <row r="108">
      <c r="A108" s="35">
        <f>'4JSON'!A102</f>
        <v>3414</v>
      </c>
      <c r="B108" s="25" t="str">
        <f>'4JSON'!B102</f>
        <v>Pharmacy Assistants</v>
      </c>
      <c r="C108" s="41" t="str">
        <f>'4JSON'!C102</f>
        <v>Other assisting occupations in support of health services</v>
      </c>
      <c r="D108" s="41">
        <f>ABS(D$5-(6-'4JSON'!D102))</f>
        <v>1</v>
      </c>
      <c r="E108" s="41">
        <f>ABS(E$5-(6-'4JSON'!E102))</f>
        <v>1</v>
      </c>
      <c r="F108" s="41">
        <f>ABS(F$5-(6-'4JSON'!F102))</f>
        <v>1</v>
      </c>
      <c r="G108" s="41">
        <f>ABS(G$5-(6-'4JSON'!G102))</f>
        <v>1</v>
      </c>
      <c r="H108" s="41">
        <f>ABS(H$5-(6-'4JSON'!H102))</f>
        <v>2</v>
      </c>
      <c r="I108" s="41">
        <f>ABS(I$5-(6-'4JSON'!I102))</f>
        <v>0</v>
      </c>
      <c r="J108" s="41">
        <f>ABS(J$5-(6-'4JSON'!J102))</f>
        <v>1</v>
      </c>
      <c r="K108" s="41">
        <f>ABS(K$5-(6-'4JSON'!K102))</f>
        <v>0</v>
      </c>
      <c r="L108" s="41">
        <f>ABS(L$5-(6-'4JSON'!L102))</f>
        <v>0</v>
      </c>
      <c r="M108" s="36">
        <f t="shared" si="1"/>
        <v>7</v>
      </c>
      <c r="N108" s="42">
        <f t="shared" si="2"/>
        <v>0.8055555556</v>
      </c>
      <c r="S108" s="35">
        <f>IFERROR(__xludf.DUMMYFUNCTION("""COMPUTED_VALUE"""),2262.0)</f>
        <v>2262</v>
      </c>
    </row>
    <row r="109">
      <c r="A109" s="35">
        <f>'4JSON'!A103</f>
        <v>7243</v>
      </c>
      <c r="B109" s="25" t="str">
        <f>'4JSON'!B103</f>
        <v>Power System Electricians</v>
      </c>
      <c r="C109" s="41" t="str">
        <f>'4JSON'!C103</f>
        <v>Power system electricians</v>
      </c>
      <c r="D109" s="41">
        <f>ABS(D$5-(6-'4JSON'!D103))</f>
        <v>1</v>
      </c>
      <c r="E109" s="41">
        <f>ABS(E$5-(6-'4JSON'!E103))</f>
        <v>0</v>
      </c>
      <c r="F109" s="41">
        <f>ABS(F$5-(6-'4JSON'!F103))</f>
        <v>0</v>
      </c>
      <c r="G109" s="41">
        <f>ABS(G$5-(6-'4JSON'!G103))</f>
        <v>0</v>
      </c>
      <c r="H109" s="41">
        <f>ABS(H$5-(6-'4JSON'!H103))</f>
        <v>1</v>
      </c>
      <c r="I109" s="41">
        <f>ABS(I$5-(6-'4JSON'!I103))</f>
        <v>1</v>
      </c>
      <c r="J109" s="41">
        <f>ABS(J$5-(6-'4JSON'!J103))</f>
        <v>0</v>
      </c>
      <c r="K109" s="41">
        <f>ABS(K$5-(6-'4JSON'!K103))</f>
        <v>0</v>
      </c>
      <c r="L109" s="41">
        <f>ABS(L$5-(6-'4JSON'!L103))</f>
        <v>0</v>
      </c>
      <c r="M109" s="36">
        <f t="shared" si="1"/>
        <v>3</v>
      </c>
      <c r="N109" s="42">
        <f t="shared" si="2"/>
        <v>0.9166666667</v>
      </c>
      <c r="S109" s="35">
        <f>IFERROR(__xludf.DUMMYFUNCTION("""COMPUTED_VALUE"""),3234.0)</f>
        <v>3234</v>
      </c>
    </row>
    <row r="110">
      <c r="A110" s="35">
        <f>'4JSON'!A104</f>
        <v>9536</v>
      </c>
      <c r="B110" s="25" t="str">
        <f>'4JSON'!B104</f>
        <v>Plating, Metal Spraying and Related Operators</v>
      </c>
      <c r="C110" s="41" t="str">
        <f>'4JSON'!C104</f>
        <v>Industrial painters, coaters and metal finishing process operators</v>
      </c>
      <c r="D110" s="41">
        <f>ABS(D$5-(6-'4JSON'!D104))</f>
        <v>1</v>
      </c>
      <c r="E110" s="41">
        <f>ABS(E$5-(6-'4JSON'!E104))</f>
        <v>1</v>
      </c>
      <c r="F110" s="41">
        <f>ABS(F$5-(6-'4JSON'!F104))</f>
        <v>1</v>
      </c>
      <c r="G110" s="41">
        <f>ABS(G$5-(6-'4JSON'!G104))</f>
        <v>1</v>
      </c>
      <c r="H110" s="41">
        <f>ABS(H$5-(6-'4JSON'!H104))</f>
        <v>1</v>
      </c>
      <c r="I110" s="41">
        <f>ABS(I$5-(6-'4JSON'!I104))</f>
        <v>1</v>
      </c>
      <c r="J110" s="41">
        <f>ABS(J$5-(6-'4JSON'!J104))</f>
        <v>0</v>
      </c>
      <c r="K110" s="41">
        <f>ABS(K$5-(6-'4JSON'!K104))</f>
        <v>1</v>
      </c>
      <c r="L110" s="41">
        <f>ABS(L$5-(6-'4JSON'!L104))</f>
        <v>0</v>
      </c>
      <c r="M110" s="36">
        <f t="shared" si="1"/>
        <v>7</v>
      </c>
      <c r="N110" s="42">
        <f t="shared" si="2"/>
        <v>0.8055555556</v>
      </c>
      <c r="S110" s="35">
        <f>IFERROR(__xludf.DUMMYFUNCTION("""COMPUTED_VALUE"""),7291.0)</f>
        <v>7291</v>
      </c>
    </row>
    <row r="111">
      <c r="A111" s="35">
        <f>'4JSON'!A105</f>
        <v>9472</v>
      </c>
      <c r="B111" s="25" t="str">
        <f>'4JSON'!B105</f>
        <v>Proofmakers</v>
      </c>
      <c r="C111" s="41" t="str">
        <f>'4JSON'!C105</f>
        <v>Camera, platemaking and other prepress occupations</v>
      </c>
      <c r="D111" s="41">
        <f>ABS(D$5-(6-'4JSON'!D105))</f>
        <v>1</v>
      </c>
      <c r="E111" s="41">
        <f>ABS(E$5-(6-'4JSON'!E105))</f>
        <v>0</v>
      </c>
      <c r="F111" s="41">
        <f>ABS(F$5-(6-'4JSON'!F105))</f>
        <v>1</v>
      </c>
      <c r="G111" s="41">
        <f>ABS(G$5-(6-'4JSON'!G105))</f>
        <v>1</v>
      </c>
      <c r="H111" s="41">
        <f>ABS(H$5-(6-'4JSON'!H105))</f>
        <v>1</v>
      </c>
      <c r="I111" s="41">
        <f>ABS(I$5-(6-'4JSON'!I105))</f>
        <v>1</v>
      </c>
      <c r="J111" s="41">
        <f>ABS(J$5-(6-'4JSON'!J105))</f>
        <v>0</v>
      </c>
      <c r="K111" s="41">
        <f>ABS(K$5-(6-'4JSON'!K105))</f>
        <v>0</v>
      </c>
      <c r="L111" s="41">
        <f>ABS(L$5-(6-'4JSON'!L105))</f>
        <v>0</v>
      </c>
      <c r="M111" s="36">
        <f t="shared" si="1"/>
        <v>5</v>
      </c>
      <c r="N111" s="42">
        <f t="shared" si="2"/>
        <v>0.8611111111</v>
      </c>
      <c r="S111" s="35">
        <f>IFERROR(__xludf.DUMMYFUNCTION("""COMPUTED_VALUE"""),1414.0)</f>
        <v>1414</v>
      </c>
    </row>
    <row r="112">
      <c r="A112" s="35">
        <f>'4JSON'!A106</f>
        <v>3012</v>
      </c>
      <c r="B112" s="25" t="str">
        <f>'4JSON'!B106</f>
        <v>Psychiatric Nurses</v>
      </c>
      <c r="C112" s="41" t="str">
        <f>'4JSON'!C106</f>
        <v>Registered nurses and registered psychiatric nurses</v>
      </c>
      <c r="D112" s="41">
        <f>ABS(D$5-(6-'4JSON'!D106))</f>
        <v>2</v>
      </c>
      <c r="E112" s="41">
        <f>ABS(E$5-(6-'4JSON'!E106))</f>
        <v>1</v>
      </c>
      <c r="F112" s="41">
        <f>ABS(F$5-(6-'4JSON'!F106))</f>
        <v>0</v>
      </c>
      <c r="G112" s="41">
        <f>ABS(G$5-(6-'4JSON'!G106))</f>
        <v>0</v>
      </c>
      <c r="H112" s="41">
        <f>ABS(H$5-(6-'4JSON'!H106))</f>
        <v>1</v>
      </c>
      <c r="I112" s="41">
        <f>ABS(I$5-(6-'4JSON'!I106))</f>
        <v>1</v>
      </c>
      <c r="J112" s="41">
        <f>ABS(J$5-(6-'4JSON'!J106))</f>
        <v>0</v>
      </c>
      <c r="K112" s="41">
        <f>ABS(K$5-(6-'4JSON'!K106))</f>
        <v>0</v>
      </c>
      <c r="L112" s="41">
        <f>ABS(L$5-(6-'4JSON'!L106))</f>
        <v>0</v>
      </c>
      <c r="M112" s="36">
        <f t="shared" si="1"/>
        <v>5</v>
      </c>
      <c r="N112" s="42">
        <f t="shared" si="2"/>
        <v>0.8611111111</v>
      </c>
      <c r="S112" s="35">
        <f>IFERROR(__xludf.DUMMYFUNCTION("""COMPUTED_VALUE"""),2151.0)</f>
        <v>2151</v>
      </c>
    </row>
    <row r="113">
      <c r="A113" s="35">
        <f>'4JSON'!A107</f>
        <v>3215</v>
      </c>
      <c r="B113" s="25" t="str">
        <f>'4JSON'!B107</f>
        <v>Radiation Therapists</v>
      </c>
      <c r="C113" s="41" t="str">
        <f>'4JSON'!C107</f>
        <v>Medical radiation technologists</v>
      </c>
      <c r="D113" s="41">
        <f>ABS(D$5-(6-'4JSON'!D107))</f>
        <v>1</v>
      </c>
      <c r="E113" s="41">
        <f>ABS(E$5-(6-'4JSON'!E107))</f>
        <v>0</v>
      </c>
      <c r="F113" s="41">
        <f>ABS(F$5-(6-'4JSON'!F107))</f>
        <v>0</v>
      </c>
      <c r="G113" s="41">
        <f>ABS(G$5-(6-'4JSON'!G107))</f>
        <v>0</v>
      </c>
      <c r="H113" s="41">
        <f>ABS(H$5-(6-'4JSON'!H107))</f>
        <v>1</v>
      </c>
      <c r="I113" s="41">
        <f>ABS(I$5-(6-'4JSON'!I107))</f>
        <v>1</v>
      </c>
      <c r="J113" s="41">
        <f>ABS(J$5-(6-'4JSON'!J107))</f>
        <v>0</v>
      </c>
      <c r="K113" s="41">
        <f>ABS(K$5-(6-'4JSON'!K107))</f>
        <v>0</v>
      </c>
      <c r="L113" s="41">
        <f>ABS(L$5-(6-'4JSON'!L107))</f>
        <v>0</v>
      </c>
      <c r="M113" s="36">
        <f t="shared" si="1"/>
        <v>3</v>
      </c>
      <c r="N113" s="42">
        <f t="shared" si="2"/>
        <v>0.9166666667</v>
      </c>
      <c r="S113" s="35">
        <f>IFERROR(__xludf.DUMMYFUNCTION("""COMPUTED_VALUE"""),8611.0)</f>
        <v>8611</v>
      </c>
    </row>
    <row r="114">
      <c r="A114" s="35">
        <f>'4JSON'!A108</f>
        <v>3215</v>
      </c>
      <c r="B114" s="25" t="str">
        <f>'4JSON'!B108</f>
        <v>Radiological Technologists</v>
      </c>
      <c r="C114" s="41" t="str">
        <f>'4JSON'!C108</f>
        <v>Medical radiation technologists</v>
      </c>
      <c r="D114" s="41">
        <f>ABS(D$5-(6-'4JSON'!D108))</f>
        <v>1</v>
      </c>
      <c r="E114" s="41">
        <f>ABS(E$5-(6-'4JSON'!E108))</f>
        <v>0</v>
      </c>
      <c r="F114" s="41">
        <f>ABS(F$5-(6-'4JSON'!F108))</f>
        <v>0</v>
      </c>
      <c r="G114" s="41">
        <f>ABS(G$5-(6-'4JSON'!G108))</f>
        <v>0</v>
      </c>
      <c r="H114" s="41">
        <f>ABS(H$5-(6-'4JSON'!H108))</f>
        <v>1</v>
      </c>
      <c r="I114" s="41">
        <f>ABS(I$5-(6-'4JSON'!I108))</f>
        <v>1</v>
      </c>
      <c r="J114" s="41">
        <f>ABS(J$5-(6-'4JSON'!J108))</f>
        <v>0</v>
      </c>
      <c r="K114" s="41">
        <f>ABS(K$5-(6-'4JSON'!K108))</f>
        <v>0</v>
      </c>
      <c r="L114" s="41">
        <f>ABS(L$5-(6-'4JSON'!L108))</f>
        <v>0</v>
      </c>
      <c r="M114" s="36">
        <f t="shared" si="1"/>
        <v>3</v>
      </c>
      <c r="N114" s="42">
        <f t="shared" si="2"/>
        <v>0.9166666667</v>
      </c>
      <c r="S114" s="35">
        <f>IFERROR(__xludf.DUMMYFUNCTION("""COMPUTED_VALUE"""),3011.0)</f>
        <v>3011</v>
      </c>
    </row>
    <row r="115">
      <c r="A115" s="35">
        <f>'4JSON'!A109</f>
        <v>7313</v>
      </c>
      <c r="B115" s="25" t="str">
        <f>'4JSON'!B109</f>
        <v>Refrigeration and Air Conditioning Mechanics</v>
      </c>
      <c r="C115" s="41" t="str">
        <f>'4JSON'!C109</f>
        <v>Refrigeration and air conditioning mechanics</v>
      </c>
      <c r="D115" s="41">
        <f>ABS(D$5-(6-'4JSON'!D109))</f>
        <v>1</v>
      </c>
      <c r="E115" s="41">
        <f>ABS(E$5-(6-'4JSON'!E109))</f>
        <v>0</v>
      </c>
      <c r="F115" s="41">
        <f>ABS(F$5-(6-'4JSON'!F109))</f>
        <v>0</v>
      </c>
      <c r="G115" s="41">
        <f>ABS(G$5-(6-'4JSON'!G109))</f>
        <v>0</v>
      </c>
      <c r="H115" s="41">
        <f>ABS(H$5-(6-'4JSON'!H109))</f>
        <v>1</v>
      </c>
      <c r="I115" s="41">
        <f>ABS(I$5-(6-'4JSON'!I109))</f>
        <v>1</v>
      </c>
      <c r="J115" s="41">
        <f>ABS(J$5-(6-'4JSON'!J109))</f>
        <v>0</v>
      </c>
      <c r="K115" s="41">
        <f>ABS(K$5-(6-'4JSON'!K109))</f>
        <v>0</v>
      </c>
      <c r="L115" s="41">
        <f>ABS(L$5-(6-'4JSON'!L109))</f>
        <v>0</v>
      </c>
      <c r="M115" s="36">
        <f t="shared" si="1"/>
        <v>3</v>
      </c>
      <c r="N115" s="42">
        <f t="shared" si="2"/>
        <v>0.9166666667</v>
      </c>
      <c r="S115" s="35">
        <f>IFERROR(__xludf.DUMMYFUNCTION("""COMPUTED_VALUE"""),4164.0)</f>
        <v>4164</v>
      </c>
    </row>
    <row r="116">
      <c r="A116" s="35">
        <f>'4JSON'!A110</f>
        <v>3214</v>
      </c>
      <c r="B116" s="25" t="str">
        <f>'4JSON'!B110</f>
        <v>Respiratory Therapists</v>
      </c>
      <c r="C116" s="41" t="str">
        <f>'4JSON'!C110</f>
        <v>Respiratory therapists, clinical perfusionists and cardiopulmonary technologists</v>
      </c>
      <c r="D116" s="41">
        <f>ABS(D$5-(6-'4JSON'!D110))</f>
        <v>1</v>
      </c>
      <c r="E116" s="41">
        <f>ABS(E$5-(6-'4JSON'!E110))</f>
        <v>0</v>
      </c>
      <c r="F116" s="41">
        <f>ABS(F$5-(6-'4JSON'!F110))</f>
        <v>0</v>
      </c>
      <c r="G116" s="41">
        <f>ABS(G$5-(6-'4JSON'!G110))</f>
        <v>0</v>
      </c>
      <c r="H116" s="41">
        <f>ABS(H$5-(6-'4JSON'!H110))</f>
        <v>1</v>
      </c>
      <c r="I116" s="41">
        <f>ABS(I$5-(6-'4JSON'!I110))</f>
        <v>1</v>
      </c>
      <c r="J116" s="41">
        <f>ABS(J$5-(6-'4JSON'!J110))</f>
        <v>0</v>
      </c>
      <c r="K116" s="41">
        <f>ABS(K$5-(6-'4JSON'!K110))</f>
        <v>0</v>
      </c>
      <c r="L116" s="41">
        <f>ABS(L$5-(6-'4JSON'!L110))</f>
        <v>0</v>
      </c>
      <c r="M116" s="36">
        <f t="shared" si="1"/>
        <v>3</v>
      </c>
      <c r="N116" s="42">
        <f t="shared" si="2"/>
        <v>0.9166666667</v>
      </c>
      <c r="S116" s="35">
        <f>IFERROR(__xludf.DUMMYFUNCTION("""COMPUTED_VALUE"""),6561.0)</f>
        <v>6561</v>
      </c>
    </row>
    <row r="117">
      <c r="A117" s="35">
        <f>'4JSON'!A111</f>
        <v>9472</v>
      </c>
      <c r="B117" s="25" t="str">
        <f>'4JSON'!B111</f>
        <v>Pre-Press Technicians</v>
      </c>
      <c r="C117" s="41" t="str">
        <f>'4JSON'!C111</f>
        <v>Camera, platemaking and other prepress occupations</v>
      </c>
      <c r="D117" s="41">
        <f>ABS(D$5-(6-'4JSON'!D111))</f>
        <v>1</v>
      </c>
      <c r="E117" s="41">
        <f>ABS(E$5-(6-'4JSON'!E111))</f>
        <v>1</v>
      </c>
      <c r="F117" s="41">
        <f>ABS(F$5-(6-'4JSON'!F111))</f>
        <v>0</v>
      </c>
      <c r="G117" s="41">
        <f>ABS(G$5-(6-'4JSON'!G111))</f>
        <v>0</v>
      </c>
      <c r="H117" s="41">
        <f>ABS(H$5-(6-'4JSON'!H111))</f>
        <v>0</v>
      </c>
      <c r="I117" s="41">
        <f>ABS(I$5-(6-'4JSON'!I111))</f>
        <v>1</v>
      </c>
      <c r="J117" s="41">
        <f>ABS(J$5-(6-'4JSON'!J111))</f>
        <v>0</v>
      </c>
      <c r="K117" s="41">
        <f>ABS(K$5-(6-'4JSON'!K111))</f>
        <v>1</v>
      </c>
      <c r="L117" s="41">
        <f>ABS(L$5-(6-'4JSON'!L111))</f>
        <v>1</v>
      </c>
      <c r="M117" s="36">
        <f t="shared" si="1"/>
        <v>5</v>
      </c>
      <c r="N117" s="42">
        <f t="shared" si="2"/>
        <v>0.8611111111</v>
      </c>
      <c r="S117" s="35">
        <f>IFERROR(__xludf.DUMMYFUNCTION("""COMPUTED_VALUE"""),9462.0)</f>
        <v>9462</v>
      </c>
    </row>
    <row r="118">
      <c r="A118" s="35">
        <f>'4JSON'!A112</f>
        <v>6562</v>
      </c>
      <c r="B118" s="25" t="str">
        <f>'4JSON'!B112</f>
        <v>Scalp Treatment Specialists</v>
      </c>
      <c r="C118" s="41" t="str">
        <f>'4JSON'!C112</f>
        <v>Estheticians, electrologists and related occupations</v>
      </c>
      <c r="D118" s="41">
        <f>ABS(D$5-(6-'4JSON'!D112))</f>
        <v>1</v>
      </c>
      <c r="E118" s="41">
        <f>ABS(E$5-(6-'4JSON'!E112))</f>
        <v>0</v>
      </c>
      <c r="F118" s="41">
        <f>ABS(F$5-(6-'4JSON'!F112))</f>
        <v>1</v>
      </c>
      <c r="G118" s="41">
        <f>ABS(G$5-(6-'4JSON'!G112))</f>
        <v>1</v>
      </c>
      <c r="H118" s="41">
        <f>ABS(H$5-(6-'4JSON'!H112))</f>
        <v>1</v>
      </c>
      <c r="I118" s="41">
        <f>ABS(I$5-(6-'4JSON'!I112))</f>
        <v>1</v>
      </c>
      <c r="J118" s="41">
        <f>ABS(J$5-(6-'4JSON'!J112))</f>
        <v>0</v>
      </c>
      <c r="K118" s="41">
        <f>ABS(K$5-(6-'4JSON'!K112))</f>
        <v>0</v>
      </c>
      <c r="L118" s="41">
        <f>ABS(L$5-(6-'4JSON'!L112))</f>
        <v>0</v>
      </c>
      <c r="M118" s="36">
        <f t="shared" si="1"/>
        <v>5</v>
      </c>
      <c r="N118" s="42">
        <f t="shared" si="2"/>
        <v>0.8611111111</v>
      </c>
      <c r="S118" s="35">
        <f>IFERROR(__xludf.DUMMYFUNCTION("""COMPUTED_VALUE"""),2171.0)</f>
        <v>2171</v>
      </c>
    </row>
    <row r="119">
      <c r="A119" s="35">
        <f>'4JSON'!A113</f>
        <v>9461</v>
      </c>
      <c r="B119" s="25" t="str">
        <f>'4JSON'!B113</f>
        <v>Process Control Operators, Food and Beverage Processing</v>
      </c>
      <c r="C119" s="41" t="str">
        <f>'4JSON'!C113</f>
        <v>Process control and machine operators, food, beverage and associated products processing</v>
      </c>
      <c r="D119" s="41">
        <f>ABS(D$5-(6-'4JSON'!D113))</f>
        <v>1</v>
      </c>
      <c r="E119" s="41">
        <f>ABS(E$5-(6-'4JSON'!E113))</f>
        <v>1</v>
      </c>
      <c r="F119" s="41">
        <f>ABS(F$5-(6-'4JSON'!F113))</f>
        <v>1</v>
      </c>
      <c r="G119" s="41">
        <f>ABS(G$5-(6-'4JSON'!G113))</f>
        <v>1</v>
      </c>
      <c r="H119" s="41">
        <f>ABS(H$5-(6-'4JSON'!H113))</f>
        <v>1</v>
      </c>
      <c r="I119" s="41">
        <f>ABS(I$5-(6-'4JSON'!I113))</f>
        <v>1</v>
      </c>
      <c r="J119" s="41">
        <f>ABS(J$5-(6-'4JSON'!J113))</f>
        <v>0</v>
      </c>
      <c r="K119" s="41">
        <f>ABS(K$5-(6-'4JSON'!K113))</f>
        <v>1</v>
      </c>
      <c r="L119" s="41">
        <f>ABS(L$5-(6-'4JSON'!L113))</f>
        <v>0</v>
      </c>
      <c r="M119" s="36">
        <f t="shared" si="1"/>
        <v>7</v>
      </c>
      <c r="N119" s="42">
        <f t="shared" si="2"/>
        <v>0.8055555556</v>
      </c>
      <c r="S119" s="35">
        <f>IFERROR(__xludf.DUMMYFUNCTION("""COMPUTED_VALUE"""),9525.0)</f>
        <v>9525</v>
      </c>
    </row>
    <row r="120">
      <c r="A120" s="35">
        <f>'4JSON'!A114</f>
        <v>9431</v>
      </c>
      <c r="B120" s="25" t="str">
        <f>'4JSON'!B114</f>
        <v>Sawmill Machine Operators</v>
      </c>
      <c r="C120" s="41" t="str">
        <f>'4JSON'!C114</f>
        <v>Sawmill machine operators</v>
      </c>
      <c r="D120" s="41">
        <f>ABS(D$5-(6-'4JSON'!D114))</f>
        <v>1</v>
      </c>
      <c r="E120" s="41">
        <f>ABS(E$5-(6-'4JSON'!E114))</f>
        <v>1</v>
      </c>
      <c r="F120" s="41">
        <f>ABS(F$5-(6-'4JSON'!F114))</f>
        <v>1</v>
      </c>
      <c r="G120" s="41">
        <f>ABS(G$5-(6-'4JSON'!G114))</f>
        <v>0</v>
      </c>
      <c r="H120" s="41">
        <f>ABS(H$5-(6-'4JSON'!H114))</f>
        <v>1</v>
      </c>
      <c r="I120" s="41">
        <f>ABS(I$5-(6-'4JSON'!I114))</f>
        <v>2</v>
      </c>
      <c r="J120" s="41">
        <f>ABS(J$5-(6-'4JSON'!J114))</f>
        <v>0</v>
      </c>
      <c r="K120" s="41">
        <f>ABS(K$5-(6-'4JSON'!K114))</f>
        <v>1</v>
      </c>
      <c r="L120" s="41">
        <f>ABS(L$5-(6-'4JSON'!L114))</f>
        <v>0</v>
      </c>
      <c r="M120" s="36">
        <f t="shared" si="1"/>
        <v>7</v>
      </c>
      <c r="N120" s="42">
        <f t="shared" si="2"/>
        <v>0.8055555556</v>
      </c>
      <c r="S120" s="35">
        <f>IFERROR(__xludf.DUMMYFUNCTION("""COMPUTED_VALUE"""),6733.0)</f>
        <v>6733</v>
      </c>
    </row>
    <row r="121">
      <c r="A121" s="35">
        <f>'4JSON'!A115</f>
        <v>1423</v>
      </c>
      <c r="B121" s="25" t="str">
        <f>'4JSON'!B115</f>
        <v>Scanner Operators</v>
      </c>
      <c r="C121" s="41" t="str">
        <f>'4JSON'!C115</f>
        <v>Desktop publishing operators and related occupations</v>
      </c>
      <c r="D121" s="41">
        <f>ABS(D$5-(6-'4JSON'!D115))</f>
        <v>1</v>
      </c>
      <c r="E121" s="41">
        <f>ABS(E$5-(6-'4JSON'!E115))</f>
        <v>1</v>
      </c>
      <c r="F121" s="41">
        <f>ABS(F$5-(6-'4JSON'!F115))</f>
        <v>0</v>
      </c>
      <c r="G121" s="41">
        <f>ABS(G$5-(6-'4JSON'!G115))</f>
        <v>0</v>
      </c>
      <c r="H121" s="41">
        <f>ABS(H$5-(6-'4JSON'!H115))</f>
        <v>0</v>
      </c>
      <c r="I121" s="41">
        <f>ABS(I$5-(6-'4JSON'!I115))</f>
        <v>1</v>
      </c>
      <c r="J121" s="41">
        <f>ABS(J$5-(6-'4JSON'!J115))</f>
        <v>0</v>
      </c>
      <c r="K121" s="41">
        <f>ABS(K$5-(6-'4JSON'!K115))</f>
        <v>1</v>
      </c>
      <c r="L121" s="41">
        <f>ABS(L$5-(6-'4JSON'!L115))</f>
        <v>1</v>
      </c>
      <c r="M121" s="36">
        <f t="shared" si="1"/>
        <v>5</v>
      </c>
      <c r="N121" s="42">
        <f t="shared" si="2"/>
        <v>0.8611111111</v>
      </c>
      <c r="S121" s="35">
        <f>IFERROR(__xludf.DUMMYFUNCTION("""COMPUTED_VALUE"""),9613.0)</f>
        <v>9613</v>
      </c>
    </row>
    <row r="122">
      <c r="A122" s="35">
        <f>'4JSON'!A116</f>
        <v>6343</v>
      </c>
      <c r="B122" s="25" t="str">
        <f>'4JSON'!B116</f>
        <v>Shoe Repairers</v>
      </c>
      <c r="C122" s="41" t="str">
        <f>'4JSON'!C116</f>
        <v>Shoe repairers and shoemakers</v>
      </c>
      <c r="D122" s="41">
        <f>ABS(D$5-(6-'4JSON'!D116))</f>
        <v>1</v>
      </c>
      <c r="E122" s="41">
        <f>ABS(E$5-(6-'4JSON'!E116))</f>
        <v>0</v>
      </c>
      <c r="F122" s="41">
        <f>ABS(F$5-(6-'4JSON'!F116))</f>
        <v>1</v>
      </c>
      <c r="G122" s="41">
        <f>ABS(G$5-(6-'4JSON'!G116))</f>
        <v>0</v>
      </c>
      <c r="H122" s="41">
        <f>ABS(H$5-(6-'4JSON'!H116))</f>
        <v>1</v>
      </c>
      <c r="I122" s="41">
        <f>ABS(I$5-(6-'4JSON'!I116))</f>
        <v>2</v>
      </c>
      <c r="J122" s="41">
        <f>ABS(J$5-(6-'4JSON'!J116))</f>
        <v>0</v>
      </c>
      <c r="K122" s="41">
        <f>ABS(K$5-(6-'4JSON'!K116))</f>
        <v>0</v>
      </c>
      <c r="L122" s="41">
        <f>ABS(L$5-(6-'4JSON'!L116))</f>
        <v>0</v>
      </c>
      <c r="M122" s="36">
        <f t="shared" si="1"/>
        <v>5</v>
      </c>
      <c r="N122" s="42">
        <f t="shared" si="2"/>
        <v>0.8611111111</v>
      </c>
      <c r="S122" s="35">
        <f>IFERROR(__xludf.DUMMYFUNCTION("""COMPUTED_VALUE"""),9527.0)</f>
        <v>9527</v>
      </c>
    </row>
    <row r="123">
      <c r="A123" s="35">
        <f>'4JSON'!A117</f>
        <v>6343</v>
      </c>
      <c r="B123" s="25" t="str">
        <f>'4JSON'!B117</f>
        <v>Shoemakers</v>
      </c>
      <c r="C123" s="41" t="str">
        <f>'4JSON'!C117</f>
        <v>Shoe repairers and shoemakers</v>
      </c>
      <c r="D123" s="41">
        <f>ABS(D$5-(6-'4JSON'!D117))</f>
        <v>1</v>
      </c>
      <c r="E123" s="41">
        <f>ABS(E$5-(6-'4JSON'!E117))</f>
        <v>0</v>
      </c>
      <c r="F123" s="41">
        <f>ABS(F$5-(6-'4JSON'!F117))</f>
        <v>1</v>
      </c>
      <c r="G123" s="41">
        <f>ABS(G$5-(6-'4JSON'!G117))</f>
        <v>0</v>
      </c>
      <c r="H123" s="41">
        <f>ABS(H$5-(6-'4JSON'!H117))</f>
        <v>1</v>
      </c>
      <c r="I123" s="41">
        <f>ABS(I$5-(6-'4JSON'!I117))</f>
        <v>1</v>
      </c>
      <c r="J123" s="41">
        <f>ABS(J$5-(6-'4JSON'!J117))</f>
        <v>0</v>
      </c>
      <c r="K123" s="41">
        <f>ABS(K$5-(6-'4JSON'!K117))</f>
        <v>1</v>
      </c>
      <c r="L123" s="41">
        <f>ABS(L$5-(6-'4JSON'!L117))</f>
        <v>0</v>
      </c>
      <c r="M123" s="36">
        <f t="shared" si="1"/>
        <v>5</v>
      </c>
      <c r="N123" s="42">
        <f t="shared" si="2"/>
        <v>0.8611111111</v>
      </c>
      <c r="S123" s="35">
        <f>IFERROR(__xludf.DUMMYFUNCTION("""COMPUTED_VALUE"""),714.0)</f>
        <v>714</v>
      </c>
    </row>
    <row r="124">
      <c r="A124" s="35">
        <f>'4JSON'!A118</f>
        <v>7332</v>
      </c>
      <c r="B124" s="25" t="str">
        <f>'4JSON'!B118</f>
        <v>Small Appliance Servicers and Repairers</v>
      </c>
      <c r="C124" s="41" t="str">
        <f>'4JSON'!C118</f>
        <v>Appliance servicers and repairers</v>
      </c>
      <c r="D124" s="41">
        <f>ABS(D$5-(6-'4JSON'!D118))</f>
        <v>1</v>
      </c>
      <c r="E124" s="41">
        <f>ABS(E$5-(6-'4JSON'!E118))</f>
        <v>0</v>
      </c>
      <c r="F124" s="41">
        <f>ABS(F$5-(6-'4JSON'!F118))</f>
        <v>0</v>
      </c>
      <c r="G124" s="41">
        <f>ABS(G$5-(6-'4JSON'!G118))</f>
        <v>0</v>
      </c>
      <c r="H124" s="41">
        <f>ABS(H$5-(6-'4JSON'!H118))</f>
        <v>1</v>
      </c>
      <c r="I124" s="41">
        <f>ABS(I$5-(6-'4JSON'!I118))</f>
        <v>1</v>
      </c>
      <c r="J124" s="41">
        <f>ABS(J$5-(6-'4JSON'!J118))</f>
        <v>0</v>
      </c>
      <c r="K124" s="41">
        <f>ABS(K$5-(6-'4JSON'!K118))</f>
        <v>0</v>
      </c>
      <c r="L124" s="41">
        <f>ABS(L$5-(6-'4JSON'!L118))</f>
        <v>0</v>
      </c>
      <c r="M124" s="36">
        <f t="shared" si="1"/>
        <v>3</v>
      </c>
      <c r="N124" s="42">
        <f t="shared" si="2"/>
        <v>0.9166666667</v>
      </c>
      <c r="S124" s="35">
        <f>IFERROR(__xludf.DUMMYFUNCTION("""COMPUTED_VALUE"""),911.0)</f>
        <v>911</v>
      </c>
    </row>
    <row r="125">
      <c r="A125" s="35">
        <f>'4JSON'!A119</f>
        <v>9473</v>
      </c>
      <c r="B125" s="25" t="str">
        <f>'4JSON'!B119</f>
        <v>Specialty Finishing Equipment Operators</v>
      </c>
      <c r="C125" s="41" t="str">
        <f>'4JSON'!C119</f>
        <v>Binding and finishing machine operators</v>
      </c>
      <c r="D125" s="41">
        <f>ABS(D$5-(6-'4JSON'!D119))</f>
        <v>1</v>
      </c>
      <c r="E125" s="41">
        <f>ABS(E$5-(6-'4JSON'!E119))</f>
        <v>0</v>
      </c>
      <c r="F125" s="41">
        <f>ABS(F$5-(6-'4JSON'!F119))</f>
        <v>1</v>
      </c>
      <c r="G125" s="41">
        <f>ABS(G$5-(6-'4JSON'!G119))</f>
        <v>0</v>
      </c>
      <c r="H125" s="41">
        <f>ABS(H$5-(6-'4JSON'!H119))</f>
        <v>1</v>
      </c>
      <c r="I125" s="41">
        <f>ABS(I$5-(6-'4JSON'!I119))</f>
        <v>1</v>
      </c>
      <c r="J125" s="41">
        <f>ABS(J$5-(6-'4JSON'!J119))</f>
        <v>0</v>
      </c>
      <c r="K125" s="41">
        <f>ABS(K$5-(6-'4JSON'!K119))</f>
        <v>1</v>
      </c>
      <c r="L125" s="41">
        <f>ABS(L$5-(6-'4JSON'!L119))</f>
        <v>0</v>
      </c>
      <c r="M125" s="36">
        <f t="shared" si="1"/>
        <v>5</v>
      </c>
      <c r="N125" s="42">
        <f t="shared" si="2"/>
        <v>0.8611111111</v>
      </c>
      <c r="S125" s="35">
        <f>IFERROR(__xludf.DUMMYFUNCTION("""COMPUTED_VALUE"""),6621.0)</f>
        <v>6621</v>
      </c>
    </row>
    <row r="126">
      <c r="A126" s="35">
        <f>'4JSON'!A120</f>
        <v>7252</v>
      </c>
      <c r="B126" s="25" t="str">
        <f>'4JSON'!B120</f>
        <v>Sprinkler System Installers</v>
      </c>
      <c r="C126" s="41" t="str">
        <f>'4JSON'!C120</f>
        <v>Steamfitters, pipefitters and sprinkler system installers</v>
      </c>
      <c r="D126" s="41">
        <f>ABS(D$5-(6-'4JSON'!D120))</f>
        <v>1</v>
      </c>
      <c r="E126" s="41">
        <f>ABS(E$5-(6-'4JSON'!E120))</f>
        <v>0</v>
      </c>
      <c r="F126" s="41">
        <f>ABS(F$5-(6-'4JSON'!F120))</f>
        <v>0</v>
      </c>
      <c r="G126" s="41">
        <f>ABS(G$5-(6-'4JSON'!G120))</f>
        <v>0</v>
      </c>
      <c r="H126" s="41">
        <f>ABS(H$5-(6-'4JSON'!H120))</f>
        <v>1</v>
      </c>
      <c r="I126" s="41">
        <f>ABS(I$5-(6-'4JSON'!I120))</f>
        <v>1</v>
      </c>
      <c r="J126" s="41">
        <f>ABS(J$5-(6-'4JSON'!J120))</f>
        <v>0</v>
      </c>
      <c r="K126" s="41">
        <f>ABS(K$5-(6-'4JSON'!K120))</f>
        <v>0</v>
      </c>
      <c r="L126" s="41">
        <f>ABS(L$5-(6-'4JSON'!L120))</f>
        <v>0</v>
      </c>
      <c r="M126" s="36">
        <f t="shared" si="1"/>
        <v>3</v>
      </c>
      <c r="N126" s="42">
        <f t="shared" si="2"/>
        <v>0.9166666667</v>
      </c>
      <c r="S126" s="35">
        <f>IFERROR(__xludf.DUMMYFUNCTION("""COMPUTED_VALUE"""),8613.0)</f>
        <v>8613</v>
      </c>
    </row>
    <row r="127">
      <c r="A127" s="35">
        <f>'4JSON'!A121</f>
        <v>7252</v>
      </c>
      <c r="B127" s="25" t="str">
        <f>'4JSON'!B121</f>
        <v>Steamfitters and Pipefitters</v>
      </c>
      <c r="C127" s="41" t="str">
        <f>'4JSON'!C121</f>
        <v>Steamfitters, pipefitters and sprinkler system installers</v>
      </c>
      <c r="D127" s="41">
        <f>ABS(D$5-(6-'4JSON'!D121))</f>
        <v>1</v>
      </c>
      <c r="E127" s="41">
        <f>ABS(E$5-(6-'4JSON'!E121))</f>
        <v>0</v>
      </c>
      <c r="F127" s="41">
        <f>ABS(F$5-(6-'4JSON'!F121))</f>
        <v>0</v>
      </c>
      <c r="G127" s="41">
        <f>ABS(G$5-(6-'4JSON'!G121))</f>
        <v>0</v>
      </c>
      <c r="H127" s="41">
        <f>ABS(H$5-(6-'4JSON'!H121))</f>
        <v>1</v>
      </c>
      <c r="I127" s="41">
        <f>ABS(I$5-(6-'4JSON'!I121))</f>
        <v>1</v>
      </c>
      <c r="J127" s="41">
        <f>ABS(J$5-(6-'4JSON'!J121))</f>
        <v>0</v>
      </c>
      <c r="K127" s="41">
        <f>ABS(K$5-(6-'4JSON'!K121))</f>
        <v>0</v>
      </c>
      <c r="L127" s="41">
        <f>ABS(L$5-(6-'4JSON'!L121))</f>
        <v>0</v>
      </c>
      <c r="M127" s="36">
        <f t="shared" si="1"/>
        <v>3</v>
      </c>
      <c r="N127" s="42">
        <f t="shared" si="2"/>
        <v>0.9166666667</v>
      </c>
      <c r="S127" s="35">
        <f>IFERROR(__xludf.DUMMYFUNCTION("""COMPUTED_VALUE"""),811.0)</f>
        <v>811</v>
      </c>
    </row>
    <row r="128">
      <c r="A128" s="35">
        <f>'4JSON'!A122</f>
        <v>5226</v>
      </c>
      <c r="B128" s="25" t="str">
        <f>'4JSON'!B122</f>
        <v>Stunt Co-ordinators and Special Effects Technicians</v>
      </c>
      <c r="C128" s="41" t="str">
        <f>'4JSON'!C122</f>
        <v>Other technical and co-ordinating occupations in motion pictures, broadcasting and the performing arts</v>
      </c>
      <c r="D128" s="41">
        <f>ABS(D$5-(6-'4JSON'!D122))</f>
        <v>1</v>
      </c>
      <c r="E128" s="41">
        <f>ABS(E$5-(6-'4JSON'!E122))</f>
        <v>0</v>
      </c>
      <c r="F128" s="41">
        <f>ABS(F$5-(6-'4JSON'!F122))</f>
        <v>0</v>
      </c>
      <c r="G128" s="41">
        <f>ABS(G$5-(6-'4JSON'!G122))</f>
        <v>1</v>
      </c>
      <c r="H128" s="41">
        <f>ABS(H$5-(6-'4JSON'!H122))</f>
        <v>1</v>
      </c>
      <c r="I128" s="41">
        <f>ABS(I$5-(6-'4JSON'!I122))</f>
        <v>1</v>
      </c>
      <c r="J128" s="41">
        <f>ABS(J$5-(6-'4JSON'!J122))</f>
        <v>0</v>
      </c>
      <c r="K128" s="41">
        <f>ABS(K$5-(6-'4JSON'!K122))</f>
        <v>1</v>
      </c>
      <c r="L128" s="41">
        <f>ABS(L$5-(6-'4JSON'!L122))</f>
        <v>0</v>
      </c>
      <c r="M128" s="36">
        <f t="shared" si="1"/>
        <v>5</v>
      </c>
      <c r="N128" s="42">
        <f t="shared" si="2"/>
        <v>0.8611111111</v>
      </c>
      <c r="S128" s="35">
        <f>IFERROR(__xludf.DUMMYFUNCTION("""COMPUTED_VALUE"""),8432.0)</f>
        <v>8432</v>
      </c>
    </row>
    <row r="129">
      <c r="A129" s="35">
        <f>'4JSON'!A123</f>
        <v>7304</v>
      </c>
      <c r="B129" s="25" t="str">
        <f>'4JSON'!B123</f>
        <v>Supervisors, Railway Transport Operations</v>
      </c>
      <c r="C129" s="41" t="str">
        <f>'4JSON'!C123</f>
        <v>Supervisors, railway transport operations</v>
      </c>
      <c r="D129" s="41">
        <f>ABS(D$5-(6-'4JSON'!D123))</f>
        <v>1</v>
      </c>
      <c r="E129" s="41">
        <f>ABS(E$5-(6-'4JSON'!E123))</f>
        <v>0</v>
      </c>
      <c r="F129" s="41">
        <f>ABS(F$5-(6-'4JSON'!F123))</f>
        <v>1</v>
      </c>
      <c r="G129" s="41">
        <f>ABS(G$5-(6-'4JSON'!G123))</f>
        <v>0</v>
      </c>
      <c r="H129" s="41">
        <f>ABS(H$5-(6-'4JSON'!H123))</f>
        <v>1</v>
      </c>
      <c r="I129" s="41">
        <f>ABS(I$5-(6-'4JSON'!I123))</f>
        <v>0</v>
      </c>
      <c r="J129" s="41">
        <f>ABS(J$5-(6-'4JSON'!J123))</f>
        <v>1</v>
      </c>
      <c r="K129" s="41">
        <f>ABS(K$5-(6-'4JSON'!K123))</f>
        <v>1</v>
      </c>
      <c r="L129" s="41">
        <f>ABS(L$5-(6-'4JSON'!L123))</f>
        <v>0</v>
      </c>
      <c r="M129" s="36">
        <f t="shared" si="1"/>
        <v>5</v>
      </c>
      <c r="N129" s="42">
        <f t="shared" si="2"/>
        <v>0.8611111111</v>
      </c>
      <c r="S129" s="35">
        <f>IFERROR(__xludf.DUMMYFUNCTION("""COMPUTED_VALUE"""),4161.0)</f>
        <v>4161</v>
      </c>
    </row>
    <row r="130">
      <c r="A130" s="35">
        <f>'4JSON'!A124</f>
        <v>6342</v>
      </c>
      <c r="B130" s="25" t="str">
        <f>'4JSON'!B124</f>
        <v>Tailors</v>
      </c>
      <c r="C130" s="41" t="str">
        <f>'4JSON'!C124</f>
        <v>Tailors, dressmakers, furriers and milliners</v>
      </c>
      <c r="D130" s="41">
        <f>ABS(D$5-(6-'4JSON'!D124))</f>
        <v>1</v>
      </c>
      <c r="E130" s="41">
        <f>ABS(E$5-(6-'4JSON'!E124))</f>
        <v>0</v>
      </c>
      <c r="F130" s="41">
        <f>ABS(F$5-(6-'4JSON'!F124))</f>
        <v>1</v>
      </c>
      <c r="G130" s="41">
        <f>ABS(G$5-(6-'4JSON'!G124))</f>
        <v>0</v>
      </c>
      <c r="H130" s="41">
        <f>ABS(H$5-(6-'4JSON'!H124))</f>
        <v>1</v>
      </c>
      <c r="I130" s="41">
        <f>ABS(I$5-(6-'4JSON'!I124))</f>
        <v>1</v>
      </c>
      <c r="J130" s="41">
        <f>ABS(J$5-(6-'4JSON'!J124))</f>
        <v>0</v>
      </c>
      <c r="K130" s="41">
        <f>ABS(K$5-(6-'4JSON'!K124))</f>
        <v>1</v>
      </c>
      <c r="L130" s="41">
        <f>ABS(L$5-(6-'4JSON'!L124))</f>
        <v>0</v>
      </c>
      <c r="M130" s="36">
        <f t="shared" si="1"/>
        <v>5</v>
      </c>
      <c r="N130" s="42">
        <f t="shared" si="2"/>
        <v>0.8611111111</v>
      </c>
      <c r="S130" s="35">
        <f>IFERROR(__xludf.DUMMYFUNCTION("""COMPUTED_VALUE"""),8615.0)</f>
        <v>8615</v>
      </c>
    </row>
    <row r="131">
      <c r="A131" s="35">
        <f>'4JSON'!A125</f>
        <v>7512</v>
      </c>
      <c r="B131" s="25" t="str">
        <f>'4JSON'!B125</f>
        <v>School Bus Drivers</v>
      </c>
      <c r="C131" s="41" t="str">
        <f>'4JSON'!C125</f>
        <v>Bus drivers, subway operators and other transit operators</v>
      </c>
      <c r="D131" s="41">
        <f>ABS(D$5-(6-'4JSON'!D125))</f>
        <v>1</v>
      </c>
      <c r="E131" s="41">
        <f>ABS(E$5-(6-'4JSON'!E125))</f>
        <v>1</v>
      </c>
      <c r="F131" s="41">
        <f>ABS(F$5-(6-'4JSON'!F125))</f>
        <v>1</v>
      </c>
      <c r="G131" s="41">
        <f>ABS(G$5-(6-'4JSON'!G125))</f>
        <v>0</v>
      </c>
      <c r="H131" s="41">
        <f>ABS(H$5-(6-'4JSON'!H125))</f>
        <v>2</v>
      </c>
      <c r="I131" s="41">
        <f>ABS(I$5-(6-'4JSON'!I125))</f>
        <v>1</v>
      </c>
      <c r="J131" s="41">
        <f>ABS(J$5-(6-'4JSON'!J125))</f>
        <v>0</v>
      </c>
      <c r="K131" s="41">
        <f>ABS(K$5-(6-'4JSON'!K125))</f>
        <v>1</v>
      </c>
      <c r="L131" s="41">
        <f>ABS(L$5-(6-'4JSON'!L125))</f>
        <v>0</v>
      </c>
      <c r="M131" s="36">
        <f t="shared" si="1"/>
        <v>7</v>
      </c>
      <c r="N131" s="42">
        <f t="shared" si="2"/>
        <v>0.8055555556</v>
      </c>
      <c r="S131" s="35">
        <f>IFERROR(__xludf.DUMMYFUNCTION("""COMPUTED_VALUE"""),9418.0)</f>
        <v>9418</v>
      </c>
    </row>
    <row r="132">
      <c r="A132" s="35">
        <f>'4JSON'!A126</f>
        <v>5212</v>
      </c>
      <c r="B132" s="25" t="str">
        <f>'4JSON'!B126</f>
        <v>Taxidermists</v>
      </c>
      <c r="C132" s="41" t="str">
        <f>'4JSON'!C126</f>
        <v>Technical occupations related to museums and art galleries</v>
      </c>
      <c r="D132" s="41">
        <f>ABS(D$5-(6-'4JSON'!D126))</f>
        <v>1</v>
      </c>
      <c r="E132" s="41">
        <f>ABS(E$5-(6-'4JSON'!E126))</f>
        <v>0</v>
      </c>
      <c r="F132" s="41">
        <f>ABS(F$5-(6-'4JSON'!F126))</f>
        <v>0</v>
      </c>
      <c r="G132" s="41">
        <f>ABS(G$5-(6-'4JSON'!G126))</f>
        <v>1</v>
      </c>
      <c r="H132" s="41">
        <f>ABS(H$5-(6-'4JSON'!H126))</f>
        <v>0</v>
      </c>
      <c r="I132" s="41">
        <f>ABS(I$5-(6-'4JSON'!I126))</f>
        <v>1</v>
      </c>
      <c r="J132" s="41">
        <f>ABS(J$5-(6-'4JSON'!J126))</f>
        <v>0</v>
      </c>
      <c r="K132" s="41">
        <f>ABS(K$5-(6-'4JSON'!K126))</f>
        <v>0</v>
      </c>
      <c r="L132" s="41">
        <f>ABS(L$5-(6-'4JSON'!L126))</f>
        <v>0</v>
      </c>
      <c r="M132" s="36">
        <f t="shared" si="1"/>
        <v>3</v>
      </c>
      <c r="N132" s="42">
        <f t="shared" si="2"/>
        <v>0.9166666667</v>
      </c>
      <c r="S132" s="35">
        <f>IFERROR(__xludf.DUMMYFUNCTION("""COMPUTED_VALUE"""),6313.0)</f>
        <v>6313</v>
      </c>
    </row>
    <row r="133">
      <c r="A133" s="35">
        <f>'4JSON'!A127</f>
        <v>7245</v>
      </c>
      <c r="B133" s="25" t="str">
        <f>'4JSON'!B127</f>
        <v>Telecommunications Line and Cable Workers</v>
      </c>
      <c r="C133" s="41" t="str">
        <f>'4JSON'!C127</f>
        <v>Telecommunications line and cable workers</v>
      </c>
      <c r="D133" s="41">
        <f>ABS(D$5-(6-'4JSON'!D127))</f>
        <v>1</v>
      </c>
      <c r="E133" s="41">
        <f>ABS(E$5-(6-'4JSON'!E127))</f>
        <v>0</v>
      </c>
      <c r="F133" s="41">
        <f>ABS(F$5-(6-'4JSON'!F127))</f>
        <v>1</v>
      </c>
      <c r="G133" s="41">
        <f>ABS(G$5-(6-'4JSON'!G127))</f>
        <v>0</v>
      </c>
      <c r="H133" s="41">
        <f>ABS(H$5-(6-'4JSON'!H127))</f>
        <v>2</v>
      </c>
      <c r="I133" s="41">
        <f>ABS(I$5-(6-'4JSON'!I127))</f>
        <v>1</v>
      </c>
      <c r="J133" s="41">
        <f>ABS(J$5-(6-'4JSON'!J127))</f>
        <v>0</v>
      </c>
      <c r="K133" s="41">
        <f>ABS(K$5-(6-'4JSON'!K127))</f>
        <v>0</v>
      </c>
      <c r="L133" s="41">
        <f>ABS(L$5-(6-'4JSON'!L127))</f>
        <v>0</v>
      </c>
      <c r="M133" s="36">
        <f t="shared" si="1"/>
        <v>5</v>
      </c>
      <c r="N133" s="42">
        <f t="shared" si="2"/>
        <v>0.8611111111</v>
      </c>
      <c r="S133" s="35">
        <f>IFERROR(__xludf.DUMMYFUNCTION("""COMPUTED_VALUE"""),9533.0)</f>
        <v>9533</v>
      </c>
    </row>
    <row r="134">
      <c r="A134" s="35">
        <f>'4JSON'!A128</f>
        <v>9446</v>
      </c>
      <c r="B134" s="25" t="str">
        <f>'4JSON'!B128</f>
        <v>Sewing Machine Operators</v>
      </c>
      <c r="C134" s="41" t="str">
        <f>'4JSON'!C128</f>
        <v>Industrial sewing machine operators</v>
      </c>
      <c r="D134" s="41">
        <f>ABS(D$5-(6-'4JSON'!D128))</f>
        <v>0</v>
      </c>
      <c r="E134" s="41">
        <f>ABS(E$5-(6-'4JSON'!E128))</f>
        <v>1</v>
      </c>
      <c r="F134" s="41">
        <f>ABS(F$5-(6-'4JSON'!F128))</f>
        <v>1</v>
      </c>
      <c r="G134" s="41">
        <f>ABS(G$5-(6-'4JSON'!G128))</f>
        <v>0</v>
      </c>
      <c r="H134" s="41">
        <f>ABS(H$5-(6-'4JSON'!H128))</f>
        <v>1</v>
      </c>
      <c r="I134" s="41">
        <f>ABS(I$5-(6-'4JSON'!I128))</f>
        <v>2</v>
      </c>
      <c r="J134" s="41">
        <f>ABS(J$5-(6-'4JSON'!J128))</f>
        <v>0</v>
      </c>
      <c r="K134" s="41">
        <f>ABS(K$5-(6-'4JSON'!K128))</f>
        <v>0</v>
      </c>
      <c r="L134" s="41">
        <f>ABS(L$5-(6-'4JSON'!L128))</f>
        <v>0</v>
      </c>
      <c r="M134" s="36">
        <f t="shared" si="1"/>
        <v>5</v>
      </c>
      <c r="N134" s="42">
        <f t="shared" si="2"/>
        <v>0.8611111111</v>
      </c>
      <c r="S134" s="35">
        <f>IFERROR(__xludf.DUMMYFUNCTION("""COMPUTED_VALUE"""),9436.0)</f>
        <v>9436</v>
      </c>
    </row>
    <row r="135">
      <c r="A135" s="35">
        <f>'4JSON'!A129</f>
        <v>7232</v>
      </c>
      <c r="B135" s="25" t="str">
        <f>'4JSON'!B129</f>
        <v>Tool and Die Makers</v>
      </c>
      <c r="C135" s="41" t="str">
        <f>'4JSON'!C129</f>
        <v>Tool and die makers</v>
      </c>
      <c r="D135" s="41">
        <f>ABS(D$5-(6-'4JSON'!D129))</f>
        <v>1</v>
      </c>
      <c r="E135" s="41">
        <f>ABS(E$5-(6-'4JSON'!E129))</f>
        <v>0</v>
      </c>
      <c r="F135" s="41">
        <f>ABS(F$5-(6-'4JSON'!F129))</f>
        <v>0</v>
      </c>
      <c r="G135" s="41">
        <f>ABS(G$5-(6-'4JSON'!G129))</f>
        <v>1</v>
      </c>
      <c r="H135" s="41">
        <f>ABS(H$5-(6-'4JSON'!H129))</f>
        <v>0</v>
      </c>
      <c r="I135" s="41">
        <f>ABS(I$5-(6-'4JSON'!I129))</f>
        <v>1</v>
      </c>
      <c r="J135" s="41">
        <f>ABS(J$5-(6-'4JSON'!J129))</f>
        <v>0</v>
      </c>
      <c r="K135" s="41">
        <f>ABS(K$5-(6-'4JSON'!K129))</f>
        <v>1</v>
      </c>
      <c r="L135" s="41">
        <f>ABS(L$5-(6-'4JSON'!L129))</f>
        <v>1</v>
      </c>
      <c r="M135" s="36">
        <f t="shared" si="1"/>
        <v>5</v>
      </c>
      <c r="N135" s="42">
        <f t="shared" si="2"/>
        <v>0.8611111111</v>
      </c>
      <c r="S135" s="35">
        <f>IFERROR(__xludf.DUMMYFUNCTION("""COMPUTED_VALUE"""),912.0)</f>
        <v>912</v>
      </c>
    </row>
    <row r="136">
      <c r="A136" s="35">
        <f>'4JSON'!A130</f>
        <v>3114</v>
      </c>
      <c r="B136" s="25" t="str">
        <f>'4JSON'!B130</f>
        <v>Veterinarians</v>
      </c>
      <c r="C136" s="41" t="str">
        <f>'4JSON'!C130</f>
        <v>Veterinarians</v>
      </c>
      <c r="D136" s="41">
        <f>ABS(D$5-(6-'4JSON'!D130))</f>
        <v>3</v>
      </c>
      <c r="E136" s="41">
        <f>ABS(E$5-(6-'4JSON'!E130))</f>
        <v>2</v>
      </c>
      <c r="F136" s="41">
        <f>ABS(F$5-(6-'4JSON'!F130))</f>
        <v>1</v>
      </c>
      <c r="G136" s="41">
        <f>ABS(G$5-(6-'4JSON'!G130))</f>
        <v>2</v>
      </c>
      <c r="H136" s="41">
        <f>ABS(H$5-(6-'4JSON'!H130))</f>
        <v>0</v>
      </c>
      <c r="I136" s="41">
        <f>ABS(I$5-(6-'4JSON'!I130))</f>
        <v>0</v>
      </c>
      <c r="J136" s="41">
        <f>ABS(J$5-(6-'4JSON'!J130))</f>
        <v>1</v>
      </c>
      <c r="K136" s="41">
        <f>ABS(K$5-(6-'4JSON'!K130))</f>
        <v>1</v>
      </c>
      <c r="L136" s="41">
        <f>ABS(L$5-(6-'4JSON'!L130))</f>
        <v>1</v>
      </c>
      <c r="M136" s="36">
        <f t="shared" si="1"/>
        <v>11</v>
      </c>
      <c r="N136" s="42">
        <f t="shared" si="2"/>
        <v>0.6944444444</v>
      </c>
      <c r="S136" s="35">
        <f>IFERROR(__xludf.DUMMYFUNCTION("""COMPUTED_VALUE"""),2111.0)</f>
        <v>2111</v>
      </c>
    </row>
    <row r="137">
      <c r="A137" s="35">
        <f>'4JSON'!A131</f>
        <v>6344</v>
      </c>
      <c r="B137" s="25" t="str">
        <f>'4JSON'!B131</f>
        <v>Watch Repairers</v>
      </c>
      <c r="C137" s="41" t="str">
        <f>'4JSON'!C131</f>
        <v>Jewellers, jewellery and watch repairers and related occupations</v>
      </c>
      <c r="D137" s="41">
        <f>ABS(D$5-(6-'4JSON'!D131))</f>
        <v>1</v>
      </c>
      <c r="E137" s="41">
        <f>ABS(E$5-(6-'4JSON'!E131))</f>
        <v>0</v>
      </c>
      <c r="F137" s="41">
        <f>ABS(F$5-(6-'4JSON'!F131))</f>
        <v>0</v>
      </c>
      <c r="G137" s="41">
        <f>ABS(G$5-(6-'4JSON'!G131))</f>
        <v>0</v>
      </c>
      <c r="H137" s="41">
        <f>ABS(H$5-(6-'4JSON'!H131))</f>
        <v>0</v>
      </c>
      <c r="I137" s="41">
        <f>ABS(I$5-(6-'4JSON'!I131))</f>
        <v>1</v>
      </c>
      <c r="J137" s="41">
        <f>ABS(J$5-(6-'4JSON'!J131))</f>
        <v>2</v>
      </c>
      <c r="K137" s="41">
        <f>ABS(K$5-(6-'4JSON'!K131))</f>
        <v>2</v>
      </c>
      <c r="L137" s="41">
        <f>ABS(L$5-(6-'4JSON'!L131))</f>
        <v>1</v>
      </c>
      <c r="M137" s="36">
        <f t="shared" si="1"/>
        <v>7</v>
      </c>
      <c r="N137" s="42">
        <f t="shared" si="2"/>
        <v>0.8055555556</v>
      </c>
      <c r="S137" s="35">
        <f>IFERROR(__xludf.DUMMYFUNCTION("""COMPUTED_VALUE"""),1511.0)</f>
        <v>1511</v>
      </c>
    </row>
    <row r="138">
      <c r="A138" s="35">
        <f>'4JSON'!A132</f>
        <v>3232</v>
      </c>
      <c r="B138" s="25" t="str">
        <f>'4JSON'!B132</f>
        <v>Acupuncturists</v>
      </c>
      <c r="C138" s="41" t="str">
        <f>'4JSON'!C132</f>
        <v>Practitioners of natural healing</v>
      </c>
      <c r="D138" s="41">
        <f>ABS(D$5-(6-'4JSON'!D132))</f>
        <v>1</v>
      </c>
      <c r="E138" s="41">
        <f>ABS(E$5-(6-'4JSON'!E132))</f>
        <v>0</v>
      </c>
      <c r="F138" s="41">
        <f>ABS(F$5-(6-'4JSON'!F132))</f>
        <v>1</v>
      </c>
      <c r="G138" s="41">
        <f>ABS(G$5-(6-'4JSON'!G132))</f>
        <v>1</v>
      </c>
      <c r="H138" s="41">
        <f>ABS(H$5-(6-'4JSON'!H132))</f>
        <v>2</v>
      </c>
      <c r="I138" s="41">
        <f>ABS(I$5-(6-'4JSON'!I132))</f>
        <v>1</v>
      </c>
      <c r="J138" s="41">
        <f>ABS(J$5-(6-'4JSON'!J132))</f>
        <v>0</v>
      </c>
      <c r="K138" s="41">
        <f>ABS(K$5-(6-'4JSON'!K132))</f>
        <v>0</v>
      </c>
      <c r="L138" s="41">
        <f>ABS(L$5-(6-'4JSON'!L132))</f>
        <v>0</v>
      </c>
      <c r="M138" s="36">
        <f t="shared" si="1"/>
        <v>6</v>
      </c>
      <c r="N138" s="42">
        <f t="shared" si="2"/>
        <v>0.8333333333</v>
      </c>
      <c r="S138" s="35">
        <f>IFERROR(__xludf.DUMMYFUNCTION("""COMPUTED_VALUE"""),9241.0)</f>
        <v>9241</v>
      </c>
    </row>
    <row r="139">
      <c r="A139" s="35">
        <f>'4JSON'!A133</f>
        <v>2272</v>
      </c>
      <c r="B139" s="25" t="str">
        <f>'4JSON'!B133</f>
        <v>Air Traffic Controllers</v>
      </c>
      <c r="C139" s="41" t="str">
        <f>'4JSON'!C133</f>
        <v>Air traffic controllers and related occupations</v>
      </c>
      <c r="D139" s="41">
        <f>ABS(D$5-(6-'4JSON'!D133))</f>
        <v>2</v>
      </c>
      <c r="E139" s="41">
        <f>ABS(E$5-(6-'4JSON'!E133))</f>
        <v>1</v>
      </c>
      <c r="F139" s="41">
        <f>ABS(F$5-(6-'4JSON'!F133))</f>
        <v>0</v>
      </c>
      <c r="G139" s="41">
        <f>ABS(G$5-(6-'4JSON'!G133))</f>
        <v>1</v>
      </c>
      <c r="H139" s="41">
        <f>ABS(H$5-(6-'4JSON'!H133))</f>
        <v>1</v>
      </c>
      <c r="I139" s="41">
        <f>ABS(I$5-(6-'4JSON'!I133))</f>
        <v>0</v>
      </c>
      <c r="J139" s="41">
        <f>ABS(J$5-(6-'4JSON'!J133))</f>
        <v>1</v>
      </c>
      <c r="K139" s="41">
        <f>ABS(K$5-(6-'4JSON'!K133))</f>
        <v>1</v>
      </c>
      <c r="L139" s="41">
        <f>ABS(L$5-(6-'4JSON'!L133))</f>
        <v>1</v>
      </c>
      <c r="M139" s="36">
        <f t="shared" si="1"/>
        <v>8</v>
      </c>
      <c r="N139" s="42">
        <f t="shared" si="2"/>
        <v>0.7777777778</v>
      </c>
      <c r="S139" s="35">
        <f>IFERROR(__xludf.DUMMYFUNCTION("""COMPUTED_VALUE"""),1215.0)</f>
        <v>1215</v>
      </c>
    </row>
    <row r="140">
      <c r="A140" s="35">
        <f>'4JSON'!A134</f>
        <v>2244</v>
      </c>
      <c r="B140" s="25" t="str">
        <f>'4JSON'!B134</f>
        <v>Aircraft Electrical Mechanics and Technicians</v>
      </c>
      <c r="C140" s="41" t="str">
        <f>'4JSON'!C134</f>
        <v>Aircraft instrument, electrical and avionics mechanics, technicians and inspectors</v>
      </c>
      <c r="D140" s="41">
        <f>ABS(D$5-(6-'4JSON'!D134))</f>
        <v>1</v>
      </c>
      <c r="E140" s="41">
        <f>ABS(E$5-(6-'4JSON'!E134))</f>
        <v>0</v>
      </c>
      <c r="F140" s="41">
        <f>ABS(F$5-(6-'4JSON'!F134))</f>
        <v>0</v>
      </c>
      <c r="G140" s="41">
        <f>ABS(G$5-(6-'4JSON'!G134))</f>
        <v>1</v>
      </c>
      <c r="H140" s="41">
        <f>ABS(H$5-(6-'4JSON'!H134))</f>
        <v>0</v>
      </c>
      <c r="I140" s="41">
        <f>ABS(I$5-(6-'4JSON'!I134))</f>
        <v>1</v>
      </c>
      <c r="J140" s="41">
        <f>ABS(J$5-(6-'4JSON'!J134))</f>
        <v>1</v>
      </c>
      <c r="K140" s="41">
        <f>ABS(K$5-(6-'4JSON'!K134))</f>
        <v>2</v>
      </c>
      <c r="L140" s="41">
        <f>ABS(L$5-(6-'4JSON'!L134))</f>
        <v>2</v>
      </c>
      <c r="M140" s="36">
        <f t="shared" si="1"/>
        <v>8</v>
      </c>
      <c r="N140" s="42">
        <f t="shared" si="2"/>
        <v>0.7777777778</v>
      </c>
      <c r="S140" s="35">
        <f>IFERROR(__xludf.DUMMYFUNCTION("""COMPUTED_VALUE"""),6541.0)</f>
        <v>6541</v>
      </c>
    </row>
    <row r="141">
      <c r="A141" s="35">
        <f>'4JSON'!A135</f>
        <v>2244</v>
      </c>
      <c r="B141" s="25" t="str">
        <f>'4JSON'!B135</f>
        <v>Aircraft Instrument Mechanics and Technicians</v>
      </c>
      <c r="C141" s="41" t="str">
        <f>'4JSON'!C135</f>
        <v>Aircraft instrument, electrical and avionics mechanics, technicians and inspectors</v>
      </c>
      <c r="D141" s="41">
        <f>ABS(D$5-(6-'4JSON'!D135))</f>
        <v>1</v>
      </c>
      <c r="E141" s="41">
        <f>ABS(E$5-(6-'4JSON'!E135))</f>
        <v>0</v>
      </c>
      <c r="F141" s="41">
        <f>ABS(F$5-(6-'4JSON'!F135))</f>
        <v>0</v>
      </c>
      <c r="G141" s="41">
        <f>ABS(G$5-(6-'4JSON'!G135))</f>
        <v>1</v>
      </c>
      <c r="H141" s="41">
        <f>ABS(H$5-(6-'4JSON'!H135))</f>
        <v>0</v>
      </c>
      <c r="I141" s="41">
        <f>ABS(I$5-(6-'4JSON'!I135))</f>
        <v>1</v>
      </c>
      <c r="J141" s="41">
        <f>ABS(J$5-(6-'4JSON'!J135))</f>
        <v>1</v>
      </c>
      <c r="K141" s="41">
        <f>ABS(K$5-(6-'4JSON'!K135))</f>
        <v>2</v>
      </c>
      <c r="L141" s="41">
        <f>ABS(L$5-(6-'4JSON'!L135))</f>
        <v>2</v>
      </c>
      <c r="M141" s="36">
        <f t="shared" si="1"/>
        <v>8</v>
      </c>
      <c r="N141" s="42">
        <f t="shared" si="2"/>
        <v>0.7777777778</v>
      </c>
      <c r="S141" s="35">
        <f>IFERROR(__xludf.DUMMYFUNCTION("""COMPUTED_VALUE"""),7362.0)</f>
        <v>7362</v>
      </c>
    </row>
    <row r="142">
      <c r="A142" s="35">
        <f>'4JSON'!A136</f>
        <v>2262</v>
      </c>
      <c r="B142" s="25" t="str">
        <f>'4JSON'!B136</f>
        <v>Airworthiness Inspectors</v>
      </c>
      <c r="C142" s="41" t="str">
        <f>'4JSON'!C136</f>
        <v>Engineering inspectors and regulatory officers</v>
      </c>
      <c r="D142" s="41">
        <f>ABS(D$5-(6-'4JSON'!D136))</f>
        <v>2</v>
      </c>
      <c r="E142" s="41">
        <f>ABS(E$5-(6-'4JSON'!E136))</f>
        <v>0</v>
      </c>
      <c r="F142" s="41">
        <f>ABS(F$5-(6-'4JSON'!F136))</f>
        <v>0</v>
      </c>
      <c r="G142" s="41">
        <f>ABS(G$5-(6-'4JSON'!G136))</f>
        <v>0</v>
      </c>
      <c r="H142" s="41">
        <f>ABS(H$5-(6-'4JSON'!H136))</f>
        <v>1</v>
      </c>
      <c r="I142" s="41">
        <f>ABS(I$5-(6-'4JSON'!I136))</f>
        <v>0</v>
      </c>
      <c r="J142" s="41">
        <f>ABS(J$5-(6-'4JSON'!J136))</f>
        <v>1</v>
      </c>
      <c r="K142" s="41">
        <f>ABS(K$5-(6-'4JSON'!K136))</f>
        <v>1</v>
      </c>
      <c r="L142" s="41">
        <f>ABS(L$5-(6-'4JSON'!L136))</f>
        <v>1</v>
      </c>
      <c r="M142" s="36">
        <f t="shared" si="1"/>
        <v>6</v>
      </c>
      <c r="N142" s="42">
        <f t="shared" si="2"/>
        <v>0.8333333333</v>
      </c>
      <c r="S142" s="35">
        <f>IFERROR(__xludf.DUMMYFUNCTION("""COMPUTED_VALUE"""),4167.0)</f>
        <v>4167</v>
      </c>
    </row>
    <row r="143">
      <c r="A143" s="35">
        <f>'4JSON'!A137</f>
        <v>3234</v>
      </c>
      <c r="B143" s="25" t="str">
        <f>'4JSON'!B137</f>
        <v>Ambulance Attendants and Other Paramedical Occupations</v>
      </c>
      <c r="C143" s="41" t="str">
        <f>'4JSON'!C137</f>
        <v>Paramedical occupations</v>
      </c>
      <c r="D143" s="41">
        <f>ABS(D$5-(6-'4JSON'!D137))</f>
        <v>1</v>
      </c>
      <c r="E143" s="41">
        <f>ABS(E$5-(6-'4JSON'!E137))</f>
        <v>0</v>
      </c>
      <c r="F143" s="41">
        <f>ABS(F$5-(6-'4JSON'!F137))</f>
        <v>1</v>
      </c>
      <c r="G143" s="41">
        <f>ABS(G$5-(6-'4JSON'!G137))</f>
        <v>1</v>
      </c>
      <c r="H143" s="41">
        <f>ABS(H$5-(6-'4JSON'!H137))</f>
        <v>2</v>
      </c>
      <c r="I143" s="41">
        <f>ABS(I$5-(6-'4JSON'!I137))</f>
        <v>1</v>
      </c>
      <c r="J143" s="41">
        <f>ABS(J$5-(6-'4JSON'!J137))</f>
        <v>0</v>
      </c>
      <c r="K143" s="41">
        <f>ABS(K$5-(6-'4JSON'!K137))</f>
        <v>0</v>
      </c>
      <c r="L143" s="41">
        <f>ABS(L$5-(6-'4JSON'!L137))</f>
        <v>0</v>
      </c>
      <c r="M143" s="36">
        <f t="shared" si="1"/>
        <v>6</v>
      </c>
      <c r="N143" s="42">
        <f t="shared" si="2"/>
        <v>0.8333333333</v>
      </c>
      <c r="S143" s="35">
        <f>IFERROR(__xludf.DUMMYFUNCTION("""COMPUTED_VALUE"""),4421.0)</f>
        <v>4421</v>
      </c>
    </row>
    <row r="144">
      <c r="A144" s="35">
        <f>'4JSON'!A138</f>
        <v>7291</v>
      </c>
      <c r="B144" s="25" t="str">
        <f>'4JSON'!B138</f>
        <v>Shinglers</v>
      </c>
      <c r="C144" s="41" t="str">
        <f>'4JSON'!C138</f>
        <v>Roofers and shinglers</v>
      </c>
      <c r="D144" s="41">
        <f>ABS(D$5-(6-'4JSON'!D138))</f>
        <v>1</v>
      </c>
      <c r="E144" s="41">
        <f>ABS(E$5-(6-'4JSON'!E138))</f>
        <v>1</v>
      </c>
      <c r="F144" s="41">
        <f>ABS(F$5-(6-'4JSON'!F138))</f>
        <v>0</v>
      </c>
      <c r="G144" s="41">
        <f>ABS(G$5-(6-'4JSON'!G138))</f>
        <v>0</v>
      </c>
      <c r="H144" s="41">
        <f>ABS(H$5-(6-'4JSON'!H138))</f>
        <v>2</v>
      </c>
      <c r="I144" s="41">
        <f>ABS(I$5-(6-'4JSON'!I138))</f>
        <v>1</v>
      </c>
      <c r="J144" s="41">
        <f>ABS(J$5-(6-'4JSON'!J138))</f>
        <v>0</v>
      </c>
      <c r="K144" s="41">
        <f>ABS(K$5-(6-'4JSON'!K138))</f>
        <v>0</v>
      </c>
      <c r="L144" s="41">
        <f>ABS(L$5-(6-'4JSON'!L138))</f>
        <v>0</v>
      </c>
      <c r="M144" s="36">
        <f t="shared" si="1"/>
        <v>5</v>
      </c>
      <c r="N144" s="42">
        <f t="shared" si="2"/>
        <v>0.8611111111</v>
      </c>
      <c r="S144" s="35">
        <f>IFERROR(__xludf.DUMMYFUNCTION("""COMPUTED_VALUE"""),6522.0)</f>
        <v>6522</v>
      </c>
    </row>
    <row r="145">
      <c r="A145" s="35">
        <f>'4JSON'!A139</f>
        <v>1414</v>
      </c>
      <c r="B145" s="25" t="str">
        <f>'4JSON'!B139</f>
        <v>Answering Service Operators</v>
      </c>
      <c r="C145" s="41" t="str">
        <f>'4JSON'!C139</f>
        <v>Receptionists</v>
      </c>
      <c r="D145" s="41">
        <f>ABS(D$5-(6-'4JSON'!D139))</f>
        <v>1</v>
      </c>
      <c r="E145" s="41">
        <f>ABS(E$5-(6-'4JSON'!E139))</f>
        <v>0</v>
      </c>
      <c r="F145" s="41">
        <f>ABS(F$5-(6-'4JSON'!F139))</f>
        <v>1</v>
      </c>
      <c r="G145" s="41">
        <f>ABS(G$5-(6-'4JSON'!G139))</f>
        <v>1</v>
      </c>
      <c r="H145" s="41">
        <f>ABS(H$5-(6-'4JSON'!H139))</f>
        <v>2</v>
      </c>
      <c r="I145" s="41">
        <f>ABS(I$5-(6-'4JSON'!I139))</f>
        <v>0</v>
      </c>
      <c r="J145" s="41">
        <f>ABS(J$5-(6-'4JSON'!J139))</f>
        <v>0</v>
      </c>
      <c r="K145" s="41">
        <f>ABS(K$5-(6-'4JSON'!K139))</f>
        <v>0</v>
      </c>
      <c r="L145" s="41">
        <f>ABS(L$5-(6-'4JSON'!L139))</f>
        <v>1</v>
      </c>
      <c r="M145" s="36">
        <f t="shared" si="1"/>
        <v>6</v>
      </c>
      <c r="N145" s="42">
        <f t="shared" si="2"/>
        <v>0.8333333333</v>
      </c>
      <c r="S145" s="35">
        <f>IFERROR(__xludf.DUMMYFUNCTION("""COMPUTED_VALUE"""),9217.0)</f>
        <v>9217</v>
      </c>
    </row>
    <row r="146">
      <c r="A146" s="35">
        <f>'4JSON'!A140</f>
        <v>2151</v>
      </c>
      <c r="B146" s="25" t="str">
        <f>'4JSON'!B140</f>
        <v>Architects</v>
      </c>
      <c r="C146" s="41" t="str">
        <f>'4JSON'!C140</f>
        <v>Architects</v>
      </c>
      <c r="D146" s="41">
        <f>ABS(D$5-(6-'4JSON'!D140))</f>
        <v>3</v>
      </c>
      <c r="E146" s="41">
        <f>ABS(E$5-(6-'4JSON'!E140))</f>
        <v>1</v>
      </c>
      <c r="F146" s="41">
        <f>ABS(F$5-(6-'4JSON'!F140))</f>
        <v>2</v>
      </c>
      <c r="G146" s="41">
        <f>ABS(G$5-(6-'4JSON'!G140))</f>
        <v>2</v>
      </c>
      <c r="H146" s="41">
        <f>ABS(H$5-(6-'4JSON'!H140))</f>
        <v>0</v>
      </c>
      <c r="I146" s="41">
        <f>ABS(I$5-(6-'4JSON'!I140))</f>
        <v>0</v>
      </c>
      <c r="J146" s="41">
        <f>ABS(J$5-(6-'4JSON'!J140))</f>
        <v>0</v>
      </c>
      <c r="K146" s="41">
        <f>ABS(K$5-(6-'4JSON'!K140))</f>
        <v>0</v>
      </c>
      <c r="L146" s="41">
        <f>ABS(L$5-(6-'4JSON'!L140))</f>
        <v>0</v>
      </c>
      <c r="M146" s="36">
        <f t="shared" si="1"/>
        <v>8</v>
      </c>
      <c r="N146" s="42">
        <f t="shared" si="2"/>
        <v>0.7777777778</v>
      </c>
      <c r="S146" s="35">
        <f>IFERROR(__xludf.DUMMYFUNCTION("""COMPUTED_VALUE"""),9224.0)</f>
        <v>9224</v>
      </c>
    </row>
    <row r="147">
      <c r="A147" s="35">
        <f>'4JSON'!A141</f>
        <v>8611</v>
      </c>
      <c r="B147" s="25" t="str">
        <f>'4JSON'!B141</f>
        <v>Harvesting Labourers</v>
      </c>
      <c r="C147" s="41" t="str">
        <f>'4JSON'!C141</f>
        <v>Harvesting labourers</v>
      </c>
      <c r="D147" s="41">
        <f>ABS(D$5-(6-'4JSON'!D141))</f>
        <v>0</v>
      </c>
      <c r="E147" s="41">
        <f>ABS(E$5-(6-'4JSON'!E141))</f>
        <v>1</v>
      </c>
      <c r="F147" s="41">
        <f>ABS(F$5-(6-'4JSON'!F141))</f>
        <v>1</v>
      </c>
      <c r="G147" s="41">
        <f>ABS(G$5-(6-'4JSON'!G141))</f>
        <v>1</v>
      </c>
      <c r="H147" s="41">
        <f>ABS(H$5-(6-'4JSON'!H141))</f>
        <v>2</v>
      </c>
      <c r="I147" s="41">
        <f>ABS(I$5-(6-'4JSON'!I141))</f>
        <v>2</v>
      </c>
      <c r="J147" s="41">
        <f>ABS(J$5-(6-'4JSON'!J141))</f>
        <v>0</v>
      </c>
      <c r="K147" s="41">
        <f>ABS(K$5-(6-'4JSON'!K141))</f>
        <v>1</v>
      </c>
      <c r="L147" s="41">
        <f>ABS(L$5-(6-'4JSON'!L141))</f>
        <v>0</v>
      </c>
      <c r="M147" s="36">
        <f t="shared" si="1"/>
        <v>8</v>
      </c>
      <c r="N147" s="42">
        <f t="shared" si="2"/>
        <v>0.7777777778</v>
      </c>
      <c r="S147" s="35">
        <f>IFERROR(__xludf.DUMMYFUNCTION("""COMPUTED_VALUE"""),8211.0)</f>
        <v>8211</v>
      </c>
    </row>
    <row r="148">
      <c r="A148" s="35">
        <f>'4JSON'!A142</f>
        <v>3011</v>
      </c>
      <c r="B148" s="25" t="str">
        <f>'4JSON'!B142</f>
        <v>Head Nurses and Supervisors</v>
      </c>
      <c r="C148" s="41" t="str">
        <f>'4JSON'!C142</f>
        <v>Nursing co-ordinators and supervisors</v>
      </c>
      <c r="D148" s="41">
        <f>ABS(D$5-(6-'4JSON'!D142))</f>
        <v>2</v>
      </c>
      <c r="E148" s="41">
        <f>ABS(E$5-(6-'4JSON'!E142))</f>
        <v>1</v>
      </c>
      <c r="F148" s="41">
        <f>ABS(F$5-(6-'4JSON'!F142))</f>
        <v>0</v>
      </c>
      <c r="G148" s="41">
        <f>ABS(G$5-(6-'4JSON'!G142))</f>
        <v>0</v>
      </c>
      <c r="H148" s="41">
        <f>ABS(H$5-(6-'4JSON'!H142))</f>
        <v>1</v>
      </c>
      <c r="I148" s="41">
        <f>ABS(I$5-(6-'4JSON'!I142))</f>
        <v>1</v>
      </c>
      <c r="J148" s="41">
        <f>ABS(J$5-(6-'4JSON'!J142))</f>
        <v>1</v>
      </c>
      <c r="K148" s="41">
        <f>ABS(K$5-(6-'4JSON'!K142))</f>
        <v>1</v>
      </c>
      <c r="L148" s="41">
        <f>ABS(L$5-(6-'4JSON'!L142))</f>
        <v>1</v>
      </c>
      <c r="M148" s="36">
        <f t="shared" si="1"/>
        <v>8</v>
      </c>
      <c r="N148" s="42">
        <f t="shared" si="2"/>
        <v>0.7777777778</v>
      </c>
      <c r="S148" s="35">
        <f>IFERROR(__xludf.DUMMYFUNCTION("""COMPUTED_VALUE"""),9221.0)</f>
        <v>9221</v>
      </c>
    </row>
    <row r="149">
      <c r="A149" s="35">
        <f>'4JSON'!A143</f>
        <v>4164</v>
      </c>
      <c r="B149" s="25" t="str">
        <f>'4JSON'!B143</f>
        <v>Home Economists</v>
      </c>
      <c r="C149" s="41" t="str">
        <f>'4JSON'!C143</f>
        <v>Social policy researchers, consultants and program officers</v>
      </c>
      <c r="D149" s="41">
        <f>ABS(D$5-(6-'4JSON'!D143))</f>
        <v>2</v>
      </c>
      <c r="E149" s="41">
        <f>ABS(E$5-(6-'4JSON'!E143))</f>
        <v>1</v>
      </c>
      <c r="F149" s="41">
        <f>ABS(F$5-(6-'4JSON'!F143))</f>
        <v>0</v>
      </c>
      <c r="G149" s="41">
        <f>ABS(G$5-(6-'4JSON'!G143))</f>
        <v>1</v>
      </c>
      <c r="H149" s="41">
        <f>ABS(H$5-(6-'4JSON'!H143))</f>
        <v>1</v>
      </c>
      <c r="I149" s="41">
        <f>ABS(I$5-(6-'4JSON'!I143))</f>
        <v>0</v>
      </c>
      <c r="J149" s="41">
        <f>ABS(J$5-(6-'4JSON'!J143))</f>
        <v>1</v>
      </c>
      <c r="K149" s="41">
        <f>ABS(K$5-(6-'4JSON'!K143))</f>
        <v>1</v>
      </c>
      <c r="L149" s="41">
        <f>ABS(L$5-(6-'4JSON'!L143))</f>
        <v>1</v>
      </c>
      <c r="M149" s="36">
        <f t="shared" si="1"/>
        <v>8</v>
      </c>
      <c r="N149" s="42">
        <f t="shared" si="2"/>
        <v>0.7777777778</v>
      </c>
      <c r="S149" s="35">
        <f>IFERROR(__xludf.DUMMYFUNCTION("""COMPUTED_VALUE"""),2283.0)</f>
        <v>2283</v>
      </c>
    </row>
    <row r="150">
      <c r="A150" s="35">
        <f>'4JSON'!A144</f>
        <v>6561</v>
      </c>
      <c r="B150" s="25" t="str">
        <f>'4JSON'!B144</f>
        <v>Image Consultants</v>
      </c>
      <c r="C150" s="41" t="str">
        <f>'4JSON'!C144</f>
        <v>Image, social and other personal consultants</v>
      </c>
      <c r="D150" s="41">
        <f>ABS(D$5-(6-'4JSON'!D144))</f>
        <v>1</v>
      </c>
      <c r="E150" s="41">
        <f>ABS(E$5-(6-'4JSON'!E144))</f>
        <v>0</v>
      </c>
      <c r="F150" s="41">
        <f>ABS(F$5-(6-'4JSON'!F144))</f>
        <v>1</v>
      </c>
      <c r="G150" s="41">
        <f>ABS(G$5-(6-'4JSON'!G144))</f>
        <v>1</v>
      </c>
      <c r="H150" s="41">
        <f>ABS(H$5-(6-'4JSON'!H144))</f>
        <v>1</v>
      </c>
      <c r="I150" s="41">
        <f>ABS(I$5-(6-'4JSON'!I144))</f>
        <v>1</v>
      </c>
      <c r="J150" s="41">
        <f>ABS(J$5-(6-'4JSON'!J144))</f>
        <v>1</v>
      </c>
      <c r="K150" s="41">
        <f>ABS(K$5-(6-'4JSON'!K144))</f>
        <v>1</v>
      </c>
      <c r="L150" s="41">
        <f>ABS(L$5-(6-'4JSON'!L144))</f>
        <v>1</v>
      </c>
      <c r="M150" s="36">
        <f t="shared" si="1"/>
        <v>8</v>
      </c>
      <c r="N150" s="42">
        <f t="shared" si="2"/>
        <v>0.7777777778</v>
      </c>
      <c r="S150" s="35">
        <f>IFERROR(__xludf.DUMMYFUNCTION("""COMPUTED_VALUE"""),9441.0)</f>
        <v>9441</v>
      </c>
    </row>
    <row r="151">
      <c r="A151" s="35">
        <f>'4JSON'!A145</f>
        <v>9462</v>
      </c>
      <c r="B151" s="25" t="str">
        <f>'4JSON'!B145</f>
        <v>Industrial Butchers</v>
      </c>
      <c r="C151" s="41" t="str">
        <f>'4JSON'!C145</f>
        <v>Industrial butchers and meat cutters, poultry preparers and related workers</v>
      </c>
      <c r="D151" s="41">
        <f>ABS(D$5-(6-'4JSON'!D145))</f>
        <v>1</v>
      </c>
      <c r="E151" s="41">
        <f>ABS(E$5-(6-'4JSON'!E145))</f>
        <v>1</v>
      </c>
      <c r="F151" s="41">
        <f>ABS(F$5-(6-'4JSON'!F145))</f>
        <v>1</v>
      </c>
      <c r="G151" s="41">
        <f>ABS(G$5-(6-'4JSON'!G145))</f>
        <v>1</v>
      </c>
      <c r="H151" s="41">
        <f>ABS(H$5-(6-'4JSON'!H145))</f>
        <v>2</v>
      </c>
      <c r="I151" s="41">
        <f>ABS(I$5-(6-'4JSON'!I145))</f>
        <v>2</v>
      </c>
      <c r="J151" s="41">
        <f>ABS(J$5-(6-'4JSON'!J145))</f>
        <v>1</v>
      </c>
      <c r="K151" s="41">
        <f>ABS(K$5-(6-'4JSON'!K145))</f>
        <v>1</v>
      </c>
      <c r="L151" s="41">
        <f>ABS(L$5-(6-'4JSON'!L145))</f>
        <v>0</v>
      </c>
      <c r="M151" s="36">
        <f t="shared" si="1"/>
        <v>10</v>
      </c>
      <c r="N151" s="42">
        <f t="shared" si="2"/>
        <v>0.7222222222</v>
      </c>
      <c r="S151" s="35">
        <f>IFERROR(__xludf.DUMMYFUNCTION("""COMPUTED_VALUE"""),731.0)</f>
        <v>731</v>
      </c>
    </row>
    <row r="152">
      <c r="A152" s="35">
        <f>'4JSON'!A146</f>
        <v>9462</v>
      </c>
      <c r="B152" s="25" t="str">
        <f>'4JSON'!B146</f>
        <v>Industrial Meat Cutters</v>
      </c>
      <c r="C152" s="41" t="str">
        <f>'4JSON'!C146</f>
        <v>Industrial butchers and meat cutters, poultry preparers and related workers</v>
      </c>
      <c r="D152" s="41">
        <f>ABS(D$5-(6-'4JSON'!D146))</f>
        <v>1</v>
      </c>
      <c r="E152" s="41">
        <f>ABS(E$5-(6-'4JSON'!E146))</f>
        <v>1</v>
      </c>
      <c r="F152" s="41">
        <f>ABS(F$5-(6-'4JSON'!F146))</f>
        <v>1</v>
      </c>
      <c r="G152" s="41">
        <f>ABS(G$5-(6-'4JSON'!G146))</f>
        <v>1</v>
      </c>
      <c r="H152" s="41">
        <f>ABS(H$5-(6-'4JSON'!H146))</f>
        <v>2</v>
      </c>
      <c r="I152" s="41">
        <f>ABS(I$5-(6-'4JSON'!I146))</f>
        <v>2</v>
      </c>
      <c r="J152" s="41">
        <f>ABS(J$5-(6-'4JSON'!J146))</f>
        <v>1</v>
      </c>
      <c r="K152" s="41">
        <f>ABS(K$5-(6-'4JSON'!K146))</f>
        <v>1</v>
      </c>
      <c r="L152" s="41">
        <f>ABS(L$5-(6-'4JSON'!L146))</f>
        <v>0</v>
      </c>
      <c r="M152" s="36">
        <f t="shared" si="1"/>
        <v>10</v>
      </c>
      <c r="N152" s="42">
        <f t="shared" si="2"/>
        <v>0.7222222222</v>
      </c>
      <c r="S152" s="35">
        <f>IFERROR(__xludf.DUMMYFUNCTION("""COMPUTED_VALUE"""),6521.0)</f>
        <v>6521</v>
      </c>
    </row>
    <row r="153">
      <c r="A153" s="35">
        <f>'4JSON'!A147</f>
        <v>2171</v>
      </c>
      <c r="B153" s="25" t="str">
        <f>'4JSON'!B147</f>
        <v>Information Systems Quality Assurance Analysts</v>
      </c>
      <c r="C153" s="41" t="str">
        <f>'4JSON'!C147</f>
        <v>Information systems analysts and consultants</v>
      </c>
      <c r="D153" s="41">
        <f>ABS(D$5-(6-'4JSON'!D147))</f>
        <v>2</v>
      </c>
      <c r="E153" s="41">
        <f>ABS(E$5-(6-'4JSON'!E147))</f>
        <v>1</v>
      </c>
      <c r="F153" s="41">
        <f>ABS(F$5-(6-'4JSON'!F147))</f>
        <v>1</v>
      </c>
      <c r="G153" s="41">
        <f>ABS(G$5-(6-'4JSON'!G147))</f>
        <v>1</v>
      </c>
      <c r="H153" s="41">
        <f>ABS(H$5-(6-'4JSON'!H147))</f>
        <v>0</v>
      </c>
      <c r="I153" s="41">
        <f>ABS(I$5-(6-'4JSON'!I147))</f>
        <v>0</v>
      </c>
      <c r="J153" s="41">
        <f>ABS(J$5-(6-'4JSON'!J147))</f>
        <v>1</v>
      </c>
      <c r="K153" s="41">
        <f>ABS(K$5-(6-'4JSON'!K147))</f>
        <v>1</v>
      </c>
      <c r="L153" s="41">
        <f>ABS(L$5-(6-'4JSON'!L147))</f>
        <v>1</v>
      </c>
      <c r="M153" s="36">
        <f t="shared" si="1"/>
        <v>8</v>
      </c>
      <c r="N153" s="42">
        <f t="shared" si="2"/>
        <v>0.7777777778</v>
      </c>
      <c r="S153" s="35">
        <f>IFERROR(__xludf.DUMMYFUNCTION("""COMPUTED_VALUE"""),2153.0)</f>
        <v>2153</v>
      </c>
    </row>
    <row r="154">
      <c r="A154" s="35">
        <f>'4JSON'!A148</f>
        <v>9525</v>
      </c>
      <c r="B154" s="25" t="str">
        <f>'4JSON'!B148</f>
        <v>Inspectors, Industrial Electrical Motors and Transformers</v>
      </c>
      <c r="C154" s="41" t="str">
        <f>'4JSON'!C148</f>
        <v>Assemblers, fabricators and inspectors, industrial electrical motors and transformers</v>
      </c>
      <c r="D154" s="41">
        <f>ABS(D$5-(6-'4JSON'!D148))</f>
        <v>1</v>
      </c>
      <c r="E154" s="41">
        <f>ABS(E$5-(6-'4JSON'!E148))</f>
        <v>0</v>
      </c>
      <c r="F154" s="41">
        <f>ABS(F$5-(6-'4JSON'!F148))</f>
        <v>0</v>
      </c>
      <c r="G154" s="41">
        <f>ABS(G$5-(6-'4JSON'!G148))</f>
        <v>0</v>
      </c>
      <c r="H154" s="41">
        <f>ABS(H$5-(6-'4JSON'!H148))</f>
        <v>1</v>
      </c>
      <c r="I154" s="41">
        <f>ABS(I$5-(6-'4JSON'!I148))</f>
        <v>1</v>
      </c>
      <c r="J154" s="41">
        <f>ABS(J$5-(6-'4JSON'!J148))</f>
        <v>1</v>
      </c>
      <c r="K154" s="41">
        <f>ABS(K$5-(6-'4JSON'!K148))</f>
        <v>1</v>
      </c>
      <c r="L154" s="41">
        <f>ABS(L$5-(6-'4JSON'!L148))</f>
        <v>1</v>
      </c>
      <c r="M154" s="36">
        <f t="shared" si="1"/>
        <v>6</v>
      </c>
      <c r="N154" s="42">
        <f t="shared" si="2"/>
        <v>0.8333333333</v>
      </c>
      <c r="S154" s="35">
        <f>IFERROR(__xludf.DUMMYFUNCTION("""COMPUTED_VALUE"""),632.0)</f>
        <v>632</v>
      </c>
    </row>
    <row r="155">
      <c r="A155" s="35">
        <f>'4JSON'!A149</f>
        <v>6733</v>
      </c>
      <c r="B155" s="25" t="str">
        <f>'4JSON'!B149</f>
        <v>Janitors, Caretakers and Building Superintendents</v>
      </c>
      <c r="C155" s="41" t="str">
        <f>'4JSON'!C149</f>
        <v>Janitors, caretakers and building superintendents</v>
      </c>
      <c r="D155" s="41">
        <f>ABS(D$5-(6-'4JSON'!D149))</f>
        <v>0</v>
      </c>
      <c r="E155" s="41">
        <f>ABS(E$5-(6-'4JSON'!E149))</f>
        <v>1</v>
      </c>
      <c r="F155" s="41">
        <f>ABS(F$5-(6-'4JSON'!F149))</f>
        <v>1</v>
      </c>
      <c r="G155" s="41">
        <f>ABS(G$5-(6-'4JSON'!G149))</f>
        <v>1</v>
      </c>
      <c r="H155" s="41">
        <f>ABS(H$5-(6-'4JSON'!H149))</f>
        <v>2</v>
      </c>
      <c r="I155" s="41">
        <f>ABS(I$5-(6-'4JSON'!I149))</f>
        <v>1</v>
      </c>
      <c r="J155" s="41">
        <f>ABS(J$5-(6-'4JSON'!J149))</f>
        <v>1</v>
      </c>
      <c r="K155" s="41">
        <f>ABS(K$5-(6-'4JSON'!K149))</f>
        <v>1</v>
      </c>
      <c r="L155" s="41">
        <f>ABS(L$5-(6-'4JSON'!L149))</f>
        <v>0</v>
      </c>
      <c r="M155" s="36">
        <f t="shared" si="1"/>
        <v>8</v>
      </c>
      <c r="N155" s="42">
        <f t="shared" si="2"/>
        <v>0.7777777778</v>
      </c>
      <c r="S155" s="35">
        <f>IFERROR(__xludf.DUMMYFUNCTION("""COMPUTED_VALUE"""),1431.0)</f>
        <v>1431</v>
      </c>
    </row>
    <row r="156">
      <c r="A156" s="35">
        <f>'4JSON'!A150</f>
        <v>9613</v>
      </c>
      <c r="B156" s="25" t="str">
        <f>'4JSON'!B150</f>
        <v>Labourers in Chemical Products Processing and Utilities</v>
      </c>
      <c r="C156" s="41" t="str">
        <f>'4JSON'!C150</f>
        <v>Labourers in chemical products processing and utilities</v>
      </c>
      <c r="D156" s="41">
        <f>ABS(D$5-(6-'4JSON'!D150))</f>
        <v>0</v>
      </c>
      <c r="E156" s="41">
        <f>ABS(E$5-(6-'4JSON'!E150))</f>
        <v>1</v>
      </c>
      <c r="F156" s="41">
        <f>ABS(F$5-(6-'4JSON'!F150))</f>
        <v>1</v>
      </c>
      <c r="G156" s="41">
        <f>ABS(G$5-(6-'4JSON'!G150))</f>
        <v>1</v>
      </c>
      <c r="H156" s="41">
        <f>ABS(H$5-(6-'4JSON'!H150))</f>
        <v>2</v>
      </c>
      <c r="I156" s="41">
        <f>ABS(I$5-(6-'4JSON'!I150))</f>
        <v>2</v>
      </c>
      <c r="J156" s="41">
        <f>ABS(J$5-(6-'4JSON'!J150))</f>
        <v>0</v>
      </c>
      <c r="K156" s="41">
        <f>ABS(K$5-(6-'4JSON'!K150))</f>
        <v>1</v>
      </c>
      <c r="L156" s="41">
        <f>ABS(L$5-(6-'4JSON'!L150))</f>
        <v>0</v>
      </c>
      <c r="M156" s="36">
        <f t="shared" si="1"/>
        <v>8</v>
      </c>
      <c r="N156" s="42">
        <f t="shared" si="2"/>
        <v>0.7777777778</v>
      </c>
      <c r="S156" s="35">
        <f>IFERROR(__xludf.DUMMYFUNCTION("""COMPUTED_VALUE"""),212.0)</f>
        <v>212</v>
      </c>
    </row>
    <row r="157">
      <c r="A157" s="35">
        <f>'4JSON'!A151</f>
        <v>9527</v>
      </c>
      <c r="B157" s="25" t="str">
        <f>'4JSON'!B151</f>
        <v>Machine Operators, Electrical Apparatus Manufacturing</v>
      </c>
      <c r="C157" s="41" t="str">
        <f>'4JSON'!C151</f>
        <v>Machine operators and inspectors, electrical apparatus manufacturing</v>
      </c>
      <c r="D157" s="41">
        <f>ABS(D$5-(6-'4JSON'!D151))</f>
        <v>0</v>
      </c>
      <c r="E157" s="41">
        <f>ABS(E$5-(6-'4JSON'!E151))</f>
        <v>1</v>
      </c>
      <c r="F157" s="41">
        <f>ABS(F$5-(6-'4JSON'!F151))</f>
        <v>1</v>
      </c>
      <c r="G157" s="41">
        <f>ABS(G$5-(6-'4JSON'!G151))</f>
        <v>1</v>
      </c>
      <c r="H157" s="41">
        <f>ABS(H$5-(6-'4JSON'!H151))</f>
        <v>2</v>
      </c>
      <c r="I157" s="41">
        <f>ABS(I$5-(6-'4JSON'!I151))</f>
        <v>2</v>
      </c>
      <c r="J157" s="41">
        <f>ABS(J$5-(6-'4JSON'!J151))</f>
        <v>0</v>
      </c>
      <c r="K157" s="41">
        <f>ABS(K$5-(6-'4JSON'!K151))</f>
        <v>1</v>
      </c>
      <c r="L157" s="41">
        <f>ABS(L$5-(6-'4JSON'!L151))</f>
        <v>0</v>
      </c>
      <c r="M157" s="36">
        <f t="shared" si="1"/>
        <v>8</v>
      </c>
      <c r="N157" s="42">
        <f t="shared" si="2"/>
        <v>0.7777777778</v>
      </c>
      <c r="S157" s="35">
        <f>IFERROR(__xludf.DUMMYFUNCTION("""COMPUTED_VALUE"""),5211.0)</f>
        <v>5211</v>
      </c>
    </row>
    <row r="158">
      <c r="A158" s="35">
        <f>'4JSON'!A152</f>
        <v>714</v>
      </c>
      <c r="B158" s="25" t="str">
        <f>'4JSON'!B152</f>
        <v>Maintenance Managers</v>
      </c>
      <c r="C158" s="41" t="str">
        <f>'4JSON'!C152</f>
        <v>Facility operation and maintenance managers</v>
      </c>
      <c r="D158" s="41">
        <f>ABS(D$5-(6-'4JSON'!D152))</f>
        <v>2</v>
      </c>
      <c r="E158" s="41">
        <f>ABS(E$5-(6-'4JSON'!E152))</f>
        <v>0</v>
      </c>
      <c r="F158" s="41">
        <f>ABS(F$5-(6-'4JSON'!F152))</f>
        <v>0</v>
      </c>
      <c r="G158" s="41">
        <f>ABS(G$5-(6-'4JSON'!G152))</f>
        <v>1</v>
      </c>
      <c r="H158" s="41">
        <f>ABS(H$5-(6-'4JSON'!H152))</f>
        <v>2</v>
      </c>
      <c r="I158" s="41">
        <f>ABS(I$5-(6-'4JSON'!I152))</f>
        <v>0</v>
      </c>
      <c r="J158" s="41">
        <f>ABS(J$5-(6-'4JSON'!J152))</f>
        <v>1</v>
      </c>
      <c r="K158" s="41">
        <f>ABS(K$5-(6-'4JSON'!K152))</f>
        <v>1</v>
      </c>
      <c r="L158" s="41">
        <f>ABS(L$5-(6-'4JSON'!L152))</f>
        <v>1</v>
      </c>
      <c r="M158" s="36">
        <f t="shared" si="1"/>
        <v>8</v>
      </c>
      <c r="N158" s="42">
        <f t="shared" si="2"/>
        <v>0.7777777778</v>
      </c>
      <c r="S158" s="35">
        <f>IFERROR(__xludf.DUMMYFUNCTION("""COMPUTED_VALUE"""),5113.0)</f>
        <v>5113</v>
      </c>
    </row>
    <row r="159">
      <c r="A159" s="35">
        <f>'4JSON'!A153</f>
        <v>911</v>
      </c>
      <c r="B159" s="25" t="str">
        <f>'4JSON'!B153</f>
        <v>Manufacturing Managers</v>
      </c>
      <c r="C159" s="41" t="str">
        <f>'4JSON'!C153</f>
        <v>Manufacturing managers</v>
      </c>
      <c r="D159" s="41">
        <f>ABS(D$5-(6-'4JSON'!D153))</f>
        <v>2</v>
      </c>
      <c r="E159" s="41">
        <f>ABS(E$5-(6-'4JSON'!E153))</f>
        <v>1</v>
      </c>
      <c r="F159" s="41">
        <f>ABS(F$5-(6-'4JSON'!F153))</f>
        <v>1</v>
      </c>
      <c r="G159" s="41">
        <f>ABS(G$5-(6-'4JSON'!G153))</f>
        <v>0</v>
      </c>
      <c r="H159" s="41">
        <f>ABS(H$5-(6-'4JSON'!H153))</f>
        <v>1</v>
      </c>
      <c r="I159" s="41">
        <f>ABS(I$5-(6-'4JSON'!I153))</f>
        <v>0</v>
      </c>
      <c r="J159" s="41">
        <f>ABS(J$5-(6-'4JSON'!J153))</f>
        <v>1</v>
      </c>
      <c r="K159" s="41">
        <f>ABS(K$5-(6-'4JSON'!K153))</f>
        <v>1</v>
      </c>
      <c r="L159" s="41">
        <f>ABS(L$5-(6-'4JSON'!L153))</f>
        <v>1</v>
      </c>
      <c r="M159" s="36">
        <f t="shared" si="1"/>
        <v>8</v>
      </c>
      <c r="N159" s="42">
        <f t="shared" si="2"/>
        <v>0.7777777778</v>
      </c>
      <c r="S159" s="35">
        <f>IFERROR(__xludf.DUMMYFUNCTION("""COMPUTED_VALUE"""),7535.0)</f>
        <v>7535</v>
      </c>
    </row>
    <row r="160">
      <c r="A160" s="35">
        <f>'4JSON'!A154</f>
        <v>6621</v>
      </c>
      <c r="B160" s="25" t="str">
        <f>'4JSON'!B154</f>
        <v>Marina Service Station Attendants</v>
      </c>
      <c r="C160" s="41" t="str">
        <f>'4JSON'!C154</f>
        <v>Service station attendants</v>
      </c>
      <c r="D160" s="41">
        <f>ABS(D$5-(6-'4JSON'!D154))</f>
        <v>0</v>
      </c>
      <c r="E160" s="41">
        <f>ABS(E$5-(6-'4JSON'!E154))</f>
        <v>1</v>
      </c>
      <c r="F160" s="41">
        <f>ABS(F$5-(6-'4JSON'!F154))</f>
        <v>1</v>
      </c>
      <c r="G160" s="41">
        <f>ABS(G$5-(6-'4JSON'!G154))</f>
        <v>1</v>
      </c>
      <c r="H160" s="41">
        <f>ABS(H$5-(6-'4JSON'!H154))</f>
        <v>2</v>
      </c>
      <c r="I160" s="41">
        <f>ABS(I$5-(6-'4JSON'!I154))</f>
        <v>1</v>
      </c>
      <c r="J160" s="41">
        <f>ABS(J$5-(6-'4JSON'!J154))</f>
        <v>1</v>
      </c>
      <c r="K160" s="41">
        <f>ABS(K$5-(6-'4JSON'!K154))</f>
        <v>1</v>
      </c>
      <c r="L160" s="41">
        <f>ABS(L$5-(6-'4JSON'!L154))</f>
        <v>0</v>
      </c>
      <c r="M160" s="36">
        <f t="shared" si="1"/>
        <v>8</v>
      </c>
      <c r="N160" s="42">
        <f t="shared" si="2"/>
        <v>0.7777777778</v>
      </c>
      <c r="S160" s="35">
        <f>IFERROR(__xludf.DUMMYFUNCTION("""COMPUTED_VALUE"""),4411.0)</f>
        <v>4411</v>
      </c>
    </row>
    <row r="161">
      <c r="A161" s="35">
        <f>'4JSON'!A155</f>
        <v>8613</v>
      </c>
      <c r="B161" s="25" t="str">
        <f>'4JSON'!B155</f>
        <v>Marine Plant Gatherers</v>
      </c>
      <c r="C161" s="41" t="str">
        <f>'4JSON'!C155</f>
        <v>Aquaculture and marine harvest labourers</v>
      </c>
      <c r="D161" s="41">
        <f>ABS(D$5-(6-'4JSON'!D155))</f>
        <v>0</v>
      </c>
      <c r="E161" s="41">
        <f>ABS(E$5-(6-'4JSON'!E155))</f>
        <v>1</v>
      </c>
      <c r="F161" s="41">
        <f>ABS(F$5-(6-'4JSON'!F155))</f>
        <v>1</v>
      </c>
      <c r="G161" s="41">
        <f>ABS(G$5-(6-'4JSON'!G155))</f>
        <v>1</v>
      </c>
      <c r="H161" s="41">
        <f>ABS(H$5-(6-'4JSON'!H155))</f>
        <v>2</v>
      </c>
      <c r="I161" s="41">
        <f>ABS(I$5-(6-'4JSON'!I155))</f>
        <v>1</v>
      </c>
      <c r="J161" s="41">
        <f>ABS(J$5-(6-'4JSON'!J155))</f>
        <v>1</v>
      </c>
      <c r="K161" s="41">
        <f>ABS(K$5-(6-'4JSON'!K155))</f>
        <v>0</v>
      </c>
      <c r="L161" s="41">
        <f>ABS(L$5-(6-'4JSON'!L155))</f>
        <v>1</v>
      </c>
      <c r="M161" s="36">
        <f t="shared" si="1"/>
        <v>8</v>
      </c>
      <c r="N161" s="42">
        <f t="shared" si="2"/>
        <v>0.7777777778</v>
      </c>
      <c r="S161" s="35">
        <f>IFERROR(__xludf.DUMMYFUNCTION("""COMPUTED_VALUE"""),2121.0)</f>
        <v>2121</v>
      </c>
    </row>
    <row r="162">
      <c r="A162" s="35">
        <f>'4JSON'!A156</f>
        <v>2222</v>
      </c>
      <c r="B162" s="25" t="str">
        <f>'4JSON'!B156</f>
        <v>Meat Inspectors</v>
      </c>
      <c r="C162" s="41" t="str">
        <f>'4JSON'!C156</f>
        <v>Agricultural and fish products inspectors</v>
      </c>
      <c r="D162" s="41">
        <f>ABS(D$5-(6-'4JSON'!D156))</f>
        <v>2</v>
      </c>
      <c r="E162" s="41">
        <f>ABS(E$5-(6-'4JSON'!E156))</f>
        <v>0</v>
      </c>
      <c r="F162" s="41">
        <f>ABS(F$5-(6-'4JSON'!F156))</f>
        <v>0</v>
      </c>
      <c r="G162" s="41">
        <f>ABS(G$5-(6-'4JSON'!G156))</f>
        <v>1</v>
      </c>
      <c r="H162" s="41">
        <f>ABS(H$5-(6-'4JSON'!H156))</f>
        <v>0</v>
      </c>
      <c r="I162" s="41">
        <f>ABS(I$5-(6-'4JSON'!I156))</f>
        <v>1</v>
      </c>
      <c r="J162" s="41">
        <f>ABS(J$5-(6-'4JSON'!J156))</f>
        <v>1</v>
      </c>
      <c r="K162" s="41">
        <f>ABS(K$5-(6-'4JSON'!K156))</f>
        <v>1</v>
      </c>
      <c r="L162" s="41">
        <f>ABS(L$5-(6-'4JSON'!L156))</f>
        <v>0</v>
      </c>
      <c r="M162" s="36">
        <f t="shared" si="1"/>
        <v>6</v>
      </c>
      <c r="N162" s="42">
        <f t="shared" si="2"/>
        <v>0.8333333333</v>
      </c>
      <c r="S162" s="35">
        <f>IFERROR(__xludf.DUMMYFUNCTION("""COMPUTED_VALUE"""),7533.0)</f>
        <v>7533</v>
      </c>
    </row>
    <row r="163">
      <c r="A163" s="35">
        <f>'4JSON'!A157</f>
        <v>5212</v>
      </c>
      <c r="B163" s="25" t="str">
        <f>'4JSON'!B157</f>
        <v>Museum and Other Related Interpreters</v>
      </c>
      <c r="C163" s="41" t="str">
        <f>'4JSON'!C157</f>
        <v>Technical occupations related to museums and art galleries</v>
      </c>
      <c r="D163" s="41">
        <f>ABS(D$5-(6-'4JSON'!D157))</f>
        <v>1</v>
      </c>
      <c r="E163" s="41">
        <f>ABS(E$5-(6-'4JSON'!E157))</f>
        <v>0</v>
      </c>
      <c r="F163" s="41">
        <f>ABS(F$5-(6-'4JSON'!F157))</f>
        <v>1</v>
      </c>
      <c r="G163" s="41">
        <f>ABS(G$5-(6-'4JSON'!G157))</f>
        <v>1</v>
      </c>
      <c r="H163" s="41">
        <f>ABS(H$5-(6-'4JSON'!H157))</f>
        <v>1</v>
      </c>
      <c r="I163" s="41">
        <f>ABS(I$5-(6-'4JSON'!I157))</f>
        <v>1</v>
      </c>
      <c r="J163" s="41">
        <f>ABS(J$5-(6-'4JSON'!J157))</f>
        <v>1</v>
      </c>
      <c r="K163" s="41">
        <f>ABS(K$5-(6-'4JSON'!K157))</f>
        <v>1</v>
      </c>
      <c r="L163" s="41">
        <f>ABS(L$5-(6-'4JSON'!L157))</f>
        <v>1</v>
      </c>
      <c r="M163" s="36">
        <f t="shared" si="1"/>
        <v>8</v>
      </c>
      <c r="N163" s="42">
        <f t="shared" si="2"/>
        <v>0.7777777778</v>
      </c>
      <c r="S163" s="35">
        <f>IFERROR(__xludf.DUMMYFUNCTION("""COMPUTED_VALUE"""),1311.0)</f>
        <v>1311</v>
      </c>
    </row>
    <row r="164">
      <c r="A164" s="35">
        <f>'4JSON'!A158</f>
        <v>5212</v>
      </c>
      <c r="B164" s="25" t="str">
        <f>'4JSON'!B158</f>
        <v>Museum Extension Officers</v>
      </c>
      <c r="C164" s="41" t="str">
        <f>'4JSON'!C158</f>
        <v>Technical occupations related to museums and art galleries</v>
      </c>
      <c r="D164" s="41">
        <f>ABS(D$5-(6-'4JSON'!D158))</f>
        <v>1</v>
      </c>
      <c r="E164" s="41">
        <f>ABS(E$5-(6-'4JSON'!E158))</f>
        <v>1</v>
      </c>
      <c r="F164" s="41">
        <f>ABS(F$5-(6-'4JSON'!F158))</f>
        <v>0</v>
      </c>
      <c r="G164" s="41">
        <f>ABS(G$5-(6-'4JSON'!G158))</f>
        <v>0</v>
      </c>
      <c r="H164" s="41">
        <f>ABS(H$5-(6-'4JSON'!H158))</f>
        <v>1</v>
      </c>
      <c r="I164" s="41">
        <f>ABS(I$5-(6-'4JSON'!I158))</f>
        <v>0</v>
      </c>
      <c r="J164" s="41">
        <f>ABS(J$5-(6-'4JSON'!J158))</f>
        <v>1</v>
      </c>
      <c r="K164" s="41">
        <f>ABS(K$5-(6-'4JSON'!K158))</f>
        <v>1</v>
      </c>
      <c r="L164" s="41">
        <f>ABS(L$5-(6-'4JSON'!L158))</f>
        <v>1</v>
      </c>
      <c r="M164" s="36">
        <f t="shared" si="1"/>
        <v>6</v>
      </c>
      <c r="N164" s="42">
        <f t="shared" si="2"/>
        <v>0.8333333333</v>
      </c>
      <c r="S164" s="35">
        <f>IFERROR(__xludf.DUMMYFUNCTION("""COMPUTED_VALUE"""),4423.0)</f>
        <v>4423</v>
      </c>
    </row>
    <row r="165">
      <c r="A165" s="35">
        <f>'4JSON'!A159</f>
        <v>811</v>
      </c>
      <c r="B165" s="25" t="str">
        <f>'4JSON'!B159</f>
        <v>Natural Gas Supply Managers</v>
      </c>
      <c r="C165" s="41" t="str">
        <f>'4JSON'!C159</f>
        <v>Managers in natural resources production and fishing</v>
      </c>
      <c r="D165" s="41">
        <f>ABS(D$5-(6-'4JSON'!D159))</f>
        <v>2</v>
      </c>
      <c r="E165" s="41">
        <f>ABS(E$5-(6-'4JSON'!E159))</f>
        <v>1</v>
      </c>
      <c r="F165" s="41">
        <f>ABS(F$5-(6-'4JSON'!F159))</f>
        <v>1</v>
      </c>
      <c r="G165" s="41">
        <f>ABS(G$5-(6-'4JSON'!G159))</f>
        <v>0</v>
      </c>
      <c r="H165" s="41">
        <f>ABS(H$5-(6-'4JSON'!H159))</f>
        <v>1</v>
      </c>
      <c r="I165" s="41">
        <f>ABS(I$5-(6-'4JSON'!I159))</f>
        <v>0</v>
      </c>
      <c r="J165" s="41">
        <f>ABS(J$5-(6-'4JSON'!J159))</f>
        <v>1</v>
      </c>
      <c r="K165" s="41">
        <f>ABS(K$5-(6-'4JSON'!K159))</f>
        <v>1</v>
      </c>
      <c r="L165" s="41">
        <f>ABS(L$5-(6-'4JSON'!L159))</f>
        <v>1</v>
      </c>
      <c r="M165" s="36">
        <f t="shared" si="1"/>
        <v>8</v>
      </c>
      <c r="N165" s="42">
        <f t="shared" si="2"/>
        <v>0.7777777778</v>
      </c>
      <c r="S165" s="35">
        <f>IFERROR(__xludf.DUMMYFUNCTION("""COMPUTED_VALUE"""),6564.0)</f>
        <v>6564</v>
      </c>
    </row>
    <row r="166">
      <c r="A166" s="35">
        <f>'4JSON'!A160</f>
        <v>822</v>
      </c>
      <c r="B166" s="25" t="str">
        <f>'4JSON'!B160</f>
        <v>Nursery and Greenhouse Operators and Managers</v>
      </c>
      <c r="C166" s="41" t="str">
        <f>'4JSON'!C160</f>
        <v>Managers in horticulture</v>
      </c>
      <c r="D166" s="41">
        <f>ABS(D$5-(6-'4JSON'!D160))</f>
        <v>1</v>
      </c>
      <c r="E166" s="41">
        <f>ABS(E$5-(6-'4JSON'!E160))</f>
        <v>0</v>
      </c>
      <c r="F166" s="41">
        <f>ABS(F$5-(6-'4JSON'!F160))</f>
        <v>0</v>
      </c>
      <c r="G166" s="41">
        <f>ABS(G$5-(6-'4JSON'!G160))</f>
        <v>1</v>
      </c>
      <c r="H166" s="41">
        <f>ABS(H$5-(6-'4JSON'!H160))</f>
        <v>2</v>
      </c>
      <c r="I166" s="41">
        <f>ABS(I$5-(6-'4JSON'!I160))</f>
        <v>1</v>
      </c>
      <c r="J166" s="41">
        <f>ABS(J$5-(6-'4JSON'!J160))</f>
        <v>0</v>
      </c>
      <c r="K166" s="41">
        <f>ABS(K$5-(6-'4JSON'!K160))</f>
        <v>1</v>
      </c>
      <c r="L166" s="41">
        <f>ABS(L$5-(6-'4JSON'!L160))</f>
        <v>0</v>
      </c>
      <c r="M166" s="36">
        <f t="shared" si="1"/>
        <v>6</v>
      </c>
      <c r="N166" s="42">
        <f t="shared" si="2"/>
        <v>0.8333333333</v>
      </c>
      <c r="S166" s="35">
        <f>IFERROR(__xludf.DUMMYFUNCTION("""COMPUTED_VALUE"""),6524.0)</f>
        <v>6524</v>
      </c>
    </row>
    <row r="167">
      <c r="A167" s="35">
        <f>'4JSON'!A161</f>
        <v>8432</v>
      </c>
      <c r="B167" s="25" t="str">
        <f>'4JSON'!B161</f>
        <v>Nursery and Greenhouse Workers</v>
      </c>
      <c r="C167" s="41" t="str">
        <f>'4JSON'!C161</f>
        <v>Nursery and greenhouse workers</v>
      </c>
      <c r="D167" s="41">
        <f>ABS(D$5-(6-'4JSON'!D161))</f>
        <v>0</v>
      </c>
      <c r="E167" s="41">
        <f>ABS(E$5-(6-'4JSON'!E161))</f>
        <v>1</v>
      </c>
      <c r="F167" s="41">
        <f>ABS(F$5-(6-'4JSON'!F161))</f>
        <v>1</v>
      </c>
      <c r="G167" s="41">
        <f>ABS(G$5-(6-'4JSON'!G161))</f>
        <v>1</v>
      </c>
      <c r="H167" s="41">
        <f>ABS(H$5-(6-'4JSON'!H161))</f>
        <v>2</v>
      </c>
      <c r="I167" s="41">
        <f>ABS(I$5-(6-'4JSON'!I161))</f>
        <v>2</v>
      </c>
      <c r="J167" s="41">
        <f>ABS(J$5-(6-'4JSON'!J161))</f>
        <v>0</v>
      </c>
      <c r="K167" s="41">
        <f>ABS(K$5-(6-'4JSON'!K161))</f>
        <v>1</v>
      </c>
      <c r="L167" s="41">
        <f>ABS(L$5-(6-'4JSON'!L161))</f>
        <v>0</v>
      </c>
      <c r="M167" s="36">
        <f t="shared" si="1"/>
        <v>8</v>
      </c>
      <c r="N167" s="42">
        <f t="shared" si="2"/>
        <v>0.7777777778</v>
      </c>
      <c r="S167" s="35">
        <f>IFERROR(__xludf.DUMMYFUNCTION("""COMPUTED_VALUE"""),6732.0)</f>
        <v>6732</v>
      </c>
    </row>
    <row r="168">
      <c r="A168" s="35">
        <f>'4JSON'!A162</f>
        <v>4161</v>
      </c>
      <c r="B168" s="25" t="str">
        <f>'4JSON'!B162</f>
        <v>Occupational/Industrial Hygienists</v>
      </c>
      <c r="C168" s="41" t="str">
        <f>'4JSON'!C162</f>
        <v>Natural and applied science policy researchers, consultants and program officers</v>
      </c>
      <c r="D168" s="41">
        <f>ABS(D$5-(6-'4JSON'!D162))</f>
        <v>2</v>
      </c>
      <c r="E168" s="41">
        <f>ABS(E$5-(6-'4JSON'!E162))</f>
        <v>1</v>
      </c>
      <c r="F168" s="41">
        <f>ABS(F$5-(6-'4JSON'!F162))</f>
        <v>1</v>
      </c>
      <c r="G168" s="41">
        <f>ABS(G$5-(6-'4JSON'!G162))</f>
        <v>0</v>
      </c>
      <c r="H168" s="41">
        <f>ABS(H$5-(6-'4JSON'!H162))</f>
        <v>1</v>
      </c>
      <c r="I168" s="41">
        <f>ABS(I$5-(6-'4JSON'!I162))</f>
        <v>0</v>
      </c>
      <c r="J168" s="41">
        <f>ABS(J$5-(6-'4JSON'!J162))</f>
        <v>1</v>
      </c>
      <c r="K168" s="41">
        <f>ABS(K$5-(6-'4JSON'!K162))</f>
        <v>1</v>
      </c>
      <c r="L168" s="41">
        <f>ABS(L$5-(6-'4JSON'!L162))</f>
        <v>1</v>
      </c>
      <c r="M168" s="36">
        <f t="shared" si="1"/>
        <v>8</v>
      </c>
      <c r="N168" s="42">
        <f t="shared" si="2"/>
        <v>0.7777777778</v>
      </c>
      <c r="S168" s="35">
        <f>IFERROR(__xludf.DUMMYFUNCTION("""COMPUTED_VALUE"""),4155.0)</f>
        <v>4155</v>
      </c>
    </row>
    <row r="169">
      <c r="A169" s="35">
        <f>'4JSON'!A163</f>
        <v>8615</v>
      </c>
      <c r="B169" s="25" t="str">
        <f>'4JSON'!B163</f>
        <v>Oil and Gas Drilling, Servicing and Related Labourers</v>
      </c>
      <c r="C169" s="41" t="str">
        <f>'4JSON'!C163</f>
        <v>Oil and gas drilling, servicing and related labourers</v>
      </c>
      <c r="D169" s="41">
        <f>ABS(D$5-(6-'4JSON'!D163))</f>
        <v>0</v>
      </c>
      <c r="E169" s="41">
        <f>ABS(E$5-(6-'4JSON'!E163))</f>
        <v>1</v>
      </c>
      <c r="F169" s="41">
        <f>ABS(F$5-(6-'4JSON'!F163))</f>
        <v>1</v>
      </c>
      <c r="G169" s="41">
        <f>ABS(G$5-(6-'4JSON'!G163))</f>
        <v>1</v>
      </c>
      <c r="H169" s="41">
        <f>ABS(H$5-(6-'4JSON'!H163))</f>
        <v>2</v>
      </c>
      <c r="I169" s="41">
        <f>ABS(I$5-(6-'4JSON'!I163))</f>
        <v>2</v>
      </c>
      <c r="J169" s="41">
        <f>ABS(J$5-(6-'4JSON'!J163))</f>
        <v>0</v>
      </c>
      <c r="K169" s="41">
        <f>ABS(K$5-(6-'4JSON'!K163))</f>
        <v>1</v>
      </c>
      <c r="L169" s="41">
        <f>ABS(L$5-(6-'4JSON'!L163))</f>
        <v>0</v>
      </c>
      <c r="M169" s="36">
        <f t="shared" si="1"/>
        <v>8</v>
      </c>
      <c r="N169" s="42">
        <f t="shared" si="2"/>
        <v>0.7777777778</v>
      </c>
      <c r="S169" s="35">
        <f>IFERROR(__xludf.DUMMYFUNCTION("""COMPUTED_VALUE"""),6315.0)</f>
        <v>6315</v>
      </c>
    </row>
    <row r="170">
      <c r="A170" s="35">
        <f>'4JSON'!A164</f>
        <v>3414</v>
      </c>
      <c r="B170" s="25" t="str">
        <f>'4JSON'!B164</f>
        <v>Orthopedic Technologists</v>
      </c>
      <c r="C170" s="41" t="str">
        <f>'4JSON'!C164</f>
        <v>Other assisting occupations in support of health services</v>
      </c>
      <c r="D170" s="41">
        <f>ABS(D$5-(6-'4JSON'!D164))</f>
        <v>1</v>
      </c>
      <c r="E170" s="41">
        <f>ABS(E$5-(6-'4JSON'!E164))</f>
        <v>0</v>
      </c>
      <c r="F170" s="41">
        <f>ABS(F$5-(6-'4JSON'!F164))</f>
        <v>1</v>
      </c>
      <c r="G170" s="41">
        <f>ABS(G$5-(6-'4JSON'!G164))</f>
        <v>1</v>
      </c>
      <c r="H170" s="41">
        <f>ABS(H$5-(6-'4JSON'!H164))</f>
        <v>2</v>
      </c>
      <c r="I170" s="41">
        <f>ABS(I$5-(6-'4JSON'!I164))</f>
        <v>1</v>
      </c>
      <c r="J170" s="41">
        <f>ABS(J$5-(6-'4JSON'!J164))</f>
        <v>1</v>
      </c>
      <c r="K170" s="41">
        <f>ABS(K$5-(6-'4JSON'!K164))</f>
        <v>1</v>
      </c>
      <c r="L170" s="41">
        <f>ABS(L$5-(6-'4JSON'!L164))</f>
        <v>0</v>
      </c>
      <c r="M170" s="36">
        <f t="shared" si="1"/>
        <v>8</v>
      </c>
      <c r="N170" s="42">
        <f t="shared" si="2"/>
        <v>0.7777777778</v>
      </c>
      <c r="S170" s="35">
        <f>IFERROR(__xludf.DUMMYFUNCTION("""COMPUTED_VALUE"""),1435.0)</f>
        <v>1435</v>
      </c>
    </row>
    <row r="171">
      <c r="A171" s="35">
        <f>'4JSON'!A165</f>
        <v>3125</v>
      </c>
      <c r="B171" s="25" t="str">
        <f>'4JSON'!B165</f>
        <v>Osteopaths</v>
      </c>
      <c r="C171" s="41" t="str">
        <f>'4JSON'!C165</f>
        <v>Other professional occupations in health diagnosing and treating</v>
      </c>
      <c r="D171" s="41">
        <f>ABS(D$5-(6-'4JSON'!D165))</f>
        <v>3</v>
      </c>
      <c r="E171" s="41">
        <f>ABS(E$5-(6-'4JSON'!E165))</f>
        <v>2</v>
      </c>
      <c r="F171" s="41">
        <f>ABS(F$5-(6-'4JSON'!F165))</f>
        <v>1</v>
      </c>
      <c r="G171" s="41">
        <f>ABS(G$5-(6-'4JSON'!G165))</f>
        <v>2</v>
      </c>
      <c r="H171" s="41">
        <f>ABS(H$5-(6-'4JSON'!H165))</f>
        <v>0</v>
      </c>
      <c r="I171" s="41">
        <f>ABS(I$5-(6-'4JSON'!I165))</f>
        <v>1</v>
      </c>
      <c r="J171" s="41">
        <f>ABS(J$5-(6-'4JSON'!J165))</f>
        <v>1</v>
      </c>
      <c r="K171" s="41">
        <f>ABS(K$5-(6-'4JSON'!K165))</f>
        <v>2</v>
      </c>
      <c r="L171" s="41">
        <f>ABS(L$5-(6-'4JSON'!L165))</f>
        <v>2</v>
      </c>
      <c r="M171" s="36">
        <f t="shared" si="1"/>
        <v>14</v>
      </c>
      <c r="N171" s="42">
        <f t="shared" si="2"/>
        <v>0.6111111111</v>
      </c>
      <c r="S171" s="35">
        <f>IFERROR(__xludf.DUMMYFUNCTION("""COMPUTED_VALUE"""),4212.0)</f>
        <v>4212</v>
      </c>
    </row>
    <row r="172">
      <c r="A172" s="35">
        <f>'4JSON'!A166</f>
        <v>9418</v>
      </c>
      <c r="B172" s="25" t="str">
        <f>'4JSON'!B166</f>
        <v>Other Metal Products Machine Operators</v>
      </c>
      <c r="C172" s="41" t="str">
        <f>'4JSON'!C166</f>
        <v>Other metal products machine operators</v>
      </c>
      <c r="D172" s="41">
        <f>ABS(D$5-(6-'4JSON'!D166))</f>
        <v>0</v>
      </c>
      <c r="E172" s="41">
        <f>ABS(E$5-(6-'4JSON'!E166))</f>
        <v>1</v>
      </c>
      <c r="F172" s="41">
        <f>ABS(F$5-(6-'4JSON'!F166))</f>
        <v>1</v>
      </c>
      <c r="G172" s="41">
        <f>ABS(G$5-(6-'4JSON'!G166))</f>
        <v>1</v>
      </c>
      <c r="H172" s="41">
        <f>ABS(H$5-(6-'4JSON'!H166))</f>
        <v>2</v>
      </c>
      <c r="I172" s="41">
        <f>ABS(I$5-(6-'4JSON'!I166))</f>
        <v>1</v>
      </c>
      <c r="J172" s="41">
        <f>ABS(J$5-(6-'4JSON'!J166))</f>
        <v>1</v>
      </c>
      <c r="K172" s="41">
        <f>ABS(K$5-(6-'4JSON'!K166))</f>
        <v>1</v>
      </c>
      <c r="L172" s="41">
        <f>ABS(L$5-(6-'4JSON'!L166))</f>
        <v>0</v>
      </c>
      <c r="M172" s="36">
        <f t="shared" si="1"/>
        <v>8</v>
      </c>
      <c r="N172" s="42">
        <f t="shared" si="2"/>
        <v>0.7777777778</v>
      </c>
      <c r="S172" s="35">
        <f>IFERROR(__xludf.DUMMYFUNCTION("""COMPUTED_VALUE"""),4412.0)</f>
        <v>4412</v>
      </c>
    </row>
    <row r="173">
      <c r="A173" s="35">
        <f>'4JSON'!A167</f>
        <v>6313</v>
      </c>
      <c r="B173" s="25" t="str">
        <f>'4JSON'!B167</f>
        <v>Other Service Supervisors</v>
      </c>
      <c r="C173" s="41" t="str">
        <f>'4JSON'!C167</f>
        <v>Accommodation, travel, tourism and related services supervisors</v>
      </c>
      <c r="D173" s="41">
        <f>ABS(D$5-(6-'4JSON'!D167))</f>
        <v>1</v>
      </c>
      <c r="E173" s="41">
        <f>ABS(E$5-(6-'4JSON'!E167))</f>
        <v>0</v>
      </c>
      <c r="F173" s="41">
        <f>ABS(F$5-(6-'4JSON'!F167))</f>
        <v>1</v>
      </c>
      <c r="G173" s="41">
        <f>ABS(G$5-(6-'4JSON'!G167))</f>
        <v>1</v>
      </c>
      <c r="H173" s="41">
        <f>ABS(H$5-(6-'4JSON'!H167))</f>
        <v>2</v>
      </c>
      <c r="I173" s="41">
        <f>ABS(I$5-(6-'4JSON'!I167))</f>
        <v>0</v>
      </c>
      <c r="J173" s="41">
        <f>ABS(J$5-(6-'4JSON'!J167))</f>
        <v>1</v>
      </c>
      <c r="K173" s="41">
        <f>ABS(K$5-(6-'4JSON'!K167))</f>
        <v>1</v>
      </c>
      <c r="L173" s="41">
        <f>ABS(L$5-(6-'4JSON'!L167))</f>
        <v>1</v>
      </c>
      <c r="M173" s="36">
        <f t="shared" si="1"/>
        <v>8</v>
      </c>
      <c r="N173" s="42">
        <f t="shared" si="2"/>
        <v>0.7777777778</v>
      </c>
      <c r="S173" s="35">
        <f>IFERROR(__xludf.DUMMYFUNCTION("""COMPUTED_VALUE"""),213.0)</f>
        <v>213</v>
      </c>
    </row>
    <row r="174">
      <c r="A174" s="35">
        <f>'4JSON'!A168</f>
        <v>9533</v>
      </c>
      <c r="B174" s="25" t="str">
        <f>'4JSON'!B168</f>
        <v>Other Wood Products Assemblers</v>
      </c>
      <c r="C174" s="41" t="str">
        <f>'4JSON'!C168</f>
        <v>Other wood products assemblers and inspectors</v>
      </c>
      <c r="D174" s="41">
        <f>ABS(D$5-(6-'4JSON'!D168))</f>
        <v>0</v>
      </c>
      <c r="E174" s="41">
        <f>ABS(E$5-(6-'4JSON'!E168))</f>
        <v>1</v>
      </c>
      <c r="F174" s="41">
        <f>ABS(F$5-(6-'4JSON'!F168))</f>
        <v>2</v>
      </c>
      <c r="G174" s="41">
        <f>ABS(G$5-(6-'4JSON'!G168))</f>
        <v>1</v>
      </c>
      <c r="H174" s="41">
        <f>ABS(H$5-(6-'4JSON'!H168))</f>
        <v>2</v>
      </c>
      <c r="I174" s="41">
        <f>ABS(I$5-(6-'4JSON'!I168))</f>
        <v>1</v>
      </c>
      <c r="J174" s="41">
        <f>ABS(J$5-(6-'4JSON'!J168))</f>
        <v>0</v>
      </c>
      <c r="K174" s="41">
        <f>ABS(K$5-(6-'4JSON'!K168))</f>
        <v>1</v>
      </c>
      <c r="L174" s="41">
        <f>ABS(L$5-(6-'4JSON'!L168))</f>
        <v>0</v>
      </c>
      <c r="M174" s="36">
        <f t="shared" si="1"/>
        <v>8</v>
      </c>
      <c r="N174" s="42">
        <f t="shared" si="2"/>
        <v>0.7777777778</v>
      </c>
      <c r="S174" s="35">
        <f>IFERROR(__xludf.DUMMYFUNCTION("""COMPUTED_VALUE"""),1416.0)</f>
        <v>1416</v>
      </c>
    </row>
    <row r="175">
      <c r="A175" s="35">
        <f>'4JSON'!A169</f>
        <v>9436</v>
      </c>
      <c r="B175" s="25" t="str">
        <f>'4JSON'!B169</f>
        <v>Other Wood Products Inspectors</v>
      </c>
      <c r="C175" s="41" t="str">
        <f>'4JSON'!C169</f>
        <v>Lumber graders and other wood processing inspectors and graders</v>
      </c>
      <c r="D175" s="41">
        <f>ABS(D$5-(6-'4JSON'!D169))</f>
        <v>0</v>
      </c>
      <c r="E175" s="41">
        <f>ABS(E$5-(6-'4JSON'!E169))</f>
        <v>1</v>
      </c>
      <c r="F175" s="41">
        <f>ABS(F$5-(6-'4JSON'!F169))</f>
        <v>2</v>
      </c>
      <c r="G175" s="41">
        <f>ABS(G$5-(6-'4JSON'!G169))</f>
        <v>1</v>
      </c>
      <c r="H175" s="41">
        <f>ABS(H$5-(6-'4JSON'!H169))</f>
        <v>2</v>
      </c>
      <c r="I175" s="41">
        <f>ABS(I$5-(6-'4JSON'!I169))</f>
        <v>1</v>
      </c>
      <c r="J175" s="41">
        <f>ABS(J$5-(6-'4JSON'!J169))</f>
        <v>0</v>
      </c>
      <c r="K175" s="41">
        <f>ABS(K$5-(6-'4JSON'!K169))</f>
        <v>1</v>
      </c>
      <c r="L175" s="41">
        <f>ABS(L$5-(6-'4JSON'!L169))</f>
        <v>0</v>
      </c>
      <c r="M175" s="36">
        <f t="shared" si="1"/>
        <v>8</v>
      </c>
      <c r="N175" s="42">
        <f t="shared" si="2"/>
        <v>0.7777777778</v>
      </c>
      <c r="S175" s="35">
        <f>IFERROR(__xludf.DUMMYFUNCTION("""COMPUTED_VALUE"""),1227.0)</f>
        <v>1227</v>
      </c>
    </row>
    <row r="176">
      <c r="A176" s="35">
        <f>'4JSON'!A170</f>
        <v>912</v>
      </c>
      <c r="B176" s="25" t="str">
        <f>'4JSON'!B170</f>
        <v>Petroleum Product Distribution Managers</v>
      </c>
      <c r="C176" s="41" t="str">
        <f>'4JSON'!C170</f>
        <v>Utilities managers</v>
      </c>
      <c r="D176" s="41">
        <f>ABS(D$5-(6-'4JSON'!D170))</f>
        <v>2</v>
      </c>
      <c r="E176" s="41">
        <f>ABS(E$5-(6-'4JSON'!E170))</f>
        <v>1</v>
      </c>
      <c r="F176" s="41">
        <f>ABS(F$5-(6-'4JSON'!F170))</f>
        <v>1</v>
      </c>
      <c r="G176" s="41">
        <f>ABS(G$5-(6-'4JSON'!G170))</f>
        <v>0</v>
      </c>
      <c r="H176" s="41">
        <f>ABS(H$5-(6-'4JSON'!H170))</f>
        <v>1</v>
      </c>
      <c r="I176" s="41">
        <f>ABS(I$5-(6-'4JSON'!I170))</f>
        <v>0</v>
      </c>
      <c r="J176" s="41">
        <f>ABS(J$5-(6-'4JSON'!J170))</f>
        <v>1</v>
      </c>
      <c r="K176" s="41">
        <f>ABS(K$5-(6-'4JSON'!K170))</f>
        <v>1</v>
      </c>
      <c r="L176" s="41">
        <f>ABS(L$5-(6-'4JSON'!L170))</f>
        <v>1</v>
      </c>
      <c r="M176" s="36">
        <f t="shared" si="1"/>
        <v>8</v>
      </c>
      <c r="N176" s="42">
        <f t="shared" si="2"/>
        <v>0.7777777778</v>
      </c>
      <c r="S176" s="35">
        <f>IFERROR(__xludf.DUMMYFUNCTION("""COMPUTED_VALUE"""),5121.0)</f>
        <v>5121</v>
      </c>
    </row>
    <row r="177">
      <c r="A177" s="35">
        <f>'4JSON'!A171</f>
        <v>2111</v>
      </c>
      <c r="B177" s="25" t="str">
        <f>'4JSON'!B171</f>
        <v>Physicists</v>
      </c>
      <c r="C177" s="41" t="str">
        <f>'4JSON'!C171</f>
        <v>Physicists and astronomers</v>
      </c>
      <c r="D177" s="41">
        <f>ABS(D$5-(6-'4JSON'!D171))</f>
        <v>3</v>
      </c>
      <c r="E177" s="41">
        <f>ABS(E$5-(6-'4JSON'!E171))</f>
        <v>2</v>
      </c>
      <c r="F177" s="41">
        <f>ABS(F$5-(6-'4JSON'!F171))</f>
        <v>2</v>
      </c>
      <c r="G177" s="41">
        <f>ABS(G$5-(6-'4JSON'!G171))</f>
        <v>2</v>
      </c>
      <c r="H177" s="41">
        <f>ABS(H$5-(6-'4JSON'!H171))</f>
        <v>1</v>
      </c>
      <c r="I177" s="41">
        <f>ABS(I$5-(6-'4JSON'!I171))</f>
        <v>0</v>
      </c>
      <c r="J177" s="41">
        <f>ABS(J$5-(6-'4JSON'!J171))</f>
        <v>0</v>
      </c>
      <c r="K177" s="41">
        <f>ABS(K$5-(6-'4JSON'!K171))</f>
        <v>0</v>
      </c>
      <c r="L177" s="41">
        <f>ABS(L$5-(6-'4JSON'!L171))</f>
        <v>0</v>
      </c>
      <c r="M177" s="36">
        <f t="shared" si="1"/>
        <v>10</v>
      </c>
      <c r="N177" s="42">
        <f t="shared" si="2"/>
        <v>0.7222222222</v>
      </c>
      <c r="S177" s="35">
        <f>IFERROR(__xludf.DUMMYFUNCTION("""COMPUTED_VALUE"""),6314.0)</f>
        <v>6314</v>
      </c>
    </row>
    <row r="178">
      <c r="A178" s="35">
        <f>'4JSON'!A172</f>
        <v>2222</v>
      </c>
      <c r="B178" s="25" t="str">
        <f>'4JSON'!B172</f>
        <v>Plant Protection Inspectors</v>
      </c>
      <c r="C178" s="41" t="str">
        <f>'4JSON'!C172</f>
        <v>Agricultural and fish products inspectors</v>
      </c>
      <c r="D178" s="41">
        <f>ABS(D$5-(6-'4JSON'!D172))</f>
        <v>2</v>
      </c>
      <c r="E178" s="41">
        <f>ABS(E$5-(6-'4JSON'!E172))</f>
        <v>0</v>
      </c>
      <c r="F178" s="41">
        <f>ABS(F$5-(6-'4JSON'!F172))</f>
        <v>0</v>
      </c>
      <c r="G178" s="41">
        <f>ABS(G$5-(6-'4JSON'!G172))</f>
        <v>1</v>
      </c>
      <c r="H178" s="41">
        <f>ABS(H$5-(6-'4JSON'!H172))</f>
        <v>0</v>
      </c>
      <c r="I178" s="41">
        <f>ABS(I$5-(6-'4JSON'!I172))</f>
        <v>1</v>
      </c>
      <c r="J178" s="41">
        <f>ABS(J$5-(6-'4JSON'!J172))</f>
        <v>1</v>
      </c>
      <c r="K178" s="41">
        <f>ABS(K$5-(6-'4JSON'!K172))</f>
        <v>1</v>
      </c>
      <c r="L178" s="41">
        <f>ABS(L$5-(6-'4JSON'!L172))</f>
        <v>0</v>
      </c>
      <c r="M178" s="36">
        <f t="shared" si="1"/>
        <v>6</v>
      </c>
      <c r="N178" s="42">
        <f t="shared" si="2"/>
        <v>0.8333333333</v>
      </c>
      <c r="S178" s="35">
        <f>IFERROR(__xludf.DUMMYFUNCTION("""COMPUTED_VALUE"""),6552.0)</f>
        <v>6552</v>
      </c>
    </row>
    <row r="179">
      <c r="A179" s="35">
        <f>'4JSON'!A173</f>
        <v>9472</v>
      </c>
      <c r="B179" s="25" t="str">
        <f>'4JSON'!B173</f>
        <v>Platemakers</v>
      </c>
      <c r="C179" s="41" t="str">
        <f>'4JSON'!C173</f>
        <v>Camera, platemaking and other prepress occupations</v>
      </c>
      <c r="D179" s="41">
        <f>ABS(D$5-(6-'4JSON'!D173))</f>
        <v>1</v>
      </c>
      <c r="E179" s="41">
        <f>ABS(E$5-(6-'4JSON'!E173))</f>
        <v>0</v>
      </c>
      <c r="F179" s="41">
        <f>ABS(F$5-(6-'4JSON'!F173))</f>
        <v>0</v>
      </c>
      <c r="G179" s="41">
        <f>ABS(G$5-(6-'4JSON'!G173))</f>
        <v>0</v>
      </c>
      <c r="H179" s="41">
        <f>ABS(H$5-(6-'4JSON'!H173))</f>
        <v>0</v>
      </c>
      <c r="I179" s="41">
        <f>ABS(I$5-(6-'4JSON'!I173))</f>
        <v>1</v>
      </c>
      <c r="J179" s="41">
        <f>ABS(J$5-(6-'4JSON'!J173))</f>
        <v>0</v>
      </c>
      <c r="K179" s="41">
        <f>ABS(K$5-(6-'4JSON'!K173))</f>
        <v>1</v>
      </c>
      <c r="L179" s="41">
        <f>ABS(L$5-(6-'4JSON'!L173))</f>
        <v>1</v>
      </c>
      <c r="M179" s="36">
        <f t="shared" si="1"/>
        <v>4</v>
      </c>
      <c r="N179" s="42">
        <f t="shared" si="2"/>
        <v>0.8888888889</v>
      </c>
      <c r="S179" s="35">
        <f>IFERROR(__xludf.DUMMYFUNCTION("""COMPUTED_VALUE"""),6551.0)</f>
        <v>6551</v>
      </c>
    </row>
    <row r="180">
      <c r="A180" s="35">
        <f>'4JSON'!A174</f>
        <v>1511</v>
      </c>
      <c r="B180" s="25" t="str">
        <f>'4JSON'!B174</f>
        <v>Postal Clerks</v>
      </c>
      <c r="C180" s="41" t="str">
        <f>'4JSON'!C174</f>
        <v>Mail, postal and related workers</v>
      </c>
      <c r="D180" s="41">
        <f>ABS(D$5-(6-'4JSON'!D174))</f>
        <v>1</v>
      </c>
      <c r="E180" s="41">
        <f>ABS(E$5-(6-'4JSON'!E174))</f>
        <v>0</v>
      </c>
      <c r="F180" s="41">
        <f>ABS(F$5-(6-'4JSON'!F174))</f>
        <v>0</v>
      </c>
      <c r="G180" s="41">
        <f>ABS(G$5-(6-'4JSON'!G174))</f>
        <v>1</v>
      </c>
      <c r="H180" s="41">
        <f>ABS(H$5-(6-'4JSON'!H174))</f>
        <v>2</v>
      </c>
      <c r="I180" s="41">
        <f>ABS(I$5-(6-'4JSON'!I174))</f>
        <v>0</v>
      </c>
      <c r="J180" s="41">
        <f>ABS(J$5-(6-'4JSON'!J174))</f>
        <v>1</v>
      </c>
      <c r="K180" s="41">
        <f>ABS(K$5-(6-'4JSON'!K174))</f>
        <v>0</v>
      </c>
      <c r="L180" s="41">
        <f>ABS(L$5-(6-'4JSON'!L174))</f>
        <v>1</v>
      </c>
      <c r="M180" s="36">
        <f t="shared" si="1"/>
        <v>6</v>
      </c>
      <c r="N180" s="42">
        <f t="shared" si="2"/>
        <v>0.8333333333</v>
      </c>
      <c r="S180" s="35">
        <f>IFERROR(__xludf.DUMMYFUNCTION("""COMPUTED_VALUE"""),1315.0)</f>
        <v>1315</v>
      </c>
    </row>
    <row r="181">
      <c r="A181" s="35">
        <f>'4JSON'!A175</f>
        <v>9462</v>
      </c>
      <c r="B181" s="25" t="str">
        <f>'4JSON'!B175</f>
        <v>Poultry Preparers</v>
      </c>
      <c r="C181" s="41" t="str">
        <f>'4JSON'!C175</f>
        <v>Industrial butchers and meat cutters, poultry preparers and related workers</v>
      </c>
      <c r="D181" s="41">
        <f>ABS(D$5-(6-'4JSON'!D175))</f>
        <v>1</v>
      </c>
      <c r="E181" s="41">
        <f>ABS(E$5-(6-'4JSON'!E175))</f>
        <v>1</v>
      </c>
      <c r="F181" s="41">
        <f>ABS(F$5-(6-'4JSON'!F175))</f>
        <v>1</v>
      </c>
      <c r="G181" s="41">
        <f>ABS(G$5-(6-'4JSON'!G175))</f>
        <v>1</v>
      </c>
      <c r="H181" s="41">
        <f>ABS(H$5-(6-'4JSON'!H175))</f>
        <v>2</v>
      </c>
      <c r="I181" s="41">
        <f>ABS(I$5-(6-'4JSON'!I175))</f>
        <v>2</v>
      </c>
      <c r="J181" s="41">
        <f>ABS(J$5-(6-'4JSON'!J175))</f>
        <v>1</v>
      </c>
      <c r="K181" s="41">
        <f>ABS(K$5-(6-'4JSON'!K175))</f>
        <v>1</v>
      </c>
      <c r="L181" s="41">
        <f>ABS(L$5-(6-'4JSON'!L175))</f>
        <v>0</v>
      </c>
      <c r="M181" s="36">
        <f t="shared" si="1"/>
        <v>10</v>
      </c>
      <c r="N181" s="42">
        <f t="shared" si="2"/>
        <v>0.7222222222</v>
      </c>
      <c r="S181" s="35">
        <f>IFERROR(__xludf.DUMMYFUNCTION("""COMPUTED_VALUE"""),3132.0)</f>
        <v>3132</v>
      </c>
    </row>
    <row r="182">
      <c r="A182" s="35">
        <f>'4JSON'!A176</f>
        <v>9241</v>
      </c>
      <c r="B182" s="25" t="str">
        <f>'4JSON'!B176</f>
        <v>Power Station Operators</v>
      </c>
      <c r="C182" s="41" t="str">
        <f>'4JSON'!C176</f>
        <v>Power engineers and power systems operators</v>
      </c>
      <c r="D182" s="41">
        <f>ABS(D$5-(6-'4JSON'!D176))</f>
        <v>1</v>
      </c>
      <c r="E182" s="41">
        <f>ABS(E$5-(6-'4JSON'!E176))</f>
        <v>0</v>
      </c>
      <c r="F182" s="41">
        <f>ABS(F$5-(6-'4JSON'!F176))</f>
        <v>0</v>
      </c>
      <c r="G182" s="41">
        <f>ABS(G$5-(6-'4JSON'!G176))</f>
        <v>1</v>
      </c>
      <c r="H182" s="41">
        <f>ABS(H$5-(6-'4JSON'!H176))</f>
        <v>1</v>
      </c>
      <c r="I182" s="41">
        <f>ABS(I$5-(6-'4JSON'!I176))</f>
        <v>0</v>
      </c>
      <c r="J182" s="41">
        <f>ABS(J$5-(6-'4JSON'!J176))</f>
        <v>1</v>
      </c>
      <c r="K182" s="41">
        <f>ABS(K$5-(6-'4JSON'!K176))</f>
        <v>1</v>
      </c>
      <c r="L182" s="41">
        <f>ABS(L$5-(6-'4JSON'!L176))</f>
        <v>1</v>
      </c>
      <c r="M182" s="36">
        <f t="shared" si="1"/>
        <v>6</v>
      </c>
      <c r="N182" s="42">
        <f t="shared" si="2"/>
        <v>0.8333333333</v>
      </c>
      <c r="S182" s="35">
        <f>IFERROR(__xludf.DUMMYFUNCTION("""COMPUTED_VALUE"""),1525.0)</f>
        <v>1525</v>
      </c>
    </row>
    <row r="183">
      <c r="A183" s="35">
        <f>'4JSON'!A177</f>
        <v>9241</v>
      </c>
      <c r="B183" s="25" t="str">
        <f>'4JSON'!B177</f>
        <v>Power Systems Operators</v>
      </c>
      <c r="C183" s="41" t="str">
        <f>'4JSON'!C177</f>
        <v>Power engineers and power systems operators</v>
      </c>
      <c r="D183" s="41">
        <f>ABS(D$5-(6-'4JSON'!D177))</f>
        <v>1</v>
      </c>
      <c r="E183" s="41">
        <f>ABS(E$5-(6-'4JSON'!E177))</f>
        <v>0</v>
      </c>
      <c r="F183" s="41">
        <f>ABS(F$5-(6-'4JSON'!F177))</f>
        <v>0</v>
      </c>
      <c r="G183" s="41">
        <f>ABS(G$5-(6-'4JSON'!G177))</f>
        <v>1</v>
      </c>
      <c r="H183" s="41">
        <f>ABS(H$5-(6-'4JSON'!H177))</f>
        <v>1</v>
      </c>
      <c r="I183" s="41">
        <f>ABS(I$5-(6-'4JSON'!I177))</f>
        <v>0</v>
      </c>
      <c r="J183" s="41">
        <f>ABS(J$5-(6-'4JSON'!J177))</f>
        <v>1</v>
      </c>
      <c r="K183" s="41">
        <f>ABS(K$5-(6-'4JSON'!K177))</f>
        <v>1</v>
      </c>
      <c r="L183" s="41">
        <f>ABS(L$5-(6-'4JSON'!L177))</f>
        <v>1</v>
      </c>
      <c r="M183" s="36">
        <f t="shared" si="1"/>
        <v>6</v>
      </c>
      <c r="N183" s="42">
        <f t="shared" si="2"/>
        <v>0.8333333333</v>
      </c>
      <c r="S183" s="35">
        <f>IFERROR(__xludf.DUMMYFUNCTION("""COMPUTED_VALUE"""),4214.0)</f>
        <v>4214</v>
      </c>
    </row>
    <row r="184">
      <c r="A184" s="35">
        <f>'4JSON'!A178</f>
        <v>1215</v>
      </c>
      <c r="B184" s="25" t="str">
        <f>'4JSON'!B178</f>
        <v>Primary Production Managers (Except Agriculture)</v>
      </c>
      <c r="C184" s="41" t="str">
        <f>'4JSON'!C178</f>
        <v>Supervisors, supply chain, tracking and scheduling co-ordination occupations</v>
      </c>
      <c r="D184" s="41">
        <f>ABS(D$5-(6-'4JSON'!D178))</f>
        <v>2</v>
      </c>
      <c r="E184" s="41">
        <f>ABS(E$5-(6-'4JSON'!E178))</f>
        <v>1</v>
      </c>
      <c r="F184" s="41">
        <f>ABS(F$5-(6-'4JSON'!F178))</f>
        <v>1</v>
      </c>
      <c r="G184" s="41">
        <f>ABS(G$5-(6-'4JSON'!G178))</f>
        <v>0</v>
      </c>
      <c r="H184" s="41">
        <f>ABS(H$5-(6-'4JSON'!H178))</f>
        <v>1</v>
      </c>
      <c r="I184" s="41">
        <f>ABS(I$5-(6-'4JSON'!I178))</f>
        <v>0</v>
      </c>
      <c r="J184" s="41">
        <f>ABS(J$5-(6-'4JSON'!J178))</f>
        <v>1</v>
      </c>
      <c r="K184" s="41">
        <f>ABS(K$5-(6-'4JSON'!K178))</f>
        <v>1</v>
      </c>
      <c r="L184" s="41">
        <f>ABS(L$5-(6-'4JSON'!L178))</f>
        <v>1</v>
      </c>
      <c r="M184" s="36">
        <f t="shared" si="1"/>
        <v>8</v>
      </c>
      <c r="N184" s="42">
        <f t="shared" si="2"/>
        <v>0.7777777778</v>
      </c>
      <c r="S184" s="35">
        <f>IFERROR(__xludf.DUMMYFUNCTION("""COMPUTED_VALUE"""),5122.0)</f>
        <v>5122</v>
      </c>
    </row>
    <row r="185">
      <c r="A185" s="35">
        <f>'4JSON'!A179</f>
        <v>6541</v>
      </c>
      <c r="B185" s="25" t="str">
        <f>'4JSON'!B179</f>
        <v>Private Investigators</v>
      </c>
      <c r="C185" s="41" t="str">
        <f>'4JSON'!C179</f>
        <v>Security guards and related security service occupations</v>
      </c>
      <c r="D185" s="41">
        <f>ABS(D$5-(6-'4JSON'!D179))</f>
        <v>1</v>
      </c>
      <c r="E185" s="41">
        <f>ABS(E$5-(6-'4JSON'!E179))</f>
        <v>0</v>
      </c>
      <c r="F185" s="41">
        <f>ABS(F$5-(6-'4JSON'!F179))</f>
        <v>1</v>
      </c>
      <c r="G185" s="41">
        <f>ABS(G$5-(6-'4JSON'!G179))</f>
        <v>1</v>
      </c>
      <c r="H185" s="41">
        <f>ABS(H$5-(6-'4JSON'!H179))</f>
        <v>1</v>
      </c>
      <c r="I185" s="41">
        <f>ABS(I$5-(6-'4JSON'!I179))</f>
        <v>1</v>
      </c>
      <c r="J185" s="41">
        <f>ABS(J$5-(6-'4JSON'!J179))</f>
        <v>1</v>
      </c>
      <c r="K185" s="41">
        <f>ABS(K$5-(6-'4JSON'!K179))</f>
        <v>1</v>
      </c>
      <c r="L185" s="41">
        <f>ABS(L$5-(6-'4JSON'!L179))</f>
        <v>1</v>
      </c>
      <c r="M185" s="36">
        <f t="shared" si="1"/>
        <v>8</v>
      </c>
      <c r="N185" s="42">
        <f t="shared" si="2"/>
        <v>0.7777777778</v>
      </c>
      <c r="S185" s="35">
        <f>IFERROR(__xludf.DUMMYFUNCTION("""COMPUTED_VALUE"""),4166.0)</f>
        <v>4166</v>
      </c>
    </row>
    <row r="186">
      <c r="A186" s="35">
        <f>'4JSON'!A180</f>
        <v>6561</v>
      </c>
      <c r="B186" s="25" t="str">
        <f>'4JSON'!B180</f>
        <v>Psychic Consultants</v>
      </c>
      <c r="C186" s="41" t="str">
        <f>'4JSON'!C180</f>
        <v>Image, social and other personal consultants</v>
      </c>
      <c r="D186" s="41">
        <f>ABS(D$5-(6-'4JSON'!D180))</f>
        <v>1</v>
      </c>
      <c r="E186" s="41">
        <f>ABS(E$5-(6-'4JSON'!E180))</f>
        <v>0</v>
      </c>
      <c r="F186" s="41">
        <f>ABS(F$5-(6-'4JSON'!F180))</f>
        <v>1</v>
      </c>
      <c r="G186" s="41">
        <f>ABS(G$5-(6-'4JSON'!G180))</f>
        <v>1</v>
      </c>
      <c r="H186" s="41">
        <f>ABS(H$5-(6-'4JSON'!H180))</f>
        <v>1</v>
      </c>
      <c r="I186" s="41">
        <f>ABS(I$5-(6-'4JSON'!I180))</f>
        <v>1</v>
      </c>
      <c r="J186" s="41">
        <f>ABS(J$5-(6-'4JSON'!J180))</f>
        <v>1</v>
      </c>
      <c r="K186" s="41">
        <f>ABS(K$5-(6-'4JSON'!K180))</f>
        <v>1</v>
      </c>
      <c r="L186" s="41">
        <f>ABS(L$5-(6-'4JSON'!L180))</f>
        <v>1</v>
      </c>
      <c r="M186" s="36">
        <f t="shared" si="1"/>
        <v>8</v>
      </c>
      <c r="N186" s="42">
        <f t="shared" si="2"/>
        <v>0.7777777778</v>
      </c>
      <c r="S186" s="35">
        <f>IFERROR(__xludf.DUMMYFUNCTION("""COMPUTED_VALUE"""),4032.0)</f>
        <v>4032</v>
      </c>
    </row>
    <row r="187">
      <c r="A187" s="35">
        <f>'4JSON'!A181</f>
        <v>7362</v>
      </c>
      <c r="B187" s="25" t="str">
        <f>'4JSON'!B181</f>
        <v>Railway Conductors</v>
      </c>
      <c r="C187" s="41" t="str">
        <f>'4JSON'!C181</f>
        <v>Railway conductors and brakemen/women</v>
      </c>
      <c r="D187" s="41">
        <f>ABS(D$5-(6-'4JSON'!D181))</f>
        <v>1</v>
      </c>
      <c r="E187" s="41">
        <f>ABS(E$5-(6-'4JSON'!E181))</f>
        <v>0</v>
      </c>
      <c r="F187" s="41">
        <f>ABS(F$5-(6-'4JSON'!F181))</f>
        <v>1</v>
      </c>
      <c r="G187" s="41">
        <f>ABS(G$5-(6-'4JSON'!G181))</f>
        <v>1</v>
      </c>
      <c r="H187" s="41">
        <f>ABS(H$5-(6-'4JSON'!H181))</f>
        <v>2</v>
      </c>
      <c r="I187" s="41">
        <f>ABS(I$5-(6-'4JSON'!I181))</f>
        <v>0</v>
      </c>
      <c r="J187" s="41">
        <f>ABS(J$5-(6-'4JSON'!J181))</f>
        <v>1</v>
      </c>
      <c r="K187" s="41">
        <f>ABS(K$5-(6-'4JSON'!K181))</f>
        <v>1</v>
      </c>
      <c r="L187" s="41">
        <f>ABS(L$5-(6-'4JSON'!L181))</f>
        <v>1</v>
      </c>
      <c r="M187" s="36">
        <f t="shared" si="1"/>
        <v>8</v>
      </c>
      <c r="N187" s="42">
        <f t="shared" si="2"/>
        <v>0.7777777778</v>
      </c>
      <c r="S187" s="35">
        <f>IFERROR(__xludf.DUMMYFUNCTION("""COMPUTED_VALUE"""),211.0)</f>
        <v>211</v>
      </c>
    </row>
    <row r="188">
      <c r="A188" s="35">
        <f>'4JSON'!A182</f>
        <v>4167</v>
      </c>
      <c r="B188" s="25" t="str">
        <f>'4JSON'!B182</f>
        <v>Recreation Consultants</v>
      </c>
      <c r="C188" s="41" t="str">
        <f>'4JSON'!C182</f>
        <v>Recreation, sports and fitness policy researchers, consultants and program officers</v>
      </c>
      <c r="D188" s="41">
        <f>ABS(D$5-(6-'4JSON'!D182))</f>
        <v>1</v>
      </c>
      <c r="E188" s="41">
        <f>ABS(E$5-(6-'4JSON'!E182))</f>
        <v>1</v>
      </c>
      <c r="F188" s="41">
        <f>ABS(F$5-(6-'4JSON'!F182))</f>
        <v>0</v>
      </c>
      <c r="G188" s="41">
        <f>ABS(G$5-(6-'4JSON'!G182))</f>
        <v>0</v>
      </c>
      <c r="H188" s="41">
        <f>ABS(H$5-(6-'4JSON'!H182))</f>
        <v>1</v>
      </c>
      <c r="I188" s="41">
        <f>ABS(I$5-(6-'4JSON'!I182))</f>
        <v>1</v>
      </c>
      <c r="J188" s="41">
        <f>ABS(J$5-(6-'4JSON'!J182))</f>
        <v>0</v>
      </c>
      <c r="K188" s="41">
        <f>ABS(K$5-(6-'4JSON'!K182))</f>
        <v>1</v>
      </c>
      <c r="L188" s="41">
        <f>ABS(L$5-(6-'4JSON'!L182))</f>
        <v>1</v>
      </c>
      <c r="M188" s="36">
        <f t="shared" si="1"/>
        <v>6</v>
      </c>
      <c r="N188" s="42">
        <f t="shared" si="2"/>
        <v>0.8333333333</v>
      </c>
      <c r="S188" s="35">
        <f>IFERROR(__xludf.DUMMYFUNCTION("""COMPUTED_VALUE"""),1228.0)</f>
        <v>1228</v>
      </c>
    </row>
    <row r="189">
      <c r="A189" s="35">
        <f>'4JSON'!A183</f>
        <v>4161</v>
      </c>
      <c r="B189" s="25" t="str">
        <f>'4JSON'!B183</f>
        <v>Science Policy and Program Officers</v>
      </c>
      <c r="C189" s="41" t="str">
        <f>'4JSON'!C183</f>
        <v>Natural and applied science policy researchers, consultants and program officers</v>
      </c>
      <c r="D189" s="41">
        <f>ABS(D$5-(6-'4JSON'!D183))</f>
        <v>2</v>
      </c>
      <c r="E189" s="41">
        <f>ABS(E$5-(6-'4JSON'!E183))</f>
        <v>1</v>
      </c>
      <c r="F189" s="41">
        <f>ABS(F$5-(6-'4JSON'!F183))</f>
        <v>1</v>
      </c>
      <c r="G189" s="41">
        <f>ABS(G$5-(6-'4JSON'!G183))</f>
        <v>0</v>
      </c>
      <c r="H189" s="41">
        <f>ABS(H$5-(6-'4JSON'!H183))</f>
        <v>1</v>
      </c>
      <c r="I189" s="41">
        <f>ABS(I$5-(6-'4JSON'!I183))</f>
        <v>0</v>
      </c>
      <c r="J189" s="41">
        <f>ABS(J$5-(6-'4JSON'!J183))</f>
        <v>1</v>
      </c>
      <c r="K189" s="41">
        <f>ABS(K$5-(6-'4JSON'!K183))</f>
        <v>1</v>
      </c>
      <c r="L189" s="41">
        <f>ABS(L$5-(6-'4JSON'!L183))</f>
        <v>1</v>
      </c>
      <c r="M189" s="36">
        <f t="shared" si="1"/>
        <v>8</v>
      </c>
      <c r="N189" s="42">
        <f t="shared" si="2"/>
        <v>0.7777777778</v>
      </c>
      <c r="S189" s="35">
        <f>IFERROR(__xludf.DUMMYFUNCTION("""COMPUTED_VALUE"""),1222.0)</f>
        <v>1222</v>
      </c>
    </row>
    <row r="190">
      <c r="A190" s="35">
        <f>'4JSON'!A184</f>
        <v>5227</v>
      </c>
      <c r="B190" s="25" t="str">
        <f>'4JSON'!B184</f>
        <v>Script Assistants</v>
      </c>
      <c r="C190" s="41" t="str">
        <f>'4JSON'!C184</f>
        <v>Support occupations in motion pictures, broadcasting, photography and the performing arts</v>
      </c>
      <c r="D190" s="41">
        <f>ABS(D$5-(6-'4JSON'!D184))</f>
        <v>1</v>
      </c>
      <c r="E190" s="41">
        <f>ABS(E$5-(6-'4JSON'!E184))</f>
        <v>0</v>
      </c>
      <c r="F190" s="41">
        <f>ABS(F$5-(6-'4JSON'!F184))</f>
        <v>1</v>
      </c>
      <c r="G190" s="41">
        <f>ABS(G$5-(6-'4JSON'!G184))</f>
        <v>1</v>
      </c>
      <c r="H190" s="41">
        <f>ABS(H$5-(6-'4JSON'!H184))</f>
        <v>2</v>
      </c>
      <c r="I190" s="41">
        <f>ABS(I$5-(6-'4JSON'!I184))</f>
        <v>0</v>
      </c>
      <c r="J190" s="41">
        <f>ABS(J$5-(6-'4JSON'!J184))</f>
        <v>1</v>
      </c>
      <c r="K190" s="41">
        <f>ABS(K$5-(6-'4JSON'!K184))</f>
        <v>1</v>
      </c>
      <c r="L190" s="41">
        <f>ABS(L$5-(6-'4JSON'!L184))</f>
        <v>1</v>
      </c>
      <c r="M190" s="36">
        <f t="shared" si="1"/>
        <v>8</v>
      </c>
      <c r="N190" s="42">
        <f t="shared" si="2"/>
        <v>0.7777777778</v>
      </c>
      <c r="S190" s="35">
        <f>IFERROR(__xludf.DUMMYFUNCTION("""COMPUTED_VALUE"""),6321.0)</f>
        <v>6321</v>
      </c>
    </row>
    <row r="191">
      <c r="A191" s="35">
        <f>'4JSON'!A185</f>
        <v>8613</v>
      </c>
      <c r="B191" s="25" t="str">
        <f>'4JSON'!B185</f>
        <v>Shellfish Harvesters</v>
      </c>
      <c r="C191" s="41" t="str">
        <f>'4JSON'!C185</f>
        <v>Aquaculture and marine harvest labourers</v>
      </c>
      <c r="D191" s="41">
        <f>ABS(D$5-(6-'4JSON'!D185))</f>
        <v>0</v>
      </c>
      <c r="E191" s="41">
        <f>ABS(E$5-(6-'4JSON'!E185))</f>
        <v>1</v>
      </c>
      <c r="F191" s="41">
        <f>ABS(F$5-(6-'4JSON'!F185))</f>
        <v>1</v>
      </c>
      <c r="G191" s="41">
        <f>ABS(G$5-(6-'4JSON'!G185))</f>
        <v>1</v>
      </c>
      <c r="H191" s="41">
        <f>ABS(H$5-(6-'4JSON'!H185))</f>
        <v>2</v>
      </c>
      <c r="I191" s="41">
        <f>ABS(I$5-(6-'4JSON'!I185))</f>
        <v>1</v>
      </c>
      <c r="J191" s="41">
        <f>ABS(J$5-(6-'4JSON'!J185))</f>
        <v>1</v>
      </c>
      <c r="K191" s="41">
        <f>ABS(K$5-(6-'4JSON'!K185))</f>
        <v>0</v>
      </c>
      <c r="L191" s="41">
        <f>ABS(L$5-(6-'4JSON'!L185))</f>
        <v>1</v>
      </c>
      <c r="M191" s="36">
        <f t="shared" si="1"/>
        <v>8</v>
      </c>
      <c r="N191" s="42">
        <f t="shared" si="2"/>
        <v>0.7777777778</v>
      </c>
      <c r="S191" s="35">
        <f>IFERROR(__xludf.DUMMYFUNCTION("""COMPUTED_VALUE"""),6312.0)</f>
        <v>6312</v>
      </c>
    </row>
    <row r="192">
      <c r="A192" s="35">
        <f>'4JSON'!A186</f>
        <v>4421</v>
      </c>
      <c r="B192" s="25" t="str">
        <f>'4JSON'!B186</f>
        <v>Sheriffs and Bailiffs</v>
      </c>
      <c r="C192" s="41" t="str">
        <f>'4JSON'!C186</f>
        <v>Sheriffs and bailiffs</v>
      </c>
      <c r="D192" s="41">
        <f>ABS(D$5-(6-'4JSON'!D186))</f>
        <v>1</v>
      </c>
      <c r="E192" s="41">
        <f>ABS(E$5-(6-'4JSON'!E186))</f>
        <v>0</v>
      </c>
      <c r="F192" s="41">
        <f>ABS(F$5-(6-'4JSON'!F186))</f>
        <v>1</v>
      </c>
      <c r="G192" s="41">
        <f>ABS(G$5-(6-'4JSON'!G186))</f>
        <v>1</v>
      </c>
      <c r="H192" s="41">
        <f>ABS(H$5-(6-'4JSON'!H186))</f>
        <v>2</v>
      </c>
      <c r="I192" s="41">
        <f>ABS(I$5-(6-'4JSON'!I186))</f>
        <v>0</v>
      </c>
      <c r="J192" s="41">
        <f>ABS(J$5-(6-'4JSON'!J186))</f>
        <v>1</v>
      </c>
      <c r="K192" s="41">
        <f>ABS(K$5-(6-'4JSON'!K186))</f>
        <v>1</v>
      </c>
      <c r="L192" s="41">
        <f>ABS(L$5-(6-'4JSON'!L186))</f>
        <v>1</v>
      </c>
      <c r="M192" s="36">
        <f t="shared" si="1"/>
        <v>8</v>
      </c>
      <c r="N192" s="42">
        <f t="shared" si="2"/>
        <v>0.7777777778</v>
      </c>
      <c r="S192" s="35">
        <f>IFERROR(__xludf.DUMMYFUNCTION("""COMPUTED_VALUE"""),1411.0)</f>
        <v>1411</v>
      </c>
    </row>
    <row r="193">
      <c r="A193" s="35">
        <f>'4JSON'!A187</f>
        <v>6522</v>
      </c>
      <c r="B193" s="25" t="str">
        <f>'4JSON'!B187</f>
        <v>Ship Pursers</v>
      </c>
      <c r="C193" s="41" t="str">
        <f>'4JSON'!C187</f>
        <v>Pursers and flight attendants</v>
      </c>
      <c r="D193" s="41">
        <f>ABS(D$5-(6-'4JSON'!D187))</f>
        <v>1</v>
      </c>
      <c r="E193" s="41">
        <f>ABS(E$5-(6-'4JSON'!E187))</f>
        <v>0</v>
      </c>
      <c r="F193" s="41">
        <f>ABS(F$5-(6-'4JSON'!F187))</f>
        <v>1</v>
      </c>
      <c r="G193" s="41">
        <f>ABS(G$5-(6-'4JSON'!G187))</f>
        <v>1</v>
      </c>
      <c r="H193" s="41">
        <f>ABS(H$5-(6-'4JSON'!H187))</f>
        <v>2</v>
      </c>
      <c r="I193" s="41">
        <f>ABS(I$5-(6-'4JSON'!I187))</f>
        <v>0</v>
      </c>
      <c r="J193" s="41">
        <f>ABS(J$5-(6-'4JSON'!J187))</f>
        <v>1</v>
      </c>
      <c r="K193" s="41">
        <f>ABS(K$5-(6-'4JSON'!K187))</f>
        <v>1</v>
      </c>
      <c r="L193" s="41">
        <f>ABS(L$5-(6-'4JSON'!L187))</f>
        <v>1</v>
      </c>
      <c r="M193" s="36">
        <f t="shared" si="1"/>
        <v>8</v>
      </c>
      <c r="N193" s="42">
        <f t="shared" si="2"/>
        <v>0.7777777778</v>
      </c>
      <c r="S193" s="35">
        <f>IFERROR(__xludf.DUMMYFUNCTION("""COMPUTED_VALUE"""),9463.0)</f>
        <v>9463</v>
      </c>
    </row>
    <row r="194">
      <c r="A194" s="35">
        <f>'4JSON'!A188</f>
        <v>5133</v>
      </c>
      <c r="B194" s="25" t="str">
        <f>'4JSON'!B188</f>
        <v>Singers</v>
      </c>
      <c r="C194" s="41" t="str">
        <f>'4JSON'!C188</f>
        <v>Musicians and singers</v>
      </c>
      <c r="D194" s="41">
        <f>ABS(D$5-(6-'4JSON'!D188))</f>
        <v>2</v>
      </c>
      <c r="E194" s="41">
        <f>ABS(E$5-(6-'4JSON'!E188))</f>
        <v>1</v>
      </c>
      <c r="F194" s="41">
        <f>ABS(F$5-(6-'4JSON'!F188))</f>
        <v>1</v>
      </c>
      <c r="G194" s="41">
        <f>ABS(G$5-(6-'4JSON'!G188))</f>
        <v>2</v>
      </c>
      <c r="H194" s="41">
        <f>ABS(H$5-(6-'4JSON'!H188))</f>
        <v>1</v>
      </c>
      <c r="I194" s="41">
        <f>ABS(I$5-(6-'4JSON'!I188))</f>
        <v>0</v>
      </c>
      <c r="J194" s="41">
        <f>ABS(J$5-(6-'4JSON'!J188))</f>
        <v>1</v>
      </c>
      <c r="K194" s="41">
        <f>ABS(K$5-(6-'4JSON'!K188))</f>
        <v>1</v>
      </c>
      <c r="L194" s="41">
        <f>ABS(L$5-(6-'4JSON'!L188))</f>
        <v>1</v>
      </c>
      <c r="M194" s="36">
        <f t="shared" si="1"/>
        <v>10</v>
      </c>
      <c r="N194" s="42">
        <f t="shared" si="2"/>
        <v>0.7222222222</v>
      </c>
      <c r="S194" s="35">
        <f>IFERROR(__xludf.DUMMYFUNCTION("""COMPUTED_VALUE"""),6513.0)</f>
        <v>6513</v>
      </c>
    </row>
    <row r="195">
      <c r="A195" s="35">
        <f>'4JSON'!A189</f>
        <v>4167</v>
      </c>
      <c r="B195" s="25" t="str">
        <f>'4JSON'!B189</f>
        <v>Sports Consultants</v>
      </c>
      <c r="C195" s="41" t="str">
        <f>'4JSON'!C189</f>
        <v>Recreation, sports and fitness policy researchers, consultants and program officers</v>
      </c>
      <c r="D195" s="41">
        <f>ABS(D$5-(6-'4JSON'!D189))</f>
        <v>1</v>
      </c>
      <c r="E195" s="41">
        <f>ABS(E$5-(6-'4JSON'!E189))</f>
        <v>1</v>
      </c>
      <c r="F195" s="41">
        <f>ABS(F$5-(6-'4JSON'!F189))</f>
        <v>0</v>
      </c>
      <c r="G195" s="41">
        <f>ABS(G$5-(6-'4JSON'!G189))</f>
        <v>0</v>
      </c>
      <c r="H195" s="41">
        <f>ABS(H$5-(6-'4JSON'!H189))</f>
        <v>1</v>
      </c>
      <c r="I195" s="41">
        <f>ABS(I$5-(6-'4JSON'!I189))</f>
        <v>0</v>
      </c>
      <c r="J195" s="41">
        <f>ABS(J$5-(6-'4JSON'!J189))</f>
        <v>1</v>
      </c>
      <c r="K195" s="41">
        <f>ABS(K$5-(6-'4JSON'!K189))</f>
        <v>1</v>
      </c>
      <c r="L195" s="41">
        <f>ABS(L$5-(6-'4JSON'!L189))</f>
        <v>1</v>
      </c>
      <c r="M195" s="36">
        <f t="shared" si="1"/>
        <v>6</v>
      </c>
      <c r="N195" s="42">
        <f t="shared" si="2"/>
        <v>0.8333333333</v>
      </c>
      <c r="S195" s="35">
        <f>IFERROR(__xludf.DUMMYFUNCTION("""COMPUTED_VALUE"""),6711.0)</f>
        <v>6711</v>
      </c>
    </row>
    <row r="196">
      <c r="A196" s="35">
        <f>'4JSON'!A190</f>
        <v>9217</v>
      </c>
      <c r="B196" s="25" t="str">
        <f>'4JSON'!B190</f>
        <v>Supervisors, Fabric, Fur and Leather Products Manufacturing</v>
      </c>
      <c r="C196" s="41" t="str">
        <f>'4JSON'!C190</f>
        <v>Supervisors, textile, fabric, fur and leather products processing and manufacturing</v>
      </c>
      <c r="D196" s="41">
        <f>ABS(D$5-(6-'4JSON'!D190))</f>
        <v>1</v>
      </c>
      <c r="E196" s="41">
        <f>ABS(E$5-(6-'4JSON'!E190))</f>
        <v>0</v>
      </c>
      <c r="F196" s="41">
        <f>ABS(F$5-(6-'4JSON'!F190))</f>
        <v>0</v>
      </c>
      <c r="G196" s="41">
        <f>ABS(G$5-(6-'4JSON'!G190))</f>
        <v>1</v>
      </c>
      <c r="H196" s="41">
        <f>ABS(H$5-(6-'4JSON'!H190))</f>
        <v>1</v>
      </c>
      <c r="I196" s="41">
        <f>ABS(I$5-(6-'4JSON'!I190))</f>
        <v>0</v>
      </c>
      <c r="J196" s="41">
        <f>ABS(J$5-(6-'4JSON'!J190))</f>
        <v>1</v>
      </c>
      <c r="K196" s="41">
        <f>ABS(K$5-(6-'4JSON'!K190))</f>
        <v>1</v>
      </c>
      <c r="L196" s="41">
        <f>ABS(L$5-(6-'4JSON'!L190))</f>
        <v>1</v>
      </c>
      <c r="M196" s="36">
        <f t="shared" si="1"/>
        <v>6</v>
      </c>
      <c r="N196" s="42">
        <f t="shared" si="2"/>
        <v>0.8333333333</v>
      </c>
      <c r="S196" s="35">
        <f>IFERROR(__xludf.DUMMYFUNCTION("""COMPUTED_VALUE"""),6311.0)</f>
        <v>6311</v>
      </c>
    </row>
    <row r="197">
      <c r="A197" s="35">
        <f>'4JSON'!A191</f>
        <v>9224</v>
      </c>
      <c r="B197" s="25" t="str">
        <f>'4JSON'!B191</f>
        <v>Supervisors, Furniture and Fixtures Manufacturing</v>
      </c>
      <c r="C197" s="41" t="str">
        <f>'4JSON'!C191</f>
        <v>Supervisors, furniture and fixtures manufacturing</v>
      </c>
      <c r="D197" s="41">
        <f>ABS(D$5-(6-'4JSON'!D191))</f>
        <v>1</v>
      </c>
      <c r="E197" s="41">
        <f>ABS(E$5-(6-'4JSON'!E191))</f>
        <v>0</v>
      </c>
      <c r="F197" s="41">
        <f>ABS(F$5-(6-'4JSON'!F191))</f>
        <v>0</v>
      </c>
      <c r="G197" s="41">
        <f>ABS(G$5-(6-'4JSON'!G191))</f>
        <v>1</v>
      </c>
      <c r="H197" s="41">
        <f>ABS(H$5-(6-'4JSON'!H191))</f>
        <v>1</v>
      </c>
      <c r="I197" s="41">
        <f>ABS(I$5-(6-'4JSON'!I191))</f>
        <v>0</v>
      </c>
      <c r="J197" s="41">
        <f>ABS(J$5-(6-'4JSON'!J191))</f>
        <v>1</v>
      </c>
      <c r="K197" s="41">
        <f>ABS(K$5-(6-'4JSON'!K191))</f>
        <v>1</v>
      </c>
      <c r="L197" s="41">
        <f>ABS(L$5-(6-'4JSON'!L191))</f>
        <v>1</v>
      </c>
      <c r="M197" s="36">
        <f t="shared" si="1"/>
        <v>6</v>
      </c>
      <c r="N197" s="42">
        <f t="shared" si="2"/>
        <v>0.8333333333</v>
      </c>
      <c r="S197" s="35">
        <f>IFERROR(__xludf.DUMMYFUNCTION("""COMPUTED_VALUE"""),6533.0)</f>
        <v>6533</v>
      </c>
    </row>
    <row r="198">
      <c r="A198" s="35">
        <f>'4JSON'!A192</f>
        <v>8211</v>
      </c>
      <c r="B198" s="25" t="str">
        <f>'4JSON'!B192</f>
        <v>Supervisors, Logging and Forestry</v>
      </c>
      <c r="C198" s="41" t="str">
        <f>'4JSON'!C192</f>
        <v>Supervisors, logging and forestry</v>
      </c>
      <c r="D198" s="41">
        <f>ABS(D$5-(6-'4JSON'!D192))</f>
        <v>1</v>
      </c>
      <c r="E198" s="41">
        <f>ABS(E$5-(6-'4JSON'!E192))</f>
        <v>0</v>
      </c>
      <c r="F198" s="41">
        <f>ABS(F$5-(6-'4JSON'!F192))</f>
        <v>0</v>
      </c>
      <c r="G198" s="41">
        <f>ABS(G$5-(6-'4JSON'!G192))</f>
        <v>0</v>
      </c>
      <c r="H198" s="41">
        <f>ABS(H$5-(6-'4JSON'!H192))</f>
        <v>2</v>
      </c>
      <c r="I198" s="41">
        <f>ABS(I$5-(6-'4JSON'!I192))</f>
        <v>0</v>
      </c>
      <c r="J198" s="41">
        <f>ABS(J$5-(6-'4JSON'!J192))</f>
        <v>1</v>
      </c>
      <c r="K198" s="41">
        <f>ABS(K$5-(6-'4JSON'!K192))</f>
        <v>1</v>
      </c>
      <c r="L198" s="41">
        <f>ABS(L$5-(6-'4JSON'!L192))</f>
        <v>1</v>
      </c>
      <c r="M198" s="36">
        <f t="shared" si="1"/>
        <v>6</v>
      </c>
      <c r="N198" s="42">
        <f t="shared" si="2"/>
        <v>0.8333333333</v>
      </c>
      <c r="S198" s="35">
        <f>IFERROR(__xludf.DUMMYFUNCTION("""COMPUTED_VALUE"""),2144.0)</f>
        <v>2144</v>
      </c>
    </row>
    <row r="199">
      <c r="A199" s="35">
        <f>'4JSON'!A193</f>
        <v>9221</v>
      </c>
      <c r="B199" s="25" t="str">
        <f>'4JSON'!B193</f>
        <v>Supervisors, Motor Vehicle Assembling</v>
      </c>
      <c r="C199" s="41" t="str">
        <f>'4JSON'!C193</f>
        <v>Supervisors, motor vehicle assembling</v>
      </c>
      <c r="D199" s="41">
        <f>ABS(D$5-(6-'4JSON'!D193))</f>
        <v>1</v>
      </c>
      <c r="E199" s="41">
        <f>ABS(E$5-(6-'4JSON'!E193))</f>
        <v>0</v>
      </c>
      <c r="F199" s="41">
        <f>ABS(F$5-(6-'4JSON'!F193))</f>
        <v>0</v>
      </c>
      <c r="G199" s="41">
        <f>ABS(G$5-(6-'4JSON'!G193))</f>
        <v>1</v>
      </c>
      <c r="H199" s="41">
        <f>ABS(H$5-(6-'4JSON'!H193))</f>
        <v>1</v>
      </c>
      <c r="I199" s="41">
        <f>ABS(I$5-(6-'4JSON'!I193))</f>
        <v>0</v>
      </c>
      <c r="J199" s="41">
        <f>ABS(J$5-(6-'4JSON'!J193))</f>
        <v>1</v>
      </c>
      <c r="K199" s="41">
        <f>ABS(K$5-(6-'4JSON'!K193))</f>
        <v>1</v>
      </c>
      <c r="L199" s="41">
        <f>ABS(L$5-(6-'4JSON'!L193))</f>
        <v>1</v>
      </c>
      <c r="M199" s="36">
        <f t="shared" si="1"/>
        <v>6</v>
      </c>
      <c r="N199" s="42">
        <f t="shared" si="2"/>
        <v>0.8333333333</v>
      </c>
      <c r="S199" s="35">
        <f>IFERROR(__xludf.DUMMYFUNCTION("""COMPUTED_VALUE"""),2113.0)</f>
        <v>2113</v>
      </c>
    </row>
    <row r="200">
      <c r="A200" s="35">
        <f>'4JSON'!A194</f>
        <v>2171</v>
      </c>
      <c r="B200" s="25" t="str">
        <f>'4JSON'!B194</f>
        <v>Systems Auditors</v>
      </c>
      <c r="C200" s="41" t="str">
        <f>'4JSON'!C194</f>
        <v>Information systems analysts and consultants</v>
      </c>
      <c r="D200" s="41">
        <f>ABS(D$5-(6-'4JSON'!D194))</f>
        <v>2</v>
      </c>
      <c r="E200" s="41">
        <f>ABS(E$5-(6-'4JSON'!E194))</f>
        <v>1</v>
      </c>
      <c r="F200" s="41">
        <f>ABS(F$5-(6-'4JSON'!F194))</f>
        <v>1</v>
      </c>
      <c r="G200" s="41">
        <f>ABS(G$5-(6-'4JSON'!G194))</f>
        <v>0</v>
      </c>
      <c r="H200" s="41">
        <f>ABS(H$5-(6-'4JSON'!H194))</f>
        <v>1</v>
      </c>
      <c r="I200" s="41">
        <f>ABS(I$5-(6-'4JSON'!I194))</f>
        <v>0</v>
      </c>
      <c r="J200" s="41">
        <f>ABS(J$5-(6-'4JSON'!J194))</f>
        <v>1</v>
      </c>
      <c r="K200" s="41">
        <f>ABS(K$5-(6-'4JSON'!K194))</f>
        <v>1</v>
      </c>
      <c r="L200" s="41">
        <f>ABS(L$5-(6-'4JSON'!L194))</f>
        <v>1</v>
      </c>
      <c r="M200" s="36">
        <f t="shared" si="1"/>
        <v>8</v>
      </c>
      <c r="N200" s="42">
        <f t="shared" si="2"/>
        <v>0.7777777778</v>
      </c>
      <c r="S200" s="35">
        <f>IFERROR(__xludf.DUMMYFUNCTION("""COMPUTED_VALUE"""),6221.0)</f>
        <v>6221</v>
      </c>
    </row>
    <row r="201">
      <c r="A201" s="35">
        <f>'4JSON'!A195</f>
        <v>2283</v>
      </c>
      <c r="B201" s="25" t="str">
        <f>'4JSON'!B195</f>
        <v>Systems Testing Technicians</v>
      </c>
      <c r="C201" s="41" t="str">
        <f>'4JSON'!C195</f>
        <v>Information systems testing technicians</v>
      </c>
      <c r="D201" s="41">
        <f>ABS(D$5-(6-'4JSON'!D195))</f>
        <v>2</v>
      </c>
      <c r="E201" s="41">
        <f>ABS(E$5-(6-'4JSON'!E195))</f>
        <v>1</v>
      </c>
      <c r="F201" s="41">
        <f>ABS(F$5-(6-'4JSON'!F195))</f>
        <v>1</v>
      </c>
      <c r="G201" s="41">
        <f>ABS(G$5-(6-'4JSON'!G195))</f>
        <v>0</v>
      </c>
      <c r="H201" s="41">
        <f>ABS(H$5-(6-'4JSON'!H195))</f>
        <v>1</v>
      </c>
      <c r="I201" s="41">
        <f>ABS(I$5-(6-'4JSON'!I195))</f>
        <v>0</v>
      </c>
      <c r="J201" s="41">
        <f>ABS(J$5-(6-'4JSON'!J195))</f>
        <v>1</v>
      </c>
      <c r="K201" s="41">
        <f>ABS(K$5-(6-'4JSON'!K195))</f>
        <v>1</v>
      </c>
      <c r="L201" s="41">
        <f>ABS(L$5-(6-'4JSON'!L195))</f>
        <v>1</v>
      </c>
      <c r="M201" s="36">
        <f t="shared" si="1"/>
        <v>8</v>
      </c>
      <c r="N201" s="42">
        <f t="shared" si="2"/>
        <v>0.7777777778</v>
      </c>
      <c r="S201" s="35">
        <f>IFERROR(__xludf.DUMMYFUNCTION("""COMPUTED_VALUE"""),4165.0)</f>
        <v>4165</v>
      </c>
    </row>
    <row r="202">
      <c r="A202" s="35">
        <f>'4JSON'!A196</f>
        <v>9441</v>
      </c>
      <c r="B202" s="25" t="str">
        <f>'4JSON'!B196</f>
        <v>Textile Dyeing and Finishing Machine Operators</v>
      </c>
      <c r="C202" s="41" t="str">
        <f>'4JSON'!C196</f>
        <v>Textile fibre and yarn, hide and pelt processing machine operators and workers</v>
      </c>
      <c r="D202" s="41">
        <f>ABS(D$5-(6-'4JSON'!D196))</f>
        <v>0</v>
      </c>
      <c r="E202" s="41">
        <f>ABS(E$5-(6-'4JSON'!E196))</f>
        <v>1</v>
      </c>
      <c r="F202" s="41">
        <f>ABS(F$5-(6-'4JSON'!F196))</f>
        <v>1</v>
      </c>
      <c r="G202" s="41">
        <f>ABS(G$5-(6-'4JSON'!G196))</f>
        <v>1</v>
      </c>
      <c r="H202" s="41">
        <f>ABS(H$5-(6-'4JSON'!H196))</f>
        <v>2</v>
      </c>
      <c r="I202" s="41">
        <f>ABS(I$5-(6-'4JSON'!I196))</f>
        <v>1</v>
      </c>
      <c r="J202" s="41">
        <f>ABS(J$5-(6-'4JSON'!J196))</f>
        <v>1</v>
      </c>
      <c r="K202" s="41">
        <f>ABS(K$5-(6-'4JSON'!K196))</f>
        <v>1</v>
      </c>
      <c r="L202" s="41">
        <f>ABS(L$5-(6-'4JSON'!L196))</f>
        <v>0</v>
      </c>
      <c r="M202" s="36">
        <f t="shared" si="1"/>
        <v>8</v>
      </c>
      <c r="N202" s="42">
        <f t="shared" si="2"/>
        <v>0.7777777778</v>
      </c>
      <c r="S202" s="35">
        <f>IFERROR(__xludf.DUMMYFUNCTION("""COMPUTED_VALUE"""),6525.0)</f>
        <v>6525</v>
      </c>
    </row>
    <row r="203">
      <c r="A203" s="35">
        <f>'4JSON'!A197</f>
        <v>731</v>
      </c>
      <c r="B203" s="25" t="str">
        <f>'4JSON'!B197</f>
        <v>Transportation Managers, Freight Traffic</v>
      </c>
      <c r="C203" s="41" t="str">
        <f>'4JSON'!C197</f>
        <v>Managers in transportation</v>
      </c>
      <c r="D203" s="41">
        <f>ABS(D$5-(6-'4JSON'!D197))</f>
        <v>2</v>
      </c>
      <c r="E203" s="41">
        <f>ABS(E$5-(6-'4JSON'!E197))</f>
        <v>1</v>
      </c>
      <c r="F203" s="41">
        <f>ABS(F$5-(6-'4JSON'!F197))</f>
        <v>0</v>
      </c>
      <c r="G203" s="41">
        <f>ABS(G$5-(6-'4JSON'!G197))</f>
        <v>0</v>
      </c>
      <c r="H203" s="41">
        <f>ABS(H$5-(6-'4JSON'!H197))</f>
        <v>2</v>
      </c>
      <c r="I203" s="41">
        <f>ABS(I$5-(6-'4JSON'!I197))</f>
        <v>0</v>
      </c>
      <c r="J203" s="41">
        <f>ABS(J$5-(6-'4JSON'!J197))</f>
        <v>1</v>
      </c>
      <c r="K203" s="41">
        <f>ABS(K$5-(6-'4JSON'!K197))</f>
        <v>1</v>
      </c>
      <c r="L203" s="41">
        <f>ABS(L$5-(6-'4JSON'!L197))</f>
        <v>1</v>
      </c>
      <c r="M203" s="36">
        <f t="shared" si="1"/>
        <v>8</v>
      </c>
      <c r="N203" s="42">
        <f t="shared" si="2"/>
        <v>0.7777777778</v>
      </c>
      <c r="S203" s="35">
        <f>IFERROR(__xludf.DUMMYFUNCTION("""COMPUTED_VALUE"""),8442.0)</f>
        <v>8442</v>
      </c>
    </row>
    <row r="204">
      <c r="A204" s="35">
        <f>'4JSON'!A198</f>
        <v>731</v>
      </c>
      <c r="B204" s="25" t="str">
        <f>'4JSON'!B198</f>
        <v>Transportation Managers, Operations</v>
      </c>
      <c r="C204" s="41" t="str">
        <f>'4JSON'!C198</f>
        <v>Managers in transportation</v>
      </c>
      <c r="D204" s="41">
        <f>ABS(D$5-(6-'4JSON'!D198))</f>
        <v>2</v>
      </c>
      <c r="E204" s="41">
        <f>ABS(E$5-(6-'4JSON'!E198))</f>
        <v>1</v>
      </c>
      <c r="F204" s="41">
        <f>ABS(F$5-(6-'4JSON'!F198))</f>
        <v>0</v>
      </c>
      <c r="G204" s="41">
        <f>ABS(G$5-(6-'4JSON'!G198))</f>
        <v>0</v>
      </c>
      <c r="H204" s="41">
        <f>ABS(H$5-(6-'4JSON'!H198))</f>
        <v>2</v>
      </c>
      <c r="I204" s="41">
        <f>ABS(I$5-(6-'4JSON'!I198))</f>
        <v>0</v>
      </c>
      <c r="J204" s="41">
        <f>ABS(J$5-(6-'4JSON'!J198))</f>
        <v>1</v>
      </c>
      <c r="K204" s="41">
        <f>ABS(K$5-(6-'4JSON'!K198))</f>
        <v>1</v>
      </c>
      <c r="L204" s="41">
        <f>ABS(L$5-(6-'4JSON'!L198))</f>
        <v>1</v>
      </c>
      <c r="M204" s="36">
        <f t="shared" si="1"/>
        <v>8</v>
      </c>
      <c r="N204" s="42">
        <f t="shared" si="2"/>
        <v>0.7777777778</v>
      </c>
      <c r="S204" s="35">
        <f>IFERROR(__xludf.DUMMYFUNCTION("""COMPUTED_VALUE"""),1312.0)</f>
        <v>1312</v>
      </c>
    </row>
    <row r="205">
      <c r="A205" s="35">
        <f>'4JSON'!A199</f>
        <v>6521</v>
      </c>
      <c r="B205" s="25" t="str">
        <f>'4JSON'!B199</f>
        <v>Travel Counsellors</v>
      </c>
      <c r="C205" s="41" t="str">
        <f>'4JSON'!C199</f>
        <v>Travel counsellors</v>
      </c>
      <c r="D205" s="41">
        <f>ABS(D$5-(6-'4JSON'!D199))</f>
        <v>1</v>
      </c>
      <c r="E205" s="41">
        <f>ABS(E$5-(6-'4JSON'!E199))</f>
        <v>0</v>
      </c>
      <c r="F205" s="41">
        <f>ABS(F$5-(6-'4JSON'!F199))</f>
        <v>0</v>
      </c>
      <c r="G205" s="41">
        <f>ABS(G$5-(6-'4JSON'!G199))</f>
        <v>1</v>
      </c>
      <c r="H205" s="41">
        <f>ABS(H$5-(6-'4JSON'!H199))</f>
        <v>2</v>
      </c>
      <c r="I205" s="41">
        <f>ABS(I$5-(6-'4JSON'!I199))</f>
        <v>0</v>
      </c>
      <c r="J205" s="41">
        <f>ABS(J$5-(6-'4JSON'!J199))</f>
        <v>1</v>
      </c>
      <c r="K205" s="41">
        <f>ABS(K$5-(6-'4JSON'!K199))</f>
        <v>0</v>
      </c>
      <c r="L205" s="41">
        <f>ABS(L$5-(6-'4JSON'!L199))</f>
        <v>1</v>
      </c>
      <c r="M205" s="36">
        <f t="shared" si="1"/>
        <v>6</v>
      </c>
      <c r="N205" s="42">
        <f t="shared" si="2"/>
        <v>0.8333333333</v>
      </c>
      <c r="S205" s="35">
        <f>IFERROR(__xludf.DUMMYFUNCTION("""COMPUTED_VALUE"""),6231.0)</f>
        <v>6231</v>
      </c>
    </row>
    <row r="206">
      <c r="A206" s="35">
        <f>'4JSON'!A200</f>
        <v>9462</v>
      </c>
      <c r="B206" s="25" t="str">
        <f>'4JSON'!B200</f>
        <v>Trimmers</v>
      </c>
      <c r="C206" s="41" t="str">
        <f>'4JSON'!C200</f>
        <v>Industrial butchers and meat cutters, poultry preparers and related workers</v>
      </c>
      <c r="D206" s="41">
        <f>ABS(D$5-(6-'4JSON'!D200))</f>
        <v>1</v>
      </c>
      <c r="E206" s="41">
        <f>ABS(E$5-(6-'4JSON'!E200))</f>
        <v>1</v>
      </c>
      <c r="F206" s="41">
        <f>ABS(F$5-(6-'4JSON'!F200))</f>
        <v>1</v>
      </c>
      <c r="G206" s="41">
        <f>ABS(G$5-(6-'4JSON'!G200))</f>
        <v>1</v>
      </c>
      <c r="H206" s="41">
        <f>ABS(H$5-(6-'4JSON'!H200))</f>
        <v>2</v>
      </c>
      <c r="I206" s="41">
        <f>ABS(I$5-(6-'4JSON'!I200))</f>
        <v>2</v>
      </c>
      <c r="J206" s="41">
        <f>ABS(J$5-(6-'4JSON'!J200))</f>
        <v>1</v>
      </c>
      <c r="K206" s="41">
        <f>ABS(K$5-(6-'4JSON'!K200))</f>
        <v>1</v>
      </c>
      <c r="L206" s="41">
        <f>ABS(L$5-(6-'4JSON'!L200))</f>
        <v>0</v>
      </c>
      <c r="M206" s="36">
        <f t="shared" si="1"/>
        <v>10</v>
      </c>
      <c r="N206" s="42">
        <f t="shared" si="2"/>
        <v>0.7222222222</v>
      </c>
      <c r="S206" s="35">
        <f>IFERROR(__xludf.DUMMYFUNCTION("""COMPUTED_VALUE"""),5125.0)</f>
        <v>5125</v>
      </c>
    </row>
    <row r="207">
      <c r="A207" s="35">
        <f>'4JSON'!A201</f>
        <v>2153</v>
      </c>
      <c r="B207" s="25" t="str">
        <f>'4JSON'!B201</f>
        <v>Urban and Land Use Planners</v>
      </c>
      <c r="C207" s="41" t="str">
        <f>'4JSON'!C201</f>
        <v>Urban and land use planners</v>
      </c>
      <c r="D207" s="41">
        <f>ABS(D$5-(6-'4JSON'!D201))</f>
        <v>2</v>
      </c>
      <c r="E207" s="41">
        <f>ABS(E$5-(6-'4JSON'!E201))</f>
        <v>1</v>
      </c>
      <c r="F207" s="41">
        <f>ABS(F$5-(6-'4JSON'!F201))</f>
        <v>1</v>
      </c>
      <c r="G207" s="41">
        <f>ABS(G$5-(6-'4JSON'!G201))</f>
        <v>0</v>
      </c>
      <c r="H207" s="41">
        <f>ABS(H$5-(6-'4JSON'!H201))</f>
        <v>1</v>
      </c>
      <c r="I207" s="41">
        <f>ABS(I$5-(6-'4JSON'!I201))</f>
        <v>0</v>
      </c>
      <c r="J207" s="41">
        <f>ABS(J$5-(6-'4JSON'!J201))</f>
        <v>1</v>
      </c>
      <c r="K207" s="41">
        <f>ABS(K$5-(6-'4JSON'!K201))</f>
        <v>1</v>
      </c>
      <c r="L207" s="41">
        <f>ABS(L$5-(6-'4JSON'!L201))</f>
        <v>1</v>
      </c>
      <c r="M207" s="36">
        <f t="shared" si="1"/>
        <v>8</v>
      </c>
      <c r="N207" s="42">
        <f t="shared" si="2"/>
        <v>0.7777777778</v>
      </c>
      <c r="S207" s="35">
        <f>IFERROR(__xludf.DUMMYFUNCTION("""COMPUTED_VALUE"""),1524.0)</f>
        <v>1524</v>
      </c>
    </row>
    <row r="208">
      <c r="A208" s="35">
        <f>'4JSON'!A202</f>
        <v>912</v>
      </c>
      <c r="B208" s="25" t="str">
        <f>'4JSON'!B202</f>
        <v>Waste Systems Managers</v>
      </c>
      <c r="C208" s="41" t="str">
        <f>'4JSON'!C202</f>
        <v>Utilities managers</v>
      </c>
      <c r="D208" s="41">
        <f>ABS(D$5-(6-'4JSON'!D202))</f>
        <v>2</v>
      </c>
      <c r="E208" s="41">
        <f>ABS(E$5-(6-'4JSON'!E202))</f>
        <v>1</v>
      </c>
      <c r="F208" s="41">
        <f>ABS(F$5-(6-'4JSON'!F202))</f>
        <v>1</v>
      </c>
      <c r="G208" s="41">
        <f>ABS(G$5-(6-'4JSON'!G202))</f>
        <v>0</v>
      </c>
      <c r="H208" s="41">
        <f>ABS(H$5-(6-'4JSON'!H202))</f>
        <v>1</v>
      </c>
      <c r="I208" s="41">
        <f>ABS(I$5-(6-'4JSON'!I202))</f>
        <v>0</v>
      </c>
      <c r="J208" s="41">
        <f>ABS(J$5-(6-'4JSON'!J202))</f>
        <v>1</v>
      </c>
      <c r="K208" s="41">
        <f>ABS(K$5-(6-'4JSON'!K202))</f>
        <v>1</v>
      </c>
      <c r="L208" s="41">
        <f>ABS(L$5-(6-'4JSON'!L202))</f>
        <v>1</v>
      </c>
      <c r="M208" s="36">
        <f t="shared" si="1"/>
        <v>8</v>
      </c>
      <c r="N208" s="42">
        <f t="shared" si="2"/>
        <v>0.7777777778</v>
      </c>
      <c r="S208" s="35">
        <f>IFERROR(__xludf.DUMMYFUNCTION("""COMPUTED_VALUE"""),6741.0)</f>
        <v>6741</v>
      </c>
    </row>
    <row r="209">
      <c r="A209" s="35">
        <f>'4JSON'!A203</f>
        <v>912</v>
      </c>
      <c r="B209" s="25" t="str">
        <f>'4JSON'!B203</f>
        <v>Water Pollution Control Managers</v>
      </c>
      <c r="C209" s="41" t="str">
        <f>'4JSON'!C203</f>
        <v>Utilities managers</v>
      </c>
      <c r="D209" s="41">
        <f>ABS(D$5-(6-'4JSON'!D203))</f>
        <v>2</v>
      </c>
      <c r="E209" s="41">
        <f>ABS(E$5-(6-'4JSON'!E203))</f>
        <v>1</v>
      </c>
      <c r="F209" s="41">
        <f>ABS(F$5-(6-'4JSON'!F203))</f>
        <v>1</v>
      </c>
      <c r="G209" s="41">
        <f>ABS(G$5-(6-'4JSON'!G203))</f>
        <v>0</v>
      </c>
      <c r="H209" s="41">
        <f>ABS(H$5-(6-'4JSON'!H203))</f>
        <v>1</v>
      </c>
      <c r="I209" s="41">
        <f>ABS(I$5-(6-'4JSON'!I203))</f>
        <v>0</v>
      </c>
      <c r="J209" s="41">
        <f>ABS(J$5-(6-'4JSON'!J203))</f>
        <v>1</v>
      </c>
      <c r="K209" s="41">
        <f>ABS(K$5-(6-'4JSON'!K203))</f>
        <v>1</v>
      </c>
      <c r="L209" s="41">
        <f>ABS(L$5-(6-'4JSON'!L203))</f>
        <v>1</v>
      </c>
      <c r="M209" s="36">
        <f t="shared" si="1"/>
        <v>8</v>
      </c>
      <c r="N209" s="42">
        <f t="shared" si="2"/>
        <v>0.7777777778</v>
      </c>
      <c r="S209" s="35">
        <f>IFERROR(__xludf.DUMMYFUNCTION("""COMPUTED_VALUE"""),9618.0)</f>
        <v>9618</v>
      </c>
    </row>
    <row r="210">
      <c r="A210" s="35">
        <f>'4JSON'!A204</f>
        <v>912</v>
      </c>
      <c r="B210" s="25" t="str">
        <f>'4JSON'!B204</f>
        <v>Water Supply Managers</v>
      </c>
      <c r="C210" s="41" t="str">
        <f>'4JSON'!C204</f>
        <v>Utilities managers</v>
      </c>
      <c r="D210" s="41">
        <f>ABS(D$5-(6-'4JSON'!D204))</f>
        <v>2</v>
      </c>
      <c r="E210" s="41">
        <f>ABS(E$5-(6-'4JSON'!E204))</f>
        <v>1</v>
      </c>
      <c r="F210" s="41">
        <f>ABS(F$5-(6-'4JSON'!F204))</f>
        <v>1</v>
      </c>
      <c r="G210" s="41">
        <f>ABS(G$5-(6-'4JSON'!G204))</f>
        <v>0</v>
      </c>
      <c r="H210" s="41">
        <f>ABS(H$5-(6-'4JSON'!H204))</f>
        <v>1</v>
      </c>
      <c r="I210" s="41">
        <f>ABS(I$5-(6-'4JSON'!I204))</f>
        <v>0</v>
      </c>
      <c r="J210" s="41">
        <f>ABS(J$5-(6-'4JSON'!J204))</f>
        <v>1</v>
      </c>
      <c r="K210" s="41">
        <f>ABS(K$5-(6-'4JSON'!K204))</f>
        <v>1</v>
      </c>
      <c r="L210" s="41">
        <f>ABS(L$5-(6-'4JSON'!L204))</f>
        <v>1</v>
      </c>
      <c r="M210" s="36">
        <f t="shared" si="1"/>
        <v>8</v>
      </c>
      <c r="N210" s="42">
        <f t="shared" si="2"/>
        <v>0.7777777778</v>
      </c>
      <c r="S210" s="35">
        <f>IFERROR(__xludf.DUMMYFUNCTION("""COMPUTED_VALUE"""),9617.0)</f>
        <v>9617</v>
      </c>
    </row>
    <row r="211">
      <c r="A211" s="35">
        <f>'4JSON'!A205</f>
        <v>6561</v>
      </c>
      <c r="B211" s="25" t="str">
        <f>'4JSON'!B205</f>
        <v>Wedding Consultants</v>
      </c>
      <c r="C211" s="41" t="str">
        <f>'4JSON'!C205</f>
        <v>Image, social and other personal consultants</v>
      </c>
      <c r="D211" s="41">
        <f>ABS(D$5-(6-'4JSON'!D205))</f>
        <v>1</v>
      </c>
      <c r="E211" s="41">
        <f>ABS(E$5-(6-'4JSON'!E205))</f>
        <v>0</v>
      </c>
      <c r="F211" s="41">
        <f>ABS(F$5-(6-'4JSON'!F205))</f>
        <v>0</v>
      </c>
      <c r="G211" s="41">
        <f>ABS(G$5-(6-'4JSON'!G205))</f>
        <v>1</v>
      </c>
      <c r="H211" s="41">
        <f>ABS(H$5-(6-'4JSON'!H205))</f>
        <v>1</v>
      </c>
      <c r="I211" s="41">
        <f>ABS(I$5-(6-'4JSON'!I205))</f>
        <v>0</v>
      </c>
      <c r="J211" s="41">
        <f>ABS(J$5-(6-'4JSON'!J205))</f>
        <v>1</v>
      </c>
      <c r="K211" s="41">
        <f>ABS(K$5-(6-'4JSON'!K205))</f>
        <v>1</v>
      </c>
      <c r="L211" s="41">
        <f>ABS(L$5-(6-'4JSON'!L205))</f>
        <v>1</v>
      </c>
      <c r="M211" s="36">
        <f t="shared" si="1"/>
        <v>6</v>
      </c>
      <c r="N211" s="42">
        <f t="shared" si="2"/>
        <v>0.8333333333</v>
      </c>
      <c r="S211" s="35">
        <f>IFERROR(__xludf.DUMMYFUNCTION("""COMPUTED_VALUE"""),9612.0)</f>
        <v>9612</v>
      </c>
    </row>
    <row r="212">
      <c r="A212" s="35">
        <f>'4JSON'!A206</f>
        <v>632</v>
      </c>
      <c r="B212" s="25" t="str">
        <f>'4JSON'!B206</f>
        <v>Accommodation Service Managers</v>
      </c>
      <c r="C212" s="41" t="str">
        <f>'4JSON'!C206</f>
        <v>Accommodation service managers</v>
      </c>
      <c r="D212" s="41">
        <f>ABS(D$5-(6-'4JSON'!D206))</f>
        <v>1</v>
      </c>
      <c r="E212" s="41">
        <f>ABS(E$5-(6-'4JSON'!E206))</f>
        <v>0</v>
      </c>
      <c r="F212" s="41">
        <f>ABS(F$5-(6-'4JSON'!F206))</f>
        <v>0</v>
      </c>
      <c r="G212" s="41">
        <f>ABS(G$5-(6-'4JSON'!G206))</f>
        <v>1</v>
      </c>
      <c r="H212" s="41">
        <f>ABS(H$5-(6-'4JSON'!H206))</f>
        <v>2</v>
      </c>
      <c r="I212" s="41">
        <f>ABS(I$5-(6-'4JSON'!I206))</f>
        <v>0</v>
      </c>
      <c r="J212" s="41">
        <f>ABS(J$5-(6-'4JSON'!J206))</f>
        <v>1</v>
      </c>
      <c r="K212" s="41">
        <f>ABS(K$5-(6-'4JSON'!K206))</f>
        <v>1</v>
      </c>
      <c r="L212" s="41">
        <f>ABS(L$5-(6-'4JSON'!L206))</f>
        <v>1</v>
      </c>
      <c r="M212" s="36">
        <f t="shared" si="1"/>
        <v>7</v>
      </c>
      <c r="N212" s="42">
        <f t="shared" si="2"/>
        <v>0.8055555556</v>
      </c>
      <c r="S212" s="35">
        <f>IFERROR(__xludf.DUMMYFUNCTION("""COMPUTED_VALUE"""),9611.0)</f>
        <v>9611</v>
      </c>
    </row>
    <row r="213">
      <c r="A213" s="35">
        <f>'4JSON'!A207</f>
        <v>1431</v>
      </c>
      <c r="B213" s="25" t="str">
        <f>'4JSON'!B207</f>
        <v>Accounting and Related Clerks</v>
      </c>
      <c r="C213" s="41" t="str">
        <f>'4JSON'!C207</f>
        <v>Accounting and related clerks</v>
      </c>
      <c r="D213" s="41">
        <f>ABS(D$5-(6-'4JSON'!D207))</f>
        <v>1</v>
      </c>
      <c r="E213" s="41">
        <f>ABS(E$5-(6-'4JSON'!E207))</f>
        <v>0</v>
      </c>
      <c r="F213" s="41">
        <f>ABS(F$5-(6-'4JSON'!F207))</f>
        <v>0</v>
      </c>
      <c r="G213" s="41">
        <f>ABS(G$5-(6-'4JSON'!G207))</f>
        <v>1</v>
      </c>
      <c r="H213" s="41">
        <f>ABS(H$5-(6-'4JSON'!H207))</f>
        <v>2</v>
      </c>
      <c r="I213" s="41">
        <f>ABS(I$5-(6-'4JSON'!I207))</f>
        <v>1</v>
      </c>
      <c r="J213" s="41">
        <f>ABS(J$5-(6-'4JSON'!J207))</f>
        <v>1</v>
      </c>
      <c r="K213" s="41">
        <f>ABS(K$5-(6-'4JSON'!K207))</f>
        <v>0</v>
      </c>
      <c r="L213" s="41">
        <f>ABS(L$5-(6-'4JSON'!L207))</f>
        <v>1</v>
      </c>
      <c r="M213" s="36">
        <f t="shared" si="1"/>
        <v>7</v>
      </c>
      <c r="N213" s="42">
        <f t="shared" si="2"/>
        <v>0.8055555556</v>
      </c>
      <c r="S213" s="35">
        <f>IFERROR(__xludf.DUMMYFUNCTION("""COMPUTED_VALUE"""),9616.0)</f>
        <v>9616</v>
      </c>
    </row>
    <row r="214">
      <c r="A214" s="35">
        <f>'4JSON'!A208</f>
        <v>212</v>
      </c>
      <c r="B214" s="25" t="str">
        <f>'4JSON'!B208</f>
        <v>Architecture and Science Managers</v>
      </c>
      <c r="C214" s="41" t="str">
        <f>'4JSON'!C208</f>
        <v>Architecture and science managers</v>
      </c>
      <c r="D214" s="41">
        <f>ABS(D$5-(6-'4JSON'!D208))</f>
        <v>3</v>
      </c>
      <c r="E214" s="41">
        <f>ABS(E$5-(6-'4JSON'!E208))</f>
        <v>1</v>
      </c>
      <c r="F214" s="41">
        <f>ABS(F$5-(6-'4JSON'!F208))</f>
        <v>2</v>
      </c>
      <c r="G214" s="41">
        <f>ABS(G$5-(6-'4JSON'!G208))</f>
        <v>1</v>
      </c>
      <c r="H214" s="41">
        <f>ABS(H$5-(6-'4JSON'!H208))</f>
        <v>1</v>
      </c>
      <c r="I214" s="41">
        <f>ABS(I$5-(6-'4JSON'!I208))</f>
        <v>0</v>
      </c>
      <c r="J214" s="41">
        <f>ABS(J$5-(6-'4JSON'!J208))</f>
        <v>1</v>
      </c>
      <c r="K214" s="41">
        <f>ABS(K$5-(6-'4JSON'!K208))</f>
        <v>1</v>
      </c>
      <c r="L214" s="41">
        <f>ABS(L$5-(6-'4JSON'!L208))</f>
        <v>1</v>
      </c>
      <c r="M214" s="36">
        <f t="shared" si="1"/>
        <v>11</v>
      </c>
      <c r="N214" s="42">
        <f t="shared" si="2"/>
        <v>0.6944444444</v>
      </c>
      <c r="S214" s="35">
        <f>IFERROR(__xludf.DUMMYFUNCTION("""COMPUTED_VALUE"""),5244.0)</f>
        <v>5244</v>
      </c>
    </row>
    <row r="215">
      <c r="A215" s="35">
        <f>'4JSON'!A209</f>
        <v>5211</v>
      </c>
      <c r="B215" s="25" t="str">
        <f>'4JSON'!B209</f>
        <v>Archive Technicians and Assistants</v>
      </c>
      <c r="C215" s="41" t="str">
        <f>'4JSON'!C209</f>
        <v>Library and public archive technicians</v>
      </c>
      <c r="D215" s="41">
        <f>ABS(D$5-(6-'4JSON'!D209))</f>
        <v>1</v>
      </c>
      <c r="E215" s="41">
        <f>ABS(E$5-(6-'4JSON'!E209))</f>
        <v>0</v>
      </c>
      <c r="F215" s="41">
        <f>ABS(F$5-(6-'4JSON'!F209))</f>
        <v>1</v>
      </c>
      <c r="G215" s="41">
        <f>ABS(G$5-(6-'4JSON'!G209))</f>
        <v>1</v>
      </c>
      <c r="H215" s="41">
        <f>ABS(H$5-(6-'4JSON'!H209))</f>
        <v>2</v>
      </c>
      <c r="I215" s="41">
        <f>ABS(I$5-(6-'4JSON'!I209))</f>
        <v>1</v>
      </c>
      <c r="J215" s="41">
        <f>ABS(J$5-(6-'4JSON'!J209))</f>
        <v>1</v>
      </c>
      <c r="K215" s="41">
        <f>ABS(K$5-(6-'4JSON'!K209))</f>
        <v>1</v>
      </c>
      <c r="L215" s="41">
        <f>ABS(L$5-(6-'4JSON'!L209))</f>
        <v>1</v>
      </c>
      <c r="M215" s="36">
        <f t="shared" si="1"/>
        <v>9</v>
      </c>
      <c r="N215" s="42">
        <f t="shared" si="2"/>
        <v>0.75</v>
      </c>
      <c r="S215" s="35">
        <f>IFERROR(__xludf.DUMMYFUNCTION("""COMPUTED_VALUE"""),5134.0)</f>
        <v>5134</v>
      </c>
    </row>
    <row r="216">
      <c r="A216" s="35">
        <f>'4JSON'!A210</f>
        <v>5113</v>
      </c>
      <c r="B216" s="25" t="str">
        <f>'4JSON'!B210</f>
        <v>Archivists</v>
      </c>
      <c r="C216" s="41" t="str">
        <f>'4JSON'!C210</f>
        <v>Archivists</v>
      </c>
      <c r="D216" s="41">
        <f>ABS(D$5-(6-'4JSON'!D210))</f>
        <v>2</v>
      </c>
      <c r="E216" s="41">
        <f>ABS(E$5-(6-'4JSON'!E210))</f>
        <v>1</v>
      </c>
      <c r="F216" s="41">
        <f>ABS(F$5-(6-'4JSON'!F210))</f>
        <v>0</v>
      </c>
      <c r="G216" s="41">
        <f>ABS(G$5-(6-'4JSON'!G210))</f>
        <v>0</v>
      </c>
      <c r="H216" s="41">
        <f>ABS(H$5-(6-'4JSON'!H210))</f>
        <v>0</v>
      </c>
      <c r="I216" s="41">
        <f>ABS(I$5-(6-'4JSON'!I210))</f>
        <v>1</v>
      </c>
      <c r="J216" s="41">
        <f>ABS(J$5-(6-'4JSON'!J210))</f>
        <v>1</v>
      </c>
      <c r="K216" s="41">
        <f>ABS(K$5-(6-'4JSON'!K210))</f>
        <v>1</v>
      </c>
      <c r="L216" s="41">
        <f>ABS(L$5-(6-'4JSON'!L210))</f>
        <v>1</v>
      </c>
      <c r="M216" s="36">
        <f t="shared" si="1"/>
        <v>7</v>
      </c>
      <c r="N216" s="42">
        <f t="shared" si="2"/>
        <v>0.8055555556</v>
      </c>
      <c r="S216" s="35">
        <f>IFERROR(__xludf.DUMMYFUNCTION("""COMPUTED_VALUE"""),5251.0)</f>
        <v>5251</v>
      </c>
    </row>
    <row r="217">
      <c r="A217" s="35">
        <f>'4JSON'!A211</f>
        <v>7535</v>
      </c>
      <c r="B217" s="25" t="str">
        <f>'4JSON'!B211</f>
        <v>Automotive Mechanical Installers and Servicers</v>
      </c>
      <c r="C217" s="41" t="str">
        <f>'4JSON'!C211</f>
        <v>Other automotive mechanical installers and servicers</v>
      </c>
      <c r="D217" s="41">
        <f>ABS(D$5-(6-'4JSON'!D211))</f>
        <v>0</v>
      </c>
      <c r="E217" s="41">
        <f>ABS(E$5-(6-'4JSON'!E211))</f>
        <v>1</v>
      </c>
      <c r="F217" s="41">
        <f>ABS(F$5-(6-'4JSON'!F211))</f>
        <v>1</v>
      </c>
      <c r="G217" s="41">
        <f>ABS(G$5-(6-'4JSON'!G211))</f>
        <v>1</v>
      </c>
      <c r="H217" s="41">
        <f>ABS(H$5-(6-'4JSON'!H211))</f>
        <v>2</v>
      </c>
      <c r="I217" s="41">
        <f>ABS(I$5-(6-'4JSON'!I211))</f>
        <v>2</v>
      </c>
      <c r="J217" s="41">
        <f>ABS(J$5-(6-'4JSON'!J211))</f>
        <v>1</v>
      </c>
      <c r="K217" s="41">
        <f>ABS(K$5-(6-'4JSON'!K211))</f>
        <v>1</v>
      </c>
      <c r="L217" s="41">
        <f>ABS(L$5-(6-'4JSON'!L211))</f>
        <v>0</v>
      </c>
      <c r="M217" s="36">
        <f t="shared" si="1"/>
        <v>9</v>
      </c>
      <c r="N217" s="42">
        <f t="shared" si="2"/>
        <v>0.75</v>
      </c>
      <c r="S217" s="35">
        <f>IFERROR(__xludf.DUMMYFUNCTION("""COMPUTED_VALUE"""),2231.0)</f>
        <v>2231</v>
      </c>
    </row>
    <row r="218">
      <c r="A218" s="35">
        <f>'4JSON'!A212</f>
        <v>4411</v>
      </c>
      <c r="B218" s="25" t="str">
        <f>'4JSON'!B212</f>
        <v>Babysitters</v>
      </c>
      <c r="C218" s="41" t="str">
        <f>'4JSON'!C212</f>
        <v>Home child care providers</v>
      </c>
      <c r="D218" s="41">
        <f>ABS(D$5-(6-'4JSON'!D212))</f>
        <v>0</v>
      </c>
      <c r="E218" s="41">
        <f>ABS(E$5-(6-'4JSON'!E212))</f>
        <v>1</v>
      </c>
      <c r="F218" s="41">
        <f>ABS(F$5-(6-'4JSON'!F212))</f>
        <v>1</v>
      </c>
      <c r="G218" s="41">
        <f>ABS(G$5-(6-'4JSON'!G212))</f>
        <v>1</v>
      </c>
      <c r="H218" s="41">
        <f>ABS(H$5-(6-'4JSON'!H212))</f>
        <v>2</v>
      </c>
      <c r="I218" s="41">
        <f>ABS(I$5-(6-'4JSON'!I212))</f>
        <v>2</v>
      </c>
      <c r="J218" s="41">
        <f>ABS(J$5-(6-'4JSON'!J212))</f>
        <v>1</v>
      </c>
      <c r="K218" s="41">
        <f>ABS(K$5-(6-'4JSON'!K212))</f>
        <v>1</v>
      </c>
      <c r="L218" s="41">
        <f>ABS(L$5-(6-'4JSON'!L212))</f>
        <v>0</v>
      </c>
      <c r="M218" s="36">
        <f t="shared" si="1"/>
        <v>9</v>
      </c>
      <c r="N218" s="42">
        <f t="shared" si="2"/>
        <v>0.75</v>
      </c>
      <c r="S218" s="35">
        <f>IFERROR(__xludf.DUMMYFUNCTION("""COMPUTED_VALUE"""),2233.0)</f>
        <v>2233</v>
      </c>
    </row>
    <row r="219">
      <c r="A219" s="35">
        <f>'4JSON'!A213</f>
        <v>2121</v>
      </c>
      <c r="B219" s="25" t="str">
        <f>'4JSON'!B213</f>
        <v>Biologists</v>
      </c>
      <c r="C219" s="41" t="str">
        <f>'4JSON'!C213</f>
        <v>Biologists and related scientists</v>
      </c>
      <c r="D219" s="41">
        <f>ABS(D$5-(6-'4JSON'!D213))</f>
        <v>3</v>
      </c>
      <c r="E219" s="41">
        <f>ABS(E$5-(6-'4JSON'!E213))</f>
        <v>2</v>
      </c>
      <c r="F219" s="41">
        <f>ABS(F$5-(6-'4JSON'!F213))</f>
        <v>2</v>
      </c>
      <c r="G219" s="41">
        <f>ABS(G$5-(6-'4JSON'!G213))</f>
        <v>1</v>
      </c>
      <c r="H219" s="41">
        <f>ABS(H$5-(6-'4JSON'!H213))</f>
        <v>0</v>
      </c>
      <c r="I219" s="41">
        <f>ABS(I$5-(6-'4JSON'!I213))</f>
        <v>0</v>
      </c>
      <c r="J219" s="41">
        <f>ABS(J$5-(6-'4JSON'!J213))</f>
        <v>1</v>
      </c>
      <c r="K219" s="41">
        <f>ABS(K$5-(6-'4JSON'!K213))</f>
        <v>0</v>
      </c>
      <c r="L219" s="41">
        <f>ABS(L$5-(6-'4JSON'!L213))</f>
        <v>0</v>
      </c>
      <c r="M219" s="36">
        <f t="shared" si="1"/>
        <v>9</v>
      </c>
      <c r="N219" s="42">
        <f t="shared" si="2"/>
        <v>0.75</v>
      </c>
      <c r="S219" s="35">
        <f>IFERROR(__xludf.DUMMYFUNCTION("""COMPUTED_VALUE"""),9442.0)</f>
        <v>9442</v>
      </c>
    </row>
    <row r="220">
      <c r="A220" s="35">
        <f>'4JSON'!A214</f>
        <v>7533</v>
      </c>
      <c r="B220" s="25" t="str">
        <f>'4JSON'!B214</f>
        <v>Boat Operators</v>
      </c>
      <c r="C220" s="41" t="str">
        <f>'4JSON'!C214</f>
        <v>Boat and cable ferry operators and related occupations</v>
      </c>
      <c r="D220" s="41">
        <f>ABS(D$5-(6-'4JSON'!D214))</f>
        <v>0</v>
      </c>
      <c r="E220" s="41">
        <f>ABS(E$5-(6-'4JSON'!E214))</f>
        <v>0</v>
      </c>
      <c r="F220" s="41">
        <f>ABS(F$5-(6-'4JSON'!F214))</f>
        <v>2</v>
      </c>
      <c r="G220" s="41">
        <f>ABS(G$5-(6-'4JSON'!G214))</f>
        <v>0</v>
      </c>
      <c r="H220" s="41">
        <f>ABS(H$5-(6-'4JSON'!H214))</f>
        <v>2</v>
      </c>
      <c r="I220" s="41">
        <f>ABS(I$5-(6-'4JSON'!I214))</f>
        <v>2</v>
      </c>
      <c r="J220" s="41">
        <f>ABS(J$5-(6-'4JSON'!J214))</f>
        <v>0</v>
      </c>
      <c r="K220" s="41">
        <f>ABS(K$5-(6-'4JSON'!K214))</f>
        <v>1</v>
      </c>
      <c r="L220" s="41">
        <f>ABS(L$5-(6-'4JSON'!L214))</f>
        <v>0</v>
      </c>
      <c r="M220" s="36">
        <f t="shared" si="1"/>
        <v>7</v>
      </c>
      <c r="N220" s="42">
        <f t="shared" si="2"/>
        <v>0.8055555556</v>
      </c>
      <c r="S220" s="35">
        <f>IFERROR(__xludf.DUMMYFUNCTION("""COMPUTED_VALUE"""),7315.0)</f>
        <v>7315</v>
      </c>
    </row>
    <row r="221">
      <c r="A221" s="35">
        <f>'4JSON'!A215</f>
        <v>1311</v>
      </c>
      <c r="B221" s="25" t="str">
        <f>'4JSON'!B215</f>
        <v>Bookkeepers</v>
      </c>
      <c r="C221" s="41" t="str">
        <f>'4JSON'!C215</f>
        <v>Accounting technicians and bookkeepers</v>
      </c>
      <c r="D221" s="41">
        <f>ABS(D$5-(6-'4JSON'!D215))</f>
        <v>1</v>
      </c>
      <c r="E221" s="41">
        <f>ABS(E$5-(6-'4JSON'!E215))</f>
        <v>0</v>
      </c>
      <c r="F221" s="41">
        <f>ABS(F$5-(6-'4JSON'!F215))</f>
        <v>1</v>
      </c>
      <c r="G221" s="41">
        <f>ABS(G$5-(6-'4JSON'!G215))</f>
        <v>1</v>
      </c>
      <c r="H221" s="41">
        <f>ABS(H$5-(6-'4JSON'!H215))</f>
        <v>2</v>
      </c>
      <c r="I221" s="41">
        <f>ABS(I$5-(6-'4JSON'!I215))</f>
        <v>1</v>
      </c>
      <c r="J221" s="41">
        <f>ABS(J$5-(6-'4JSON'!J215))</f>
        <v>0</v>
      </c>
      <c r="K221" s="41">
        <f>ABS(K$5-(6-'4JSON'!K215))</f>
        <v>0</v>
      </c>
      <c r="L221" s="41">
        <f>ABS(L$5-(6-'4JSON'!L215))</f>
        <v>1</v>
      </c>
      <c r="M221" s="36">
        <f t="shared" si="1"/>
        <v>7</v>
      </c>
      <c r="N221" s="42">
        <f t="shared" si="2"/>
        <v>0.8055555556</v>
      </c>
      <c r="S221" s="35">
        <f>IFERROR(__xludf.DUMMYFUNCTION("""COMPUTED_VALUE"""),7234.0)</f>
        <v>7234</v>
      </c>
    </row>
    <row r="222">
      <c r="A222" s="35">
        <f>'4JSON'!A216</f>
        <v>4423</v>
      </c>
      <c r="B222" s="25" t="str">
        <f>'4JSON'!B216</f>
        <v>By-law Enforcement Officers</v>
      </c>
      <c r="C222" s="41" t="str">
        <f>'4JSON'!C216</f>
        <v>By-law enforcement and other regulatory officers, n.e.c.</v>
      </c>
      <c r="D222" s="41">
        <f>ABS(D$5-(6-'4JSON'!D216))</f>
        <v>1</v>
      </c>
      <c r="E222" s="41">
        <f>ABS(E$5-(6-'4JSON'!E216))</f>
        <v>0</v>
      </c>
      <c r="F222" s="41">
        <f>ABS(F$5-(6-'4JSON'!F216))</f>
        <v>1</v>
      </c>
      <c r="G222" s="41">
        <f>ABS(G$5-(6-'4JSON'!G216))</f>
        <v>1</v>
      </c>
      <c r="H222" s="41">
        <f>ABS(H$5-(6-'4JSON'!H216))</f>
        <v>2</v>
      </c>
      <c r="I222" s="41">
        <f>ABS(I$5-(6-'4JSON'!I216))</f>
        <v>1</v>
      </c>
      <c r="J222" s="41">
        <f>ABS(J$5-(6-'4JSON'!J216))</f>
        <v>1</v>
      </c>
      <c r="K222" s="41">
        <f>ABS(K$5-(6-'4JSON'!K216))</f>
        <v>1</v>
      </c>
      <c r="L222" s="41">
        <f>ABS(L$5-(6-'4JSON'!L216))</f>
        <v>1</v>
      </c>
      <c r="M222" s="36">
        <f t="shared" si="1"/>
        <v>9</v>
      </c>
      <c r="N222" s="42">
        <f t="shared" si="2"/>
        <v>0.75</v>
      </c>
      <c r="S222" s="35">
        <f>IFERROR(__xludf.DUMMYFUNCTION("""COMPUTED_VALUE"""),7233.0)</f>
        <v>7233</v>
      </c>
    </row>
    <row r="223">
      <c r="A223" s="35">
        <f>'4JSON'!A217</f>
        <v>6564</v>
      </c>
      <c r="B223" s="25" t="str">
        <f>'4JSON'!B217</f>
        <v>Call Centre Agents</v>
      </c>
      <c r="C223" s="41" t="str">
        <f>'4JSON'!C217</f>
        <v>Other personal service occupations</v>
      </c>
      <c r="D223" s="41">
        <f>ABS(D$5-(6-'4JSON'!D217))</f>
        <v>1</v>
      </c>
      <c r="E223" s="41">
        <f>ABS(E$5-(6-'4JSON'!E217))</f>
        <v>0</v>
      </c>
      <c r="F223" s="41">
        <f>ABS(F$5-(6-'4JSON'!F217))</f>
        <v>0</v>
      </c>
      <c r="G223" s="41">
        <f>ABS(G$5-(6-'4JSON'!G217))</f>
        <v>1</v>
      </c>
      <c r="H223" s="41">
        <f>ABS(H$5-(6-'4JSON'!H217))</f>
        <v>2</v>
      </c>
      <c r="I223" s="41">
        <f>ABS(I$5-(6-'4JSON'!I217))</f>
        <v>0</v>
      </c>
      <c r="J223" s="41">
        <f>ABS(J$5-(6-'4JSON'!J217))</f>
        <v>1</v>
      </c>
      <c r="K223" s="41">
        <f>ABS(K$5-(6-'4JSON'!K217))</f>
        <v>1</v>
      </c>
      <c r="L223" s="41">
        <f>ABS(L$5-(6-'4JSON'!L217))</f>
        <v>1</v>
      </c>
      <c r="M223" s="36">
        <f t="shared" si="1"/>
        <v>7</v>
      </c>
      <c r="N223" s="42">
        <f t="shared" si="2"/>
        <v>0.8055555556</v>
      </c>
      <c r="S223" s="35">
        <f>IFERROR(__xludf.DUMMYFUNCTION("""COMPUTED_VALUE"""),7272.0)</f>
        <v>7272</v>
      </c>
    </row>
    <row r="224">
      <c r="A224" s="35">
        <f>'4JSON'!A218</f>
        <v>6524</v>
      </c>
      <c r="B224" s="25" t="str">
        <f>'4JSON'!B218</f>
        <v>Cargo Service Representatives (Except Airline)</v>
      </c>
      <c r="C224" s="41" t="str">
        <f>'4JSON'!C218</f>
        <v>Ground and water transport ticket agents, cargo service representatives and related clerks</v>
      </c>
      <c r="D224" s="41">
        <f>ABS(D$5-(6-'4JSON'!D218))</f>
        <v>1</v>
      </c>
      <c r="E224" s="41">
        <f>ABS(E$5-(6-'4JSON'!E218))</f>
        <v>0</v>
      </c>
      <c r="F224" s="41">
        <f>ABS(F$5-(6-'4JSON'!F218))</f>
        <v>0</v>
      </c>
      <c r="G224" s="41">
        <f>ABS(G$5-(6-'4JSON'!G218))</f>
        <v>1</v>
      </c>
      <c r="H224" s="41">
        <f>ABS(H$5-(6-'4JSON'!H218))</f>
        <v>2</v>
      </c>
      <c r="I224" s="41">
        <f>ABS(I$5-(6-'4JSON'!I218))</f>
        <v>0</v>
      </c>
      <c r="J224" s="41">
        <f>ABS(J$5-(6-'4JSON'!J218))</f>
        <v>1</v>
      </c>
      <c r="K224" s="41">
        <f>ABS(K$5-(6-'4JSON'!K218))</f>
        <v>1</v>
      </c>
      <c r="L224" s="41">
        <f>ABS(L$5-(6-'4JSON'!L218))</f>
        <v>1</v>
      </c>
      <c r="M224" s="36">
        <f t="shared" si="1"/>
        <v>7</v>
      </c>
      <c r="N224" s="42">
        <f t="shared" si="2"/>
        <v>0.8055555556</v>
      </c>
      <c r="S224" s="35">
        <f>IFERROR(__xludf.DUMMYFUNCTION("""COMPUTED_VALUE"""),7311.0)</f>
        <v>7311</v>
      </c>
    </row>
    <row r="225">
      <c r="A225" s="35">
        <f>'4JSON'!A219</f>
        <v>3414</v>
      </c>
      <c r="B225" s="25" t="str">
        <f>'4JSON'!B219</f>
        <v>Central Supply Aides</v>
      </c>
      <c r="C225" s="41" t="str">
        <f>'4JSON'!C219</f>
        <v>Other assisting occupations in support of health services</v>
      </c>
      <c r="D225" s="41">
        <f>ABS(D$5-(6-'4JSON'!D219))</f>
        <v>0</v>
      </c>
      <c r="E225" s="41">
        <f>ABS(E$5-(6-'4JSON'!E219))</f>
        <v>1</v>
      </c>
      <c r="F225" s="41">
        <f>ABS(F$5-(6-'4JSON'!F219))</f>
        <v>1</v>
      </c>
      <c r="G225" s="41">
        <f>ABS(G$5-(6-'4JSON'!G219))</f>
        <v>1</v>
      </c>
      <c r="H225" s="41">
        <f>ABS(H$5-(6-'4JSON'!H219))</f>
        <v>2</v>
      </c>
      <c r="I225" s="41">
        <f>ABS(I$5-(6-'4JSON'!I219))</f>
        <v>1</v>
      </c>
      <c r="J225" s="41">
        <f>ABS(J$5-(6-'4JSON'!J219))</f>
        <v>1</v>
      </c>
      <c r="K225" s="41">
        <f>ABS(K$5-(6-'4JSON'!K219))</f>
        <v>1</v>
      </c>
      <c r="L225" s="41">
        <f>ABS(L$5-(6-'4JSON'!L219))</f>
        <v>1</v>
      </c>
      <c r="M225" s="36">
        <f t="shared" si="1"/>
        <v>9</v>
      </c>
      <c r="N225" s="42">
        <f t="shared" si="2"/>
        <v>0.75</v>
      </c>
      <c r="S225" s="35">
        <f>IFERROR(__xludf.DUMMYFUNCTION("""COMPUTED_VALUE"""),3223.0)</f>
        <v>3223</v>
      </c>
    </row>
    <row r="226">
      <c r="A226" s="35">
        <f>'4JSON'!A220</f>
        <v>6732</v>
      </c>
      <c r="B226" s="25" t="str">
        <f>'4JSON'!B220</f>
        <v>Chimney Cleaners</v>
      </c>
      <c r="C226" s="41" t="str">
        <f>'4JSON'!C220</f>
        <v>Specialized cleaners</v>
      </c>
      <c r="D226" s="41">
        <f>ABS(D$5-(6-'4JSON'!D220))</f>
        <v>0</v>
      </c>
      <c r="E226" s="41">
        <f>ABS(E$5-(6-'4JSON'!E220))</f>
        <v>1</v>
      </c>
      <c r="F226" s="41">
        <f>ABS(F$5-(6-'4JSON'!F220))</f>
        <v>1</v>
      </c>
      <c r="G226" s="41">
        <f>ABS(G$5-(6-'4JSON'!G220))</f>
        <v>1</v>
      </c>
      <c r="H226" s="41">
        <f>ABS(H$5-(6-'4JSON'!H220))</f>
        <v>2</v>
      </c>
      <c r="I226" s="41">
        <f>ABS(I$5-(6-'4JSON'!I220))</f>
        <v>2</v>
      </c>
      <c r="J226" s="41">
        <f>ABS(J$5-(6-'4JSON'!J220))</f>
        <v>1</v>
      </c>
      <c r="K226" s="41">
        <f>ABS(K$5-(6-'4JSON'!K220))</f>
        <v>1</v>
      </c>
      <c r="L226" s="41">
        <f>ABS(L$5-(6-'4JSON'!L220))</f>
        <v>0</v>
      </c>
      <c r="M226" s="36">
        <f t="shared" si="1"/>
        <v>9</v>
      </c>
      <c r="N226" s="42">
        <f t="shared" si="2"/>
        <v>0.75</v>
      </c>
      <c r="S226" s="35">
        <f>IFERROR(__xludf.DUMMYFUNCTION("""COMPUTED_VALUE"""),7244.0)</f>
        <v>7244</v>
      </c>
    </row>
    <row r="227">
      <c r="A227" s="35">
        <f>'4JSON'!A221</f>
        <v>4155</v>
      </c>
      <c r="B227" s="25" t="str">
        <f>'4JSON'!B221</f>
        <v>Classification Officers, Correctional Institutions</v>
      </c>
      <c r="C227" s="41" t="str">
        <f>'4JSON'!C221</f>
        <v>Probation and parole officers and related occupations</v>
      </c>
      <c r="D227" s="41">
        <f>ABS(D$5-(6-'4JSON'!D221))</f>
        <v>2</v>
      </c>
      <c r="E227" s="41">
        <f>ABS(E$5-(6-'4JSON'!E221))</f>
        <v>1</v>
      </c>
      <c r="F227" s="41">
        <f>ABS(F$5-(6-'4JSON'!F221))</f>
        <v>0</v>
      </c>
      <c r="G227" s="41">
        <f>ABS(G$5-(6-'4JSON'!G221))</f>
        <v>1</v>
      </c>
      <c r="H227" s="41">
        <f>ABS(H$5-(6-'4JSON'!H221))</f>
        <v>2</v>
      </c>
      <c r="I227" s="41">
        <f>ABS(I$5-(6-'4JSON'!I221))</f>
        <v>0</v>
      </c>
      <c r="J227" s="41">
        <f>ABS(J$5-(6-'4JSON'!J221))</f>
        <v>1</v>
      </c>
      <c r="K227" s="41">
        <f>ABS(K$5-(6-'4JSON'!K221))</f>
        <v>1</v>
      </c>
      <c r="L227" s="41">
        <f>ABS(L$5-(6-'4JSON'!L221))</f>
        <v>1</v>
      </c>
      <c r="M227" s="36">
        <f t="shared" si="1"/>
        <v>9</v>
      </c>
      <c r="N227" s="42">
        <f t="shared" si="2"/>
        <v>0.75</v>
      </c>
      <c r="S227" s="35">
        <f>IFERROR(__xludf.DUMMYFUNCTION("""COMPUTED_VALUE"""),2242.0)</f>
        <v>2242</v>
      </c>
    </row>
    <row r="228">
      <c r="A228" s="35">
        <f>'4JSON'!A222</f>
        <v>6315</v>
      </c>
      <c r="B228" s="25" t="str">
        <f>'4JSON'!B222</f>
        <v>Cleaning Supervisors</v>
      </c>
      <c r="C228" s="41" t="str">
        <f>'4JSON'!C222</f>
        <v>Cleaning supervisors</v>
      </c>
      <c r="D228" s="41">
        <f>ABS(D$5-(6-'4JSON'!D222))</f>
        <v>1</v>
      </c>
      <c r="E228" s="41">
        <f>ABS(E$5-(6-'4JSON'!E222))</f>
        <v>0</v>
      </c>
      <c r="F228" s="41">
        <f>ABS(F$5-(6-'4JSON'!F222))</f>
        <v>0</v>
      </c>
      <c r="G228" s="41">
        <f>ABS(G$5-(6-'4JSON'!G222))</f>
        <v>1</v>
      </c>
      <c r="H228" s="41">
        <f>ABS(H$5-(6-'4JSON'!H222))</f>
        <v>2</v>
      </c>
      <c r="I228" s="41">
        <f>ABS(I$5-(6-'4JSON'!I222))</f>
        <v>0</v>
      </c>
      <c r="J228" s="41">
        <f>ABS(J$5-(6-'4JSON'!J222))</f>
        <v>1</v>
      </c>
      <c r="K228" s="41">
        <f>ABS(K$5-(6-'4JSON'!K222))</f>
        <v>1</v>
      </c>
      <c r="L228" s="41">
        <f>ABS(L$5-(6-'4JSON'!L222))</f>
        <v>1</v>
      </c>
      <c r="M228" s="36">
        <f t="shared" si="1"/>
        <v>7</v>
      </c>
      <c r="N228" s="42">
        <f t="shared" si="2"/>
        <v>0.8055555556</v>
      </c>
      <c r="S228" s="35">
        <f>IFERROR(__xludf.DUMMYFUNCTION("""COMPUTED_VALUE"""),9523.0)</f>
        <v>9523</v>
      </c>
    </row>
    <row r="229">
      <c r="A229" s="35">
        <f>'4JSON'!A223</f>
        <v>1435</v>
      </c>
      <c r="B229" s="25" t="str">
        <f>'4JSON'!B223</f>
        <v>Collectors</v>
      </c>
      <c r="C229" s="41" t="str">
        <f>'4JSON'!C223</f>
        <v>Collectors</v>
      </c>
      <c r="D229" s="41">
        <f>ABS(D$5-(6-'4JSON'!D223))</f>
        <v>1</v>
      </c>
      <c r="E229" s="41">
        <f>ABS(E$5-(6-'4JSON'!E223))</f>
        <v>0</v>
      </c>
      <c r="F229" s="41">
        <f>ABS(F$5-(6-'4JSON'!F223))</f>
        <v>0</v>
      </c>
      <c r="G229" s="41">
        <f>ABS(G$5-(6-'4JSON'!G223))</f>
        <v>1</v>
      </c>
      <c r="H229" s="41">
        <f>ABS(H$5-(6-'4JSON'!H223))</f>
        <v>2</v>
      </c>
      <c r="I229" s="41">
        <f>ABS(I$5-(6-'4JSON'!I223))</f>
        <v>0</v>
      </c>
      <c r="J229" s="41">
        <f>ABS(J$5-(6-'4JSON'!J223))</f>
        <v>1</v>
      </c>
      <c r="K229" s="41">
        <f>ABS(K$5-(6-'4JSON'!K223))</f>
        <v>1</v>
      </c>
      <c r="L229" s="41">
        <f>ABS(L$5-(6-'4JSON'!L223))</f>
        <v>1</v>
      </c>
      <c r="M229" s="36">
        <f t="shared" si="1"/>
        <v>7</v>
      </c>
      <c r="N229" s="42">
        <f t="shared" si="2"/>
        <v>0.8055555556</v>
      </c>
      <c r="S229" s="35">
        <f>IFERROR(__xludf.DUMMYFUNCTION("""COMPUTED_VALUE"""),7333.0)</f>
        <v>7333</v>
      </c>
    </row>
    <row r="230">
      <c r="A230" s="35">
        <f>'4JSON'!A224</f>
        <v>4423</v>
      </c>
      <c r="B230" s="25" t="str">
        <f>'4JSON'!B224</f>
        <v>Commercial Transport Inspectors</v>
      </c>
      <c r="C230" s="41" t="str">
        <f>'4JSON'!C224</f>
        <v>By-law enforcement and other regulatory officers, n.e.c.</v>
      </c>
      <c r="D230" s="41">
        <f>ABS(D$5-(6-'4JSON'!D224))</f>
        <v>1</v>
      </c>
      <c r="E230" s="41">
        <f>ABS(E$5-(6-'4JSON'!E224))</f>
        <v>0</v>
      </c>
      <c r="F230" s="41">
        <f>ABS(F$5-(6-'4JSON'!F224))</f>
        <v>0</v>
      </c>
      <c r="G230" s="41">
        <f>ABS(G$5-(6-'4JSON'!G224))</f>
        <v>1</v>
      </c>
      <c r="H230" s="41">
        <f>ABS(H$5-(6-'4JSON'!H224))</f>
        <v>2</v>
      </c>
      <c r="I230" s="41">
        <f>ABS(I$5-(6-'4JSON'!I224))</f>
        <v>0</v>
      </c>
      <c r="J230" s="41">
        <f>ABS(J$5-(6-'4JSON'!J224))</f>
        <v>1</v>
      </c>
      <c r="K230" s="41">
        <f>ABS(K$5-(6-'4JSON'!K224))</f>
        <v>1</v>
      </c>
      <c r="L230" s="41">
        <f>ABS(L$5-(6-'4JSON'!L224))</f>
        <v>1</v>
      </c>
      <c r="M230" s="36">
        <f t="shared" si="1"/>
        <v>7</v>
      </c>
      <c r="N230" s="42">
        <f t="shared" si="2"/>
        <v>0.8055555556</v>
      </c>
      <c r="S230" s="35">
        <f>IFERROR(__xludf.DUMMYFUNCTION("""COMPUTED_VALUE"""),5243.0)</f>
        <v>5243</v>
      </c>
    </row>
    <row r="231">
      <c r="A231" s="35">
        <f>'4JSON'!A225</f>
        <v>4212</v>
      </c>
      <c r="B231" s="25" t="str">
        <f>'4JSON'!B225</f>
        <v>Community and Social Service Workers</v>
      </c>
      <c r="C231" s="41" t="str">
        <f>'4JSON'!C225</f>
        <v>Social and community service workers</v>
      </c>
      <c r="D231" s="41">
        <f>ABS(D$5-(6-'4JSON'!D225))</f>
        <v>1</v>
      </c>
      <c r="E231" s="41">
        <f>ABS(E$5-(6-'4JSON'!E225))</f>
        <v>0</v>
      </c>
      <c r="F231" s="41">
        <f>ABS(F$5-(6-'4JSON'!F225))</f>
        <v>0</v>
      </c>
      <c r="G231" s="41">
        <f>ABS(G$5-(6-'4JSON'!G225))</f>
        <v>1</v>
      </c>
      <c r="H231" s="41">
        <f>ABS(H$5-(6-'4JSON'!H225))</f>
        <v>2</v>
      </c>
      <c r="I231" s="41">
        <f>ABS(I$5-(6-'4JSON'!I225))</f>
        <v>0</v>
      </c>
      <c r="J231" s="41">
        <f>ABS(J$5-(6-'4JSON'!J225))</f>
        <v>1</v>
      </c>
      <c r="K231" s="41">
        <f>ABS(K$5-(6-'4JSON'!K225))</f>
        <v>1</v>
      </c>
      <c r="L231" s="41">
        <f>ABS(L$5-(6-'4JSON'!L225))</f>
        <v>1</v>
      </c>
      <c r="M231" s="36">
        <f t="shared" si="1"/>
        <v>7</v>
      </c>
      <c r="N231" s="42">
        <f t="shared" si="2"/>
        <v>0.8055555556</v>
      </c>
      <c r="S231" s="35">
        <f>IFERROR(__xludf.DUMMYFUNCTION("""COMPUTED_VALUE"""),2271.0)</f>
        <v>2271</v>
      </c>
    </row>
    <row r="232">
      <c r="A232" s="35">
        <f>'4JSON'!A226</f>
        <v>4412</v>
      </c>
      <c r="B232" s="25" t="str">
        <f>'4JSON'!B226</f>
        <v>Companions</v>
      </c>
      <c r="C232" s="41" t="str">
        <f>'4JSON'!C226</f>
        <v>Home support workers, housekeepers and related occupations</v>
      </c>
      <c r="D232" s="41">
        <f>ABS(D$5-(6-'4JSON'!D226))</f>
        <v>0</v>
      </c>
      <c r="E232" s="41">
        <f>ABS(E$5-(6-'4JSON'!E226))</f>
        <v>1</v>
      </c>
      <c r="F232" s="41">
        <f>ABS(F$5-(6-'4JSON'!F226))</f>
        <v>1</v>
      </c>
      <c r="G232" s="41">
        <f>ABS(G$5-(6-'4JSON'!G226))</f>
        <v>1</v>
      </c>
      <c r="H232" s="41">
        <f>ABS(H$5-(6-'4JSON'!H226))</f>
        <v>2</v>
      </c>
      <c r="I232" s="41">
        <f>ABS(I$5-(6-'4JSON'!I226))</f>
        <v>1</v>
      </c>
      <c r="J232" s="41">
        <f>ABS(J$5-(6-'4JSON'!J226))</f>
        <v>1</v>
      </c>
      <c r="K232" s="41">
        <f>ABS(K$5-(6-'4JSON'!K226))</f>
        <v>1</v>
      </c>
      <c r="L232" s="41">
        <f>ABS(L$5-(6-'4JSON'!L226))</f>
        <v>1</v>
      </c>
      <c r="M232" s="36">
        <f t="shared" si="1"/>
        <v>9</v>
      </c>
      <c r="N232" s="42">
        <f t="shared" si="2"/>
        <v>0.75</v>
      </c>
      <c r="S232" s="35">
        <f>IFERROR(__xludf.DUMMYFUNCTION("""COMPUTED_VALUE"""),2223.0)</f>
        <v>2223</v>
      </c>
    </row>
    <row r="233">
      <c r="A233" s="35">
        <f>'4JSON'!A227</f>
        <v>213</v>
      </c>
      <c r="B233" s="25" t="str">
        <f>'4JSON'!B227</f>
        <v>Computer and Information Systems Managers</v>
      </c>
      <c r="C233" s="41" t="str">
        <f>'4JSON'!C227</f>
        <v>Computer and information systems managers</v>
      </c>
      <c r="D233" s="41">
        <f>ABS(D$5-(6-'4JSON'!D227))</f>
        <v>3</v>
      </c>
      <c r="E233" s="41">
        <f>ABS(E$5-(6-'4JSON'!E227))</f>
        <v>1</v>
      </c>
      <c r="F233" s="41">
        <f>ABS(F$5-(6-'4JSON'!F227))</f>
        <v>2</v>
      </c>
      <c r="G233" s="41">
        <f>ABS(G$5-(6-'4JSON'!G227))</f>
        <v>1</v>
      </c>
      <c r="H233" s="41">
        <f>ABS(H$5-(6-'4JSON'!H227))</f>
        <v>1</v>
      </c>
      <c r="I233" s="41">
        <f>ABS(I$5-(6-'4JSON'!I227))</f>
        <v>0</v>
      </c>
      <c r="J233" s="41">
        <f>ABS(J$5-(6-'4JSON'!J227))</f>
        <v>1</v>
      </c>
      <c r="K233" s="41">
        <f>ABS(K$5-(6-'4JSON'!K227))</f>
        <v>1</v>
      </c>
      <c r="L233" s="41">
        <f>ABS(L$5-(6-'4JSON'!L227))</f>
        <v>1</v>
      </c>
      <c r="M233" s="36">
        <f t="shared" si="1"/>
        <v>11</v>
      </c>
      <c r="N233" s="42">
        <f t="shared" si="2"/>
        <v>0.6944444444</v>
      </c>
      <c r="S233" s="35">
        <f>IFERROR(__xludf.DUMMYFUNCTION("""COMPUTED_VALUE"""),5241.0)</f>
        <v>5241</v>
      </c>
    </row>
    <row r="234">
      <c r="A234" s="35">
        <f>'4JSON'!A228</f>
        <v>6541</v>
      </c>
      <c r="B234" s="25" t="str">
        <f>'4JSON'!B228</f>
        <v>Corporate Security Officers</v>
      </c>
      <c r="C234" s="41" t="str">
        <f>'4JSON'!C228</f>
        <v>Security guards and related security service occupations</v>
      </c>
      <c r="D234" s="41">
        <f>ABS(D$5-(6-'4JSON'!D228))</f>
        <v>1</v>
      </c>
      <c r="E234" s="41">
        <f>ABS(E$5-(6-'4JSON'!E228))</f>
        <v>0</v>
      </c>
      <c r="F234" s="41">
        <f>ABS(F$5-(6-'4JSON'!F228))</f>
        <v>1</v>
      </c>
      <c r="G234" s="41">
        <f>ABS(G$5-(6-'4JSON'!G228))</f>
        <v>1</v>
      </c>
      <c r="H234" s="41">
        <f>ABS(H$5-(6-'4JSON'!H228))</f>
        <v>2</v>
      </c>
      <c r="I234" s="41">
        <f>ABS(I$5-(6-'4JSON'!I228))</f>
        <v>1</v>
      </c>
      <c r="J234" s="41">
        <f>ABS(J$5-(6-'4JSON'!J228))</f>
        <v>1</v>
      </c>
      <c r="K234" s="41">
        <f>ABS(K$5-(6-'4JSON'!K228))</f>
        <v>1</v>
      </c>
      <c r="L234" s="41">
        <f>ABS(L$5-(6-'4JSON'!L228))</f>
        <v>1</v>
      </c>
      <c r="M234" s="36">
        <f t="shared" si="1"/>
        <v>9</v>
      </c>
      <c r="N234" s="42">
        <f t="shared" si="2"/>
        <v>0.75</v>
      </c>
      <c r="S234" s="35">
        <f>IFERROR(__xludf.DUMMYFUNCTION("""COMPUTED_VALUE"""),6346.0)</f>
        <v>6346</v>
      </c>
    </row>
    <row r="235">
      <c r="A235" s="35">
        <f>'4JSON'!A229</f>
        <v>1416</v>
      </c>
      <c r="B235" s="25" t="str">
        <f>'4JSON'!B229</f>
        <v>Court Clerks</v>
      </c>
      <c r="C235" s="41" t="str">
        <f>'4JSON'!C229</f>
        <v>Court clerks</v>
      </c>
      <c r="D235" s="41">
        <f>ABS(D$5-(6-'4JSON'!D229))</f>
        <v>1</v>
      </c>
      <c r="E235" s="41">
        <f>ABS(E$5-(6-'4JSON'!E229))</f>
        <v>0</v>
      </c>
      <c r="F235" s="41">
        <f>ABS(F$5-(6-'4JSON'!F229))</f>
        <v>0</v>
      </c>
      <c r="G235" s="41">
        <f>ABS(G$5-(6-'4JSON'!G229))</f>
        <v>1</v>
      </c>
      <c r="H235" s="41">
        <f>ABS(H$5-(6-'4JSON'!H229))</f>
        <v>2</v>
      </c>
      <c r="I235" s="41">
        <f>ABS(I$5-(6-'4JSON'!I229))</f>
        <v>0</v>
      </c>
      <c r="J235" s="41">
        <f>ABS(J$5-(6-'4JSON'!J229))</f>
        <v>1</v>
      </c>
      <c r="K235" s="41">
        <f>ABS(K$5-(6-'4JSON'!K229))</f>
        <v>1</v>
      </c>
      <c r="L235" s="41">
        <f>ABS(L$5-(6-'4JSON'!L229))</f>
        <v>1</v>
      </c>
      <c r="M235" s="36">
        <f t="shared" si="1"/>
        <v>7</v>
      </c>
      <c r="N235" s="42">
        <f t="shared" si="2"/>
        <v>0.8055555556</v>
      </c>
      <c r="S235" s="35">
        <f>IFERROR(__xludf.DUMMYFUNCTION("""COMPUTED_VALUE"""),7312.0)</f>
        <v>7312</v>
      </c>
    </row>
    <row r="236">
      <c r="A236" s="35">
        <f>'4JSON'!A230</f>
        <v>1227</v>
      </c>
      <c r="B236" s="25" t="str">
        <f>'4JSON'!B230</f>
        <v>Court Officers</v>
      </c>
      <c r="C236" s="41" t="str">
        <f>'4JSON'!C230</f>
        <v>Court officers and justices of the peace</v>
      </c>
      <c r="D236" s="41">
        <f>ABS(D$5-(6-'4JSON'!D230))</f>
        <v>1</v>
      </c>
      <c r="E236" s="41">
        <f>ABS(E$5-(6-'4JSON'!E230))</f>
        <v>0</v>
      </c>
      <c r="F236" s="41">
        <f>ABS(F$5-(6-'4JSON'!F230))</f>
        <v>0</v>
      </c>
      <c r="G236" s="41">
        <f>ABS(G$5-(6-'4JSON'!G230))</f>
        <v>1</v>
      </c>
      <c r="H236" s="41">
        <f>ABS(H$5-(6-'4JSON'!H230))</f>
        <v>2</v>
      </c>
      <c r="I236" s="41">
        <f>ABS(I$5-(6-'4JSON'!I230))</f>
        <v>0</v>
      </c>
      <c r="J236" s="41">
        <f>ABS(J$5-(6-'4JSON'!J230))</f>
        <v>1</v>
      </c>
      <c r="K236" s="41">
        <f>ABS(K$5-(6-'4JSON'!K230))</f>
        <v>1</v>
      </c>
      <c r="L236" s="41">
        <f>ABS(L$5-(6-'4JSON'!L230))</f>
        <v>1</v>
      </c>
      <c r="M236" s="36">
        <f t="shared" si="1"/>
        <v>7</v>
      </c>
      <c r="N236" s="42">
        <f t="shared" si="2"/>
        <v>0.8055555556</v>
      </c>
      <c r="S236" s="35">
        <f>IFERROR(__xludf.DUMMYFUNCTION("""COMPUTED_VALUE"""),7322.0)</f>
        <v>7322</v>
      </c>
    </row>
    <row r="237">
      <c r="A237" s="35">
        <f>'4JSON'!A231</f>
        <v>5121</v>
      </c>
      <c r="B237" s="25" t="str">
        <f>'4JSON'!B231</f>
        <v>Creative Writers</v>
      </c>
      <c r="C237" s="41" t="str">
        <f>'4JSON'!C231</f>
        <v>Authors and writers</v>
      </c>
      <c r="D237" s="41">
        <f>ABS(D$5-(6-'4JSON'!D231))</f>
        <v>2</v>
      </c>
      <c r="E237" s="41">
        <f>ABS(E$5-(6-'4JSON'!E231))</f>
        <v>2</v>
      </c>
      <c r="F237" s="41">
        <f>ABS(F$5-(6-'4JSON'!F231))</f>
        <v>1</v>
      </c>
      <c r="G237" s="41">
        <f>ABS(G$5-(6-'4JSON'!G231))</f>
        <v>1</v>
      </c>
      <c r="H237" s="41">
        <f>ABS(H$5-(6-'4JSON'!H231))</f>
        <v>2</v>
      </c>
      <c r="I237" s="41">
        <f>ABS(I$5-(6-'4JSON'!I231))</f>
        <v>0</v>
      </c>
      <c r="J237" s="41">
        <f>ABS(J$5-(6-'4JSON'!J231))</f>
        <v>1</v>
      </c>
      <c r="K237" s="41">
        <f>ABS(K$5-(6-'4JSON'!K231))</f>
        <v>1</v>
      </c>
      <c r="L237" s="41">
        <f>ABS(L$5-(6-'4JSON'!L231))</f>
        <v>1</v>
      </c>
      <c r="M237" s="36">
        <f t="shared" si="1"/>
        <v>11</v>
      </c>
      <c r="N237" s="42">
        <f t="shared" si="2"/>
        <v>0.6944444444</v>
      </c>
      <c r="S237" s="35">
        <f>IFERROR(__xludf.DUMMYFUNCTION("""COMPUTED_VALUE"""),7331.0)</f>
        <v>7331</v>
      </c>
    </row>
    <row r="238">
      <c r="A238" s="35">
        <f>'4JSON'!A232</f>
        <v>6314</v>
      </c>
      <c r="B238" s="25" t="str">
        <f>'4JSON'!B232</f>
        <v>Customer Service Clerks in Insurance, Telephone, Utility and Similar Companies</v>
      </c>
      <c r="C238" s="41" t="str">
        <f>'4JSON'!C232</f>
        <v>Customer and information services supervisors</v>
      </c>
      <c r="D238" s="41">
        <f>ABS(D$5-(6-'4JSON'!D232))</f>
        <v>1</v>
      </c>
      <c r="E238" s="41">
        <f>ABS(E$5-(6-'4JSON'!E232))</f>
        <v>0</v>
      </c>
      <c r="F238" s="41">
        <f>ABS(F$5-(6-'4JSON'!F232))</f>
        <v>0</v>
      </c>
      <c r="G238" s="41">
        <f>ABS(G$5-(6-'4JSON'!G232))</f>
        <v>1</v>
      </c>
      <c r="H238" s="41">
        <f>ABS(H$5-(6-'4JSON'!H232))</f>
        <v>2</v>
      </c>
      <c r="I238" s="41">
        <f>ABS(I$5-(6-'4JSON'!I232))</f>
        <v>0</v>
      </c>
      <c r="J238" s="41">
        <f>ABS(J$5-(6-'4JSON'!J232))</f>
        <v>1</v>
      </c>
      <c r="K238" s="41">
        <f>ABS(K$5-(6-'4JSON'!K232))</f>
        <v>1</v>
      </c>
      <c r="L238" s="41">
        <f>ABS(L$5-(6-'4JSON'!L232))</f>
        <v>1</v>
      </c>
      <c r="M238" s="36">
        <f t="shared" si="1"/>
        <v>7</v>
      </c>
      <c r="N238" s="42">
        <f t="shared" si="2"/>
        <v>0.8055555556</v>
      </c>
      <c r="S238" s="35">
        <f>IFERROR(__xludf.DUMMYFUNCTION("""COMPUTED_VALUE"""),7381.0)</f>
        <v>7381</v>
      </c>
    </row>
    <row r="239">
      <c r="A239" s="35">
        <f>'4JSON'!A233</f>
        <v>6552</v>
      </c>
      <c r="B239" s="25" t="str">
        <f>'4JSON'!B233</f>
        <v>Customer Service Clerks in Retail Establishments</v>
      </c>
      <c r="C239" s="41" t="str">
        <f>'4JSON'!C233</f>
        <v>Other customer and information services representatives</v>
      </c>
      <c r="D239" s="41">
        <f>ABS(D$5-(6-'4JSON'!D233))</f>
        <v>1</v>
      </c>
      <c r="E239" s="41">
        <f>ABS(E$5-(6-'4JSON'!E233))</f>
        <v>0</v>
      </c>
      <c r="F239" s="41">
        <f>ABS(F$5-(6-'4JSON'!F233))</f>
        <v>0</v>
      </c>
      <c r="G239" s="41">
        <f>ABS(G$5-(6-'4JSON'!G233))</f>
        <v>1</v>
      </c>
      <c r="H239" s="41">
        <f>ABS(H$5-(6-'4JSON'!H233))</f>
        <v>2</v>
      </c>
      <c r="I239" s="41">
        <f>ABS(I$5-(6-'4JSON'!I233))</f>
        <v>0</v>
      </c>
      <c r="J239" s="41">
        <f>ABS(J$5-(6-'4JSON'!J233))</f>
        <v>1</v>
      </c>
      <c r="K239" s="41">
        <f>ABS(K$5-(6-'4JSON'!K233))</f>
        <v>1</v>
      </c>
      <c r="L239" s="41">
        <f>ABS(L$5-(6-'4JSON'!L233))</f>
        <v>1</v>
      </c>
      <c r="M239" s="36">
        <f t="shared" si="1"/>
        <v>7</v>
      </c>
      <c r="N239" s="42">
        <f t="shared" si="2"/>
        <v>0.8055555556</v>
      </c>
      <c r="S239" s="35">
        <f>IFERROR(__xludf.DUMMYFUNCTION("""COMPUTED_VALUE"""),7445.0)</f>
        <v>7445</v>
      </c>
    </row>
    <row r="240">
      <c r="A240" s="35">
        <f>'4JSON'!A234</f>
        <v>6551</v>
      </c>
      <c r="B240" s="25" t="str">
        <f>'4JSON'!B234</f>
        <v>Customer Service Representatives - Financial Services</v>
      </c>
      <c r="C240" s="41" t="str">
        <f>'4JSON'!C234</f>
        <v>Customer services representatives - financial institutions</v>
      </c>
      <c r="D240" s="41">
        <f>ABS(D$5-(6-'4JSON'!D234))</f>
        <v>1</v>
      </c>
      <c r="E240" s="41">
        <f>ABS(E$5-(6-'4JSON'!E234))</f>
        <v>0</v>
      </c>
      <c r="F240" s="41">
        <f>ABS(F$5-(6-'4JSON'!F234))</f>
        <v>0</v>
      </c>
      <c r="G240" s="41">
        <f>ABS(G$5-(6-'4JSON'!G234))</f>
        <v>1</v>
      </c>
      <c r="H240" s="41">
        <f>ABS(H$5-(6-'4JSON'!H234))</f>
        <v>2</v>
      </c>
      <c r="I240" s="41">
        <f>ABS(I$5-(6-'4JSON'!I234))</f>
        <v>1</v>
      </c>
      <c r="J240" s="41">
        <f>ABS(J$5-(6-'4JSON'!J234))</f>
        <v>1</v>
      </c>
      <c r="K240" s="41">
        <f>ABS(K$5-(6-'4JSON'!K234))</f>
        <v>0</v>
      </c>
      <c r="L240" s="41">
        <f>ABS(L$5-(6-'4JSON'!L234))</f>
        <v>1</v>
      </c>
      <c r="M240" s="36">
        <f t="shared" si="1"/>
        <v>7</v>
      </c>
      <c r="N240" s="42">
        <f t="shared" si="2"/>
        <v>0.8055555556</v>
      </c>
      <c r="S240" s="35">
        <f>IFERROR(__xludf.DUMMYFUNCTION("""COMPUTED_VALUE"""),4216.0)</f>
        <v>4216</v>
      </c>
    </row>
    <row r="241">
      <c r="A241" s="35">
        <f>'4JSON'!A235</f>
        <v>1315</v>
      </c>
      <c r="B241" s="25" t="str">
        <f>'4JSON'!B235</f>
        <v>Customs Brokers</v>
      </c>
      <c r="C241" s="41" t="str">
        <f>'4JSON'!C235</f>
        <v>Customs, ship and other brokers</v>
      </c>
      <c r="D241" s="41">
        <f>ABS(D$5-(6-'4JSON'!D235))</f>
        <v>2</v>
      </c>
      <c r="E241" s="41">
        <f>ABS(E$5-(6-'4JSON'!E235))</f>
        <v>1</v>
      </c>
      <c r="F241" s="41">
        <f>ABS(F$5-(6-'4JSON'!F235))</f>
        <v>0</v>
      </c>
      <c r="G241" s="41">
        <f>ABS(G$5-(6-'4JSON'!G235))</f>
        <v>1</v>
      </c>
      <c r="H241" s="41">
        <f>ABS(H$5-(6-'4JSON'!H235))</f>
        <v>2</v>
      </c>
      <c r="I241" s="41">
        <f>ABS(I$5-(6-'4JSON'!I235))</f>
        <v>0</v>
      </c>
      <c r="J241" s="41">
        <f>ABS(J$5-(6-'4JSON'!J235))</f>
        <v>1</v>
      </c>
      <c r="K241" s="41">
        <f>ABS(K$5-(6-'4JSON'!K235))</f>
        <v>1</v>
      </c>
      <c r="L241" s="41">
        <f>ABS(L$5-(6-'4JSON'!L235))</f>
        <v>1</v>
      </c>
      <c r="M241" s="36">
        <f t="shared" si="1"/>
        <v>9</v>
      </c>
      <c r="N241" s="42">
        <f t="shared" si="2"/>
        <v>0.75</v>
      </c>
      <c r="S241" s="35">
        <f>IFERROR(__xludf.DUMMYFUNCTION("""COMPUTED_VALUE"""),9474.0)</f>
        <v>9474</v>
      </c>
    </row>
    <row r="242">
      <c r="A242" s="35">
        <f>'4JSON'!A236</f>
        <v>3219</v>
      </c>
      <c r="B242" s="25" t="str">
        <f>'4JSON'!B236</f>
        <v>Dietary Technicians</v>
      </c>
      <c r="C242" s="41" t="str">
        <f>'4JSON'!C236</f>
        <v>Other medical technologists and technicians (except dental health)</v>
      </c>
      <c r="D242" s="41">
        <f>ABS(D$5-(6-'4JSON'!D236))</f>
        <v>1</v>
      </c>
      <c r="E242" s="41">
        <f>ABS(E$5-(6-'4JSON'!E236))</f>
        <v>0</v>
      </c>
      <c r="F242" s="41">
        <f>ABS(F$5-(6-'4JSON'!F236))</f>
        <v>0</v>
      </c>
      <c r="G242" s="41">
        <f>ABS(G$5-(6-'4JSON'!G236))</f>
        <v>1</v>
      </c>
      <c r="H242" s="41">
        <f>ABS(H$5-(6-'4JSON'!H236))</f>
        <v>2</v>
      </c>
      <c r="I242" s="41">
        <f>ABS(I$5-(6-'4JSON'!I236))</f>
        <v>0</v>
      </c>
      <c r="J242" s="41">
        <f>ABS(J$5-(6-'4JSON'!J236))</f>
        <v>1</v>
      </c>
      <c r="K242" s="41">
        <f>ABS(K$5-(6-'4JSON'!K236))</f>
        <v>1</v>
      </c>
      <c r="L242" s="41">
        <f>ABS(L$5-(6-'4JSON'!L236))</f>
        <v>1</v>
      </c>
      <c r="M242" s="36">
        <f t="shared" si="1"/>
        <v>7</v>
      </c>
      <c r="N242" s="42">
        <f t="shared" si="2"/>
        <v>0.8055555556</v>
      </c>
      <c r="S242" s="35">
        <f>IFERROR(__xludf.DUMMYFUNCTION("""COMPUTED_VALUE"""),7303.0)</f>
        <v>7303</v>
      </c>
    </row>
    <row r="243">
      <c r="A243" s="35">
        <f>'4JSON'!A237</f>
        <v>3132</v>
      </c>
      <c r="B243" s="25" t="str">
        <f>'4JSON'!B237</f>
        <v>Dietitians and Nutritionists</v>
      </c>
      <c r="C243" s="41" t="str">
        <f>'4JSON'!C237</f>
        <v>Dietitians and nutritionists</v>
      </c>
      <c r="D243" s="41">
        <f>ABS(D$5-(6-'4JSON'!D237))</f>
        <v>2</v>
      </c>
      <c r="E243" s="41">
        <f>ABS(E$5-(6-'4JSON'!E237))</f>
        <v>1</v>
      </c>
      <c r="F243" s="41">
        <f>ABS(F$5-(6-'4JSON'!F237))</f>
        <v>1</v>
      </c>
      <c r="G243" s="41">
        <f>ABS(G$5-(6-'4JSON'!G237))</f>
        <v>0</v>
      </c>
      <c r="H243" s="41">
        <f>ABS(H$5-(6-'4JSON'!H237))</f>
        <v>1</v>
      </c>
      <c r="I243" s="41">
        <f>ABS(I$5-(6-'4JSON'!I237))</f>
        <v>1</v>
      </c>
      <c r="J243" s="41">
        <f>ABS(J$5-(6-'4JSON'!J237))</f>
        <v>1</v>
      </c>
      <c r="K243" s="41">
        <f>ABS(K$5-(6-'4JSON'!K237))</f>
        <v>1</v>
      </c>
      <c r="L243" s="41">
        <f>ABS(L$5-(6-'4JSON'!L237))</f>
        <v>1</v>
      </c>
      <c r="M243" s="36">
        <f t="shared" si="1"/>
        <v>9</v>
      </c>
      <c r="N243" s="42">
        <f t="shared" si="2"/>
        <v>0.75</v>
      </c>
      <c r="S243" s="35">
        <f>IFERROR(__xludf.DUMMYFUNCTION("""COMPUTED_VALUE"""),7314.0)</f>
        <v>7314</v>
      </c>
    </row>
    <row r="244">
      <c r="A244" s="35">
        <f>'4JSON'!A238</f>
        <v>1525</v>
      </c>
      <c r="B244" s="25" t="str">
        <f>'4JSON'!B238</f>
        <v>Dispatchers</v>
      </c>
      <c r="C244" s="41" t="str">
        <f>'4JSON'!C238</f>
        <v>Dispatchers</v>
      </c>
      <c r="D244" s="41">
        <f>ABS(D$5-(6-'4JSON'!D238))</f>
        <v>1</v>
      </c>
      <c r="E244" s="41">
        <f>ABS(E$5-(6-'4JSON'!E238))</f>
        <v>0</v>
      </c>
      <c r="F244" s="41">
        <f>ABS(F$5-(6-'4JSON'!F238))</f>
        <v>0</v>
      </c>
      <c r="G244" s="41">
        <f>ABS(G$5-(6-'4JSON'!G238))</f>
        <v>1</v>
      </c>
      <c r="H244" s="41">
        <f>ABS(H$5-(6-'4JSON'!H238))</f>
        <v>2</v>
      </c>
      <c r="I244" s="41">
        <f>ABS(I$5-(6-'4JSON'!I238))</f>
        <v>0</v>
      </c>
      <c r="J244" s="41">
        <f>ABS(J$5-(6-'4JSON'!J238))</f>
        <v>1</v>
      </c>
      <c r="K244" s="41">
        <f>ABS(K$5-(6-'4JSON'!K238))</f>
        <v>1</v>
      </c>
      <c r="L244" s="41">
        <f>ABS(L$5-(6-'4JSON'!L238))</f>
        <v>1</v>
      </c>
      <c r="M244" s="36">
        <f t="shared" si="1"/>
        <v>7</v>
      </c>
      <c r="N244" s="42">
        <f t="shared" si="2"/>
        <v>0.8055555556</v>
      </c>
      <c r="S244" s="35">
        <f>IFERROR(__xludf.DUMMYFUNCTION("""COMPUTED_VALUE"""),9521.0)</f>
        <v>9521</v>
      </c>
    </row>
    <row r="245">
      <c r="A245" s="35">
        <f>'4JSON'!A239</f>
        <v>4214</v>
      </c>
      <c r="B245" s="25" t="str">
        <f>'4JSON'!B239</f>
        <v>Early Childhood Educator Assistants</v>
      </c>
      <c r="C245" s="41" t="str">
        <f>'4JSON'!C239</f>
        <v>Early childhood educators and assistants</v>
      </c>
      <c r="D245" s="41">
        <f>ABS(D$5-(6-'4JSON'!D239))</f>
        <v>1</v>
      </c>
      <c r="E245" s="41">
        <f>ABS(E$5-(6-'4JSON'!E239))</f>
        <v>0</v>
      </c>
      <c r="F245" s="41">
        <f>ABS(F$5-(6-'4JSON'!F239))</f>
        <v>1</v>
      </c>
      <c r="G245" s="41">
        <f>ABS(G$5-(6-'4JSON'!G239))</f>
        <v>1</v>
      </c>
      <c r="H245" s="41">
        <f>ABS(H$5-(6-'4JSON'!H239))</f>
        <v>2</v>
      </c>
      <c r="I245" s="41">
        <f>ABS(I$5-(6-'4JSON'!I239))</f>
        <v>1</v>
      </c>
      <c r="J245" s="41">
        <f>ABS(J$5-(6-'4JSON'!J239))</f>
        <v>1</v>
      </c>
      <c r="K245" s="41">
        <f>ABS(K$5-(6-'4JSON'!K239))</f>
        <v>1</v>
      </c>
      <c r="L245" s="41">
        <f>ABS(L$5-(6-'4JSON'!L239))</f>
        <v>1</v>
      </c>
      <c r="M245" s="36">
        <f t="shared" si="1"/>
        <v>9</v>
      </c>
      <c r="N245" s="42">
        <f t="shared" si="2"/>
        <v>0.75</v>
      </c>
      <c r="S245" s="35">
        <f>IFERROR(__xludf.DUMMYFUNCTION("""COMPUTED_VALUE"""),5136.0)</f>
        <v>5136</v>
      </c>
    </row>
    <row r="246">
      <c r="A246" s="35">
        <f>'4JSON'!A240</f>
        <v>4214</v>
      </c>
      <c r="B246" s="25" t="str">
        <f>'4JSON'!B240</f>
        <v>Early Childhood Educators</v>
      </c>
      <c r="C246" s="41" t="str">
        <f>'4JSON'!C240</f>
        <v>Early childhood educators and assistants</v>
      </c>
      <c r="D246" s="41">
        <f>ABS(D$5-(6-'4JSON'!D240))</f>
        <v>1</v>
      </c>
      <c r="E246" s="41">
        <f>ABS(E$5-(6-'4JSON'!E240))</f>
        <v>0</v>
      </c>
      <c r="F246" s="41">
        <f>ABS(F$5-(6-'4JSON'!F240))</f>
        <v>1</v>
      </c>
      <c r="G246" s="41">
        <f>ABS(G$5-(6-'4JSON'!G240))</f>
        <v>1</v>
      </c>
      <c r="H246" s="41">
        <f>ABS(H$5-(6-'4JSON'!H240))</f>
        <v>2</v>
      </c>
      <c r="I246" s="41">
        <f>ABS(I$5-(6-'4JSON'!I240))</f>
        <v>1</v>
      </c>
      <c r="J246" s="41">
        <f>ABS(J$5-(6-'4JSON'!J240))</f>
        <v>1</v>
      </c>
      <c r="K246" s="41">
        <f>ABS(K$5-(6-'4JSON'!K240))</f>
        <v>1</v>
      </c>
      <c r="L246" s="41">
        <f>ABS(L$5-(6-'4JSON'!L240))</f>
        <v>1</v>
      </c>
      <c r="M246" s="36">
        <f t="shared" si="1"/>
        <v>9</v>
      </c>
      <c r="N246" s="42">
        <f t="shared" si="2"/>
        <v>0.75</v>
      </c>
      <c r="S246" s="35">
        <f>IFERROR(__xludf.DUMMYFUNCTION("""COMPUTED_VALUE"""),7321.0)</f>
        <v>7321</v>
      </c>
    </row>
    <row r="247">
      <c r="A247" s="35">
        <f>'4JSON'!A241</f>
        <v>5122</v>
      </c>
      <c r="B247" s="25" t="str">
        <f>'4JSON'!B241</f>
        <v>Editors</v>
      </c>
      <c r="C247" s="41" t="str">
        <f>'4JSON'!C241</f>
        <v>Editors</v>
      </c>
      <c r="D247" s="41">
        <f>ABS(D$5-(6-'4JSON'!D241))</f>
        <v>2</v>
      </c>
      <c r="E247" s="41">
        <f>ABS(E$5-(6-'4JSON'!E241))</f>
        <v>2</v>
      </c>
      <c r="F247" s="41">
        <f>ABS(F$5-(6-'4JSON'!F241))</f>
        <v>0</v>
      </c>
      <c r="G247" s="41">
        <f>ABS(G$5-(6-'4JSON'!G241))</f>
        <v>0</v>
      </c>
      <c r="H247" s="41">
        <f>ABS(H$5-(6-'4JSON'!H241))</f>
        <v>2</v>
      </c>
      <c r="I247" s="41">
        <f>ABS(I$5-(6-'4JSON'!I241))</f>
        <v>0</v>
      </c>
      <c r="J247" s="41">
        <f>ABS(J$5-(6-'4JSON'!J241))</f>
        <v>1</v>
      </c>
      <c r="K247" s="41">
        <f>ABS(K$5-(6-'4JSON'!K241))</f>
        <v>1</v>
      </c>
      <c r="L247" s="41">
        <f>ABS(L$5-(6-'4JSON'!L241))</f>
        <v>1</v>
      </c>
      <c r="M247" s="36">
        <f t="shared" si="1"/>
        <v>9</v>
      </c>
      <c r="N247" s="42">
        <f t="shared" si="2"/>
        <v>0.75</v>
      </c>
      <c r="S247" s="35">
        <f>IFERROR(__xludf.DUMMYFUNCTION("""COMPUTED_VALUE"""),5224.0)</f>
        <v>5224</v>
      </c>
    </row>
    <row r="248">
      <c r="A248" s="35">
        <f>'4JSON'!A242</f>
        <v>4166</v>
      </c>
      <c r="B248" s="25" t="str">
        <f>'4JSON'!B242</f>
        <v>Education Policy Researchers, Consultants and Program Officers</v>
      </c>
      <c r="C248" s="41" t="str">
        <f>'4JSON'!C242</f>
        <v>Education policy researchers, consultants and program officers</v>
      </c>
      <c r="D248" s="41">
        <f>ABS(D$5-(6-'4JSON'!D242))</f>
        <v>2</v>
      </c>
      <c r="E248" s="41">
        <f>ABS(E$5-(6-'4JSON'!E242))</f>
        <v>1</v>
      </c>
      <c r="F248" s="41">
        <f>ABS(F$5-(6-'4JSON'!F242))</f>
        <v>0</v>
      </c>
      <c r="G248" s="41">
        <f>ABS(G$5-(6-'4JSON'!G242))</f>
        <v>1</v>
      </c>
      <c r="H248" s="41">
        <f>ABS(H$5-(6-'4JSON'!H242))</f>
        <v>2</v>
      </c>
      <c r="I248" s="41">
        <f>ABS(I$5-(6-'4JSON'!I242))</f>
        <v>0</v>
      </c>
      <c r="J248" s="41">
        <f>ABS(J$5-(6-'4JSON'!J242))</f>
        <v>1</v>
      </c>
      <c r="K248" s="41">
        <f>ABS(K$5-(6-'4JSON'!K242))</f>
        <v>1</v>
      </c>
      <c r="L248" s="41">
        <f>ABS(L$5-(6-'4JSON'!L242))</f>
        <v>1</v>
      </c>
      <c r="M248" s="36">
        <f t="shared" si="1"/>
        <v>9</v>
      </c>
      <c r="N248" s="42">
        <f t="shared" si="2"/>
        <v>0.75</v>
      </c>
      <c r="S248" s="35">
        <f>IFERROR(__xludf.DUMMYFUNCTION("""COMPUTED_VALUE"""),8231.0)</f>
        <v>8231</v>
      </c>
    </row>
    <row r="249">
      <c r="A249" s="35">
        <f>'4JSON'!A243</f>
        <v>4032</v>
      </c>
      <c r="B249" s="25" t="str">
        <f>'4JSON'!B243</f>
        <v>Elementary School and Kindergarten Teachers</v>
      </c>
      <c r="C249" s="41" t="str">
        <f>'4JSON'!C243</f>
        <v>Elementary school and kindergarten teachers</v>
      </c>
      <c r="D249" s="41">
        <f>ABS(D$5-(6-'4JSON'!D243))</f>
        <v>2</v>
      </c>
      <c r="E249" s="41">
        <f>ABS(E$5-(6-'4JSON'!E243))</f>
        <v>1</v>
      </c>
      <c r="F249" s="41">
        <f>ABS(F$5-(6-'4JSON'!F243))</f>
        <v>0</v>
      </c>
      <c r="G249" s="41">
        <f>ABS(G$5-(6-'4JSON'!G243))</f>
        <v>1</v>
      </c>
      <c r="H249" s="41">
        <f>ABS(H$5-(6-'4JSON'!H243))</f>
        <v>2</v>
      </c>
      <c r="I249" s="41">
        <f>ABS(I$5-(6-'4JSON'!I243))</f>
        <v>0</v>
      </c>
      <c r="J249" s="41">
        <f>ABS(J$5-(6-'4JSON'!J243))</f>
        <v>1</v>
      </c>
      <c r="K249" s="41">
        <f>ABS(K$5-(6-'4JSON'!K243))</f>
        <v>1</v>
      </c>
      <c r="L249" s="41">
        <f>ABS(L$5-(6-'4JSON'!L243))</f>
        <v>1</v>
      </c>
      <c r="M249" s="36">
        <f t="shared" si="1"/>
        <v>9</v>
      </c>
      <c r="N249" s="42">
        <f t="shared" si="2"/>
        <v>0.75</v>
      </c>
      <c r="S249" s="35">
        <f>IFERROR(__xludf.DUMMYFUNCTION("""COMPUTED_VALUE"""),2211.0)</f>
        <v>2211</v>
      </c>
    </row>
    <row r="250">
      <c r="A250" s="35">
        <f>'4JSON'!A244</f>
        <v>211</v>
      </c>
      <c r="B250" s="25" t="str">
        <f>'4JSON'!B244</f>
        <v>Engineering Managers</v>
      </c>
      <c r="C250" s="41" t="str">
        <f>'4JSON'!C244</f>
        <v>Engineering managers</v>
      </c>
      <c r="D250" s="41">
        <f>ABS(D$5-(6-'4JSON'!D244))</f>
        <v>3</v>
      </c>
      <c r="E250" s="41">
        <f>ABS(E$5-(6-'4JSON'!E244))</f>
        <v>1</v>
      </c>
      <c r="F250" s="41">
        <f>ABS(F$5-(6-'4JSON'!F244))</f>
        <v>2</v>
      </c>
      <c r="G250" s="41">
        <f>ABS(G$5-(6-'4JSON'!G244))</f>
        <v>1</v>
      </c>
      <c r="H250" s="41">
        <f>ABS(H$5-(6-'4JSON'!H244))</f>
        <v>1</v>
      </c>
      <c r="I250" s="41">
        <f>ABS(I$5-(6-'4JSON'!I244))</f>
        <v>0</v>
      </c>
      <c r="J250" s="41">
        <f>ABS(J$5-(6-'4JSON'!J244))</f>
        <v>1</v>
      </c>
      <c r="K250" s="41">
        <f>ABS(K$5-(6-'4JSON'!K244))</f>
        <v>1</v>
      </c>
      <c r="L250" s="41">
        <f>ABS(L$5-(6-'4JSON'!L244))</f>
        <v>1</v>
      </c>
      <c r="M250" s="36">
        <f t="shared" si="1"/>
        <v>11</v>
      </c>
      <c r="N250" s="42">
        <f t="shared" si="2"/>
        <v>0.6944444444</v>
      </c>
      <c r="S250" s="35">
        <f>IFERROR(__xludf.DUMMYFUNCTION("""COMPUTED_VALUE"""),5252.0)</f>
        <v>5252</v>
      </c>
    </row>
    <row r="251">
      <c r="A251" s="35">
        <f>'4JSON'!A245</f>
        <v>1228</v>
      </c>
      <c r="B251" s="25" t="str">
        <f>'4JSON'!B245</f>
        <v>Excise Tax Revenue Officers</v>
      </c>
      <c r="C251" s="41" t="str">
        <f>'4JSON'!C245</f>
        <v>Employment insurance, immigration, border services and revenue officers</v>
      </c>
      <c r="D251" s="41">
        <f>ABS(D$5-(6-'4JSON'!D245))</f>
        <v>2</v>
      </c>
      <c r="E251" s="41">
        <f>ABS(E$5-(6-'4JSON'!E245))</f>
        <v>1</v>
      </c>
      <c r="F251" s="41">
        <f>ABS(F$5-(6-'4JSON'!F245))</f>
        <v>1</v>
      </c>
      <c r="G251" s="41">
        <f>ABS(G$5-(6-'4JSON'!G245))</f>
        <v>1</v>
      </c>
      <c r="H251" s="41">
        <f>ABS(H$5-(6-'4JSON'!H245))</f>
        <v>1</v>
      </c>
      <c r="I251" s="41">
        <f>ABS(I$5-(6-'4JSON'!I245))</f>
        <v>1</v>
      </c>
      <c r="J251" s="41">
        <f>ABS(J$5-(6-'4JSON'!J245))</f>
        <v>1</v>
      </c>
      <c r="K251" s="41">
        <f>ABS(K$5-(6-'4JSON'!K245))</f>
        <v>1</v>
      </c>
      <c r="L251" s="41">
        <f>ABS(L$5-(6-'4JSON'!L245))</f>
        <v>0</v>
      </c>
      <c r="M251" s="36">
        <f t="shared" si="1"/>
        <v>9</v>
      </c>
      <c r="N251" s="42">
        <f t="shared" si="2"/>
        <v>0.75</v>
      </c>
      <c r="S251" s="35">
        <f>IFERROR(__xludf.DUMMYFUNCTION("""COMPUTED_VALUE"""),2281.0)</f>
        <v>2281</v>
      </c>
    </row>
    <row r="252">
      <c r="A252" s="35">
        <f>'4JSON'!A246</f>
        <v>1222</v>
      </c>
      <c r="B252" s="25" t="str">
        <f>'4JSON'!B246</f>
        <v>Executive Assistants</v>
      </c>
      <c r="C252" s="41" t="str">
        <f>'4JSON'!C246</f>
        <v>Executive assistants</v>
      </c>
      <c r="D252" s="41">
        <f>ABS(D$5-(6-'4JSON'!D246))</f>
        <v>2</v>
      </c>
      <c r="E252" s="41">
        <f>ABS(E$5-(6-'4JSON'!E246))</f>
        <v>1</v>
      </c>
      <c r="F252" s="41">
        <f>ABS(F$5-(6-'4JSON'!F246))</f>
        <v>0</v>
      </c>
      <c r="G252" s="41">
        <f>ABS(G$5-(6-'4JSON'!G246))</f>
        <v>1</v>
      </c>
      <c r="H252" s="41">
        <f>ABS(H$5-(6-'4JSON'!H246))</f>
        <v>2</v>
      </c>
      <c r="I252" s="41">
        <f>ABS(I$5-(6-'4JSON'!I246))</f>
        <v>0</v>
      </c>
      <c r="J252" s="41">
        <f>ABS(J$5-(6-'4JSON'!J246))</f>
        <v>1</v>
      </c>
      <c r="K252" s="41">
        <f>ABS(K$5-(6-'4JSON'!K246))</f>
        <v>1</v>
      </c>
      <c r="L252" s="41">
        <f>ABS(L$5-(6-'4JSON'!L246))</f>
        <v>1</v>
      </c>
      <c r="M252" s="36">
        <f t="shared" si="1"/>
        <v>9</v>
      </c>
      <c r="N252" s="42">
        <f t="shared" si="2"/>
        <v>0.75</v>
      </c>
      <c r="S252" s="35">
        <f>IFERROR(__xludf.DUMMYFUNCTION("""COMPUTED_VALUE"""),6331.0)</f>
        <v>6331</v>
      </c>
    </row>
    <row r="253">
      <c r="A253" s="35">
        <f>'4JSON'!A247</f>
        <v>6321</v>
      </c>
      <c r="B253" s="25" t="str">
        <f>'4JSON'!B247</f>
        <v>Executive Chefs</v>
      </c>
      <c r="C253" s="41" t="str">
        <f>'4JSON'!C247</f>
        <v>Chefs</v>
      </c>
      <c r="D253" s="41">
        <f>ABS(D$5-(6-'4JSON'!D247))</f>
        <v>1</v>
      </c>
      <c r="E253" s="41">
        <f>ABS(E$5-(6-'4JSON'!E247))</f>
        <v>0</v>
      </c>
      <c r="F253" s="41">
        <f>ABS(F$5-(6-'4JSON'!F247))</f>
        <v>0</v>
      </c>
      <c r="G253" s="41">
        <f>ABS(G$5-(6-'4JSON'!G247))</f>
        <v>1</v>
      </c>
      <c r="H253" s="41">
        <f>ABS(H$5-(6-'4JSON'!H247))</f>
        <v>2</v>
      </c>
      <c r="I253" s="41">
        <f>ABS(I$5-(6-'4JSON'!I247))</f>
        <v>0</v>
      </c>
      <c r="J253" s="41">
        <f>ABS(J$5-(6-'4JSON'!J247))</f>
        <v>1</v>
      </c>
      <c r="K253" s="41">
        <f>ABS(K$5-(6-'4JSON'!K247))</f>
        <v>1</v>
      </c>
      <c r="L253" s="41">
        <f>ABS(L$5-(6-'4JSON'!L247))</f>
        <v>1</v>
      </c>
      <c r="M253" s="36">
        <f t="shared" si="1"/>
        <v>7</v>
      </c>
      <c r="N253" s="42">
        <f t="shared" si="2"/>
        <v>0.8055555556</v>
      </c>
      <c r="S253" s="35">
        <f>IFERROR(__xludf.DUMMYFUNCTION("""COMPUTED_VALUE"""),9414.0)</f>
        <v>9414</v>
      </c>
    </row>
    <row r="254">
      <c r="A254" s="35">
        <f>'4JSON'!A248</f>
        <v>6312</v>
      </c>
      <c r="B254" s="25" t="str">
        <f>'4JSON'!B248</f>
        <v>Executive Housekeepers</v>
      </c>
      <c r="C254" s="41" t="str">
        <f>'4JSON'!C248</f>
        <v>Executive housekeepers</v>
      </c>
      <c r="D254" s="41">
        <f>ABS(D$5-(6-'4JSON'!D248))</f>
        <v>1</v>
      </c>
      <c r="E254" s="41">
        <f>ABS(E$5-(6-'4JSON'!E248))</f>
        <v>0</v>
      </c>
      <c r="F254" s="41">
        <f>ABS(F$5-(6-'4JSON'!F248))</f>
        <v>0</v>
      </c>
      <c r="G254" s="41">
        <f>ABS(G$5-(6-'4JSON'!G248))</f>
        <v>1</v>
      </c>
      <c r="H254" s="41">
        <f>ABS(H$5-(6-'4JSON'!H248))</f>
        <v>2</v>
      </c>
      <c r="I254" s="41">
        <f>ABS(I$5-(6-'4JSON'!I248))</f>
        <v>0</v>
      </c>
      <c r="J254" s="41">
        <f>ABS(J$5-(6-'4JSON'!J248))</f>
        <v>1</v>
      </c>
      <c r="K254" s="41">
        <f>ABS(K$5-(6-'4JSON'!K248))</f>
        <v>1</v>
      </c>
      <c r="L254" s="41">
        <f>ABS(L$5-(6-'4JSON'!L248))</f>
        <v>1</v>
      </c>
      <c r="M254" s="36">
        <f t="shared" si="1"/>
        <v>7</v>
      </c>
      <c r="N254" s="42">
        <f t="shared" si="2"/>
        <v>0.8055555556</v>
      </c>
      <c r="S254" s="35">
        <f>IFERROR(__xludf.DUMMYFUNCTION("""COMPUTED_VALUE"""),2274.0)</f>
        <v>2274</v>
      </c>
    </row>
    <row r="255">
      <c r="A255" s="35">
        <f>'4JSON'!A249</f>
        <v>714</v>
      </c>
      <c r="B255" s="25" t="str">
        <f>'4JSON'!B249</f>
        <v>Facility Operation Managers</v>
      </c>
      <c r="C255" s="41" t="str">
        <f>'4JSON'!C249</f>
        <v>Facility operation and maintenance managers</v>
      </c>
      <c r="D255" s="41">
        <f>ABS(D$5-(6-'4JSON'!D249))</f>
        <v>2</v>
      </c>
      <c r="E255" s="41">
        <f>ABS(E$5-(6-'4JSON'!E249))</f>
        <v>1</v>
      </c>
      <c r="F255" s="41">
        <f>ABS(F$5-(6-'4JSON'!F249))</f>
        <v>0</v>
      </c>
      <c r="G255" s="41">
        <f>ABS(G$5-(6-'4JSON'!G249))</f>
        <v>1</v>
      </c>
      <c r="H255" s="41">
        <f>ABS(H$5-(6-'4JSON'!H249))</f>
        <v>2</v>
      </c>
      <c r="I255" s="41">
        <f>ABS(I$5-(6-'4JSON'!I249))</f>
        <v>0</v>
      </c>
      <c r="J255" s="41">
        <f>ABS(J$5-(6-'4JSON'!J249))</f>
        <v>1</v>
      </c>
      <c r="K255" s="41">
        <f>ABS(K$5-(6-'4JSON'!K249))</f>
        <v>1</v>
      </c>
      <c r="L255" s="41">
        <f>ABS(L$5-(6-'4JSON'!L249))</f>
        <v>1</v>
      </c>
      <c r="M255" s="36">
        <f t="shared" si="1"/>
        <v>9</v>
      </c>
      <c r="N255" s="42">
        <f t="shared" si="2"/>
        <v>0.75</v>
      </c>
      <c r="S255" s="35">
        <f>IFERROR(__xludf.DUMMYFUNCTION("""COMPUTED_VALUE"""),5222.0)</f>
        <v>5222</v>
      </c>
    </row>
    <row r="256">
      <c r="A256" s="35">
        <f>'4JSON'!A250</f>
        <v>7533</v>
      </c>
      <c r="B256" s="25" t="str">
        <f>'4JSON'!B250</f>
        <v>Ferry Terminal Workers</v>
      </c>
      <c r="C256" s="41" t="str">
        <f>'4JSON'!C250</f>
        <v>Boat and cable ferry operators and related occupations</v>
      </c>
      <c r="D256" s="41">
        <f>ABS(D$5-(6-'4JSON'!D250))</f>
        <v>0</v>
      </c>
      <c r="E256" s="41">
        <f>ABS(E$5-(6-'4JSON'!E250))</f>
        <v>1</v>
      </c>
      <c r="F256" s="41">
        <f>ABS(F$5-(6-'4JSON'!F250))</f>
        <v>1</v>
      </c>
      <c r="G256" s="41">
        <f>ABS(G$5-(6-'4JSON'!G250))</f>
        <v>1</v>
      </c>
      <c r="H256" s="41">
        <f>ABS(H$5-(6-'4JSON'!H250))</f>
        <v>2</v>
      </c>
      <c r="I256" s="41">
        <f>ABS(I$5-(6-'4JSON'!I250))</f>
        <v>1</v>
      </c>
      <c r="J256" s="41">
        <f>ABS(J$5-(6-'4JSON'!J250))</f>
        <v>1</v>
      </c>
      <c r="K256" s="41">
        <f>ABS(K$5-(6-'4JSON'!K250))</f>
        <v>1</v>
      </c>
      <c r="L256" s="41">
        <f>ABS(L$5-(6-'4JSON'!L250))</f>
        <v>1</v>
      </c>
      <c r="M256" s="36">
        <f t="shared" si="1"/>
        <v>9</v>
      </c>
      <c r="N256" s="42">
        <f t="shared" si="2"/>
        <v>0.75</v>
      </c>
      <c r="S256" s="35">
        <f>IFERROR(__xludf.DUMMYFUNCTION("""COMPUTED_VALUE"""),7253.0)</f>
        <v>7253</v>
      </c>
    </row>
    <row r="257">
      <c r="A257" s="35">
        <f>'4JSON'!A251</f>
        <v>1411</v>
      </c>
      <c r="B257" s="25" t="str">
        <f>'4JSON'!B251</f>
        <v>File Clerks</v>
      </c>
      <c r="C257" s="41" t="str">
        <f>'4JSON'!C251</f>
        <v>General office support workers</v>
      </c>
      <c r="D257" s="41">
        <f>ABS(D$5-(6-'4JSON'!D251))</f>
        <v>1</v>
      </c>
      <c r="E257" s="41">
        <f>ABS(E$5-(6-'4JSON'!E251))</f>
        <v>0</v>
      </c>
      <c r="F257" s="41">
        <f>ABS(F$5-(6-'4JSON'!F251))</f>
        <v>0</v>
      </c>
      <c r="G257" s="41">
        <f>ABS(G$5-(6-'4JSON'!G251))</f>
        <v>1</v>
      </c>
      <c r="H257" s="41">
        <f>ABS(H$5-(6-'4JSON'!H251))</f>
        <v>2</v>
      </c>
      <c r="I257" s="41">
        <f>ABS(I$5-(6-'4JSON'!I251))</f>
        <v>0</v>
      </c>
      <c r="J257" s="41">
        <f>ABS(J$5-(6-'4JSON'!J251))</f>
        <v>1</v>
      </c>
      <c r="K257" s="41">
        <f>ABS(K$5-(6-'4JSON'!K251))</f>
        <v>1</v>
      </c>
      <c r="L257" s="41">
        <f>ABS(L$5-(6-'4JSON'!L251))</f>
        <v>1</v>
      </c>
      <c r="M257" s="36">
        <f t="shared" si="1"/>
        <v>7</v>
      </c>
      <c r="N257" s="42">
        <f t="shared" si="2"/>
        <v>0.8055555556</v>
      </c>
      <c r="S257" s="35">
        <f>IFERROR(__xludf.DUMMYFUNCTION("""COMPUTED_VALUE"""),5223.0)</f>
        <v>5223</v>
      </c>
    </row>
    <row r="258">
      <c r="A258" s="35">
        <f>'4JSON'!A252</f>
        <v>9463</v>
      </c>
      <c r="B258" s="25" t="str">
        <f>'4JSON'!B252</f>
        <v>Fish Plant Machine Operators</v>
      </c>
      <c r="C258" s="41" t="str">
        <f>'4JSON'!C252</f>
        <v>Fish and seafood plant workers</v>
      </c>
      <c r="D258" s="41">
        <f>ABS(D$5-(6-'4JSON'!D252))</f>
        <v>0</v>
      </c>
      <c r="E258" s="41">
        <f>ABS(E$5-(6-'4JSON'!E252))</f>
        <v>1</v>
      </c>
      <c r="F258" s="41">
        <f>ABS(F$5-(6-'4JSON'!F252))</f>
        <v>2</v>
      </c>
      <c r="G258" s="41">
        <f>ABS(G$5-(6-'4JSON'!G252))</f>
        <v>1</v>
      </c>
      <c r="H258" s="41">
        <f>ABS(H$5-(6-'4JSON'!H252))</f>
        <v>1</v>
      </c>
      <c r="I258" s="41">
        <f>ABS(I$5-(6-'4JSON'!I252))</f>
        <v>2</v>
      </c>
      <c r="J258" s="41">
        <f>ABS(J$5-(6-'4JSON'!J252))</f>
        <v>1</v>
      </c>
      <c r="K258" s="41">
        <f>ABS(K$5-(6-'4JSON'!K252))</f>
        <v>1</v>
      </c>
      <c r="L258" s="41">
        <f>ABS(L$5-(6-'4JSON'!L252))</f>
        <v>0</v>
      </c>
      <c r="M258" s="36">
        <f t="shared" si="1"/>
        <v>9</v>
      </c>
      <c r="N258" s="42">
        <f t="shared" si="2"/>
        <v>0.75</v>
      </c>
      <c r="S258" s="35">
        <f>IFERROR(__xludf.DUMMYFUNCTION("""COMPUTED_VALUE"""),2243.0)</f>
        <v>2243</v>
      </c>
    </row>
    <row r="259">
      <c r="A259" s="35">
        <f>'4JSON'!A253</f>
        <v>6513</v>
      </c>
      <c r="B259" s="25" t="str">
        <f>'4JSON'!B253</f>
        <v>Food and Beverage Servers</v>
      </c>
      <c r="C259" s="41" t="str">
        <f>'4JSON'!C253</f>
        <v>Food and beverage servers</v>
      </c>
      <c r="D259" s="41">
        <f>ABS(D$5-(6-'4JSON'!D253))</f>
        <v>0</v>
      </c>
      <c r="E259" s="41">
        <f>ABS(E$5-(6-'4JSON'!E253))</f>
        <v>1</v>
      </c>
      <c r="F259" s="41">
        <f>ABS(F$5-(6-'4JSON'!F253))</f>
        <v>1</v>
      </c>
      <c r="G259" s="41">
        <f>ABS(G$5-(6-'4JSON'!G253))</f>
        <v>1</v>
      </c>
      <c r="H259" s="41">
        <f>ABS(H$5-(6-'4JSON'!H253))</f>
        <v>2</v>
      </c>
      <c r="I259" s="41">
        <f>ABS(I$5-(6-'4JSON'!I253))</f>
        <v>1</v>
      </c>
      <c r="J259" s="41">
        <f>ABS(J$5-(6-'4JSON'!J253))</f>
        <v>1</v>
      </c>
      <c r="K259" s="41">
        <f>ABS(K$5-(6-'4JSON'!K253))</f>
        <v>1</v>
      </c>
      <c r="L259" s="41">
        <f>ABS(L$5-(6-'4JSON'!L253))</f>
        <v>1</v>
      </c>
      <c r="M259" s="36">
        <f t="shared" si="1"/>
        <v>9</v>
      </c>
      <c r="N259" s="42">
        <f t="shared" si="2"/>
        <v>0.75</v>
      </c>
      <c r="S259" s="35">
        <f>IFERROR(__xludf.DUMMYFUNCTION("""COMPUTED_VALUE"""),5242.0)</f>
        <v>5242</v>
      </c>
    </row>
    <row r="260">
      <c r="A260" s="35">
        <f>'4JSON'!A254</f>
        <v>6711</v>
      </c>
      <c r="B260" s="25" t="str">
        <f>'4JSON'!B254</f>
        <v>Food Service Counter Attendants and Food Preparers</v>
      </c>
      <c r="C260" s="41" t="str">
        <f>'4JSON'!C254</f>
        <v>Food counter attendants, kitchen helpers and related support occupations</v>
      </c>
      <c r="D260" s="41">
        <f>ABS(D$5-(6-'4JSON'!D254))</f>
        <v>0</v>
      </c>
      <c r="E260" s="41">
        <f>ABS(E$5-(6-'4JSON'!E254))</f>
        <v>1</v>
      </c>
      <c r="F260" s="41">
        <f>ABS(F$5-(6-'4JSON'!F254))</f>
        <v>1</v>
      </c>
      <c r="G260" s="41">
        <f>ABS(G$5-(6-'4JSON'!G254))</f>
        <v>1</v>
      </c>
      <c r="H260" s="41">
        <f>ABS(H$5-(6-'4JSON'!H254))</f>
        <v>2</v>
      </c>
      <c r="I260" s="41">
        <f>ABS(I$5-(6-'4JSON'!I254))</f>
        <v>1</v>
      </c>
      <c r="J260" s="41">
        <f>ABS(J$5-(6-'4JSON'!J254))</f>
        <v>1</v>
      </c>
      <c r="K260" s="41">
        <f>ABS(K$5-(6-'4JSON'!K254))</f>
        <v>1</v>
      </c>
      <c r="L260" s="41">
        <f>ABS(L$5-(6-'4JSON'!L254))</f>
        <v>1</v>
      </c>
      <c r="M260" s="36">
        <f t="shared" si="1"/>
        <v>9</v>
      </c>
      <c r="N260" s="42">
        <f t="shared" si="2"/>
        <v>0.75</v>
      </c>
      <c r="S260" s="35">
        <f>IFERROR(__xludf.DUMMYFUNCTION("""COMPUTED_VALUE"""),7318.0)</f>
        <v>7318</v>
      </c>
    </row>
    <row r="261">
      <c r="A261" s="35">
        <f>'4JSON'!A255</f>
        <v>6311</v>
      </c>
      <c r="B261" s="25" t="str">
        <f>'4JSON'!B255</f>
        <v>Food Service Supervisors</v>
      </c>
      <c r="C261" s="41" t="str">
        <f>'4JSON'!C255</f>
        <v>Food service supervisors</v>
      </c>
      <c r="D261" s="41">
        <f>ABS(D$5-(6-'4JSON'!D255))</f>
        <v>1</v>
      </c>
      <c r="E261" s="41">
        <f>ABS(E$5-(6-'4JSON'!E255))</f>
        <v>0</v>
      </c>
      <c r="F261" s="41">
        <f>ABS(F$5-(6-'4JSON'!F255))</f>
        <v>0</v>
      </c>
      <c r="G261" s="41">
        <f>ABS(G$5-(6-'4JSON'!G255))</f>
        <v>1</v>
      </c>
      <c r="H261" s="41">
        <f>ABS(H$5-(6-'4JSON'!H255))</f>
        <v>2</v>
      </c>
      <c r="I261" s="41">
        <f>ABS(I$5-(6-'4JSON'!I255))</f>
        <v>0</v>
      </c>
      <c r="J261" s="41">
        <f>ABS(J$5-(6-'4JSON'!J255))</f>
        <v>1</v>
      </c>
      <c r="K261" s="41">
        <f>ABS(K$5-(6-'4JSON'!K255))</f>
        <v>1</v>
      </c>
      <c r="L261" s="41">
        <f>ABS(L$5-(6-'4JSON'!L255))</f>
        <v>1</v>
      </c>
      <c r="M261" s="36">
        <f t="shared" si="1"/>
        <v>7</v>
      </c>
      <c r="N261" s="42">
        <f t="shared" si="2"/>
        <v>0.8055555556</v>
      </c>
      <c r="S261" s="35">
        <f>IFERROR(__xludf.DUMMYFUNCTION("""COMPUTED_VALUE"""),2254.0)</f>
        <v>2254</v>
      </c>
    </row>
    <row r="262">
      <c r="A262" s="35">
        <f>'4JSON'!A256</f>
        <v>6732</v>
      </c>
      <c r="B262" s="25" t="str">
        <f>'4JSON'!B256</f>
        <v>Furnace and Ventilation System Cleaners</v>
      </c>
      <c r="C262" s="41" t="str">
        <f>'4JSON'!C256</f>
        <v>Specialized cleaners</v>
      </c>
      <c r="D262" s="41">
        <f>ABS(D$5-(6-'4JSON'!D256))</f>
        <v>0</v>
      </c>
      <c r="E262" s="41">
        <f>ABS(E$5-(6-'4JSON'!E256))</f>
        <v>1</v>
      </c>
      <c r="F262" s="41">
        <f>ABS(F$5-(6-'4JSON'!F256))</f>
        <v>2</v>
      </c>
      <c r="G262" s="41">
        <f>ABS(G$5-(6-'4JSON'!G256))</f>
        <v>1</v>
      </c>
      <c r="H262" s="41">
        <f>ABS(H$5-(6-'4JSON'!H256))</f>
        <v>2</v>
      </c>
      <c r="I262" s="41">
        <f>ABS(I$5-(6-'4JSON'!I256))</f>
        <v>2</v>
      </c>
      <c r="J262" s="41">
        <f>ABS(J$5-(6-'4JSON'!J256))</f>
        <v>0</v>
      </c>
      <c r="K262" s="41">
        <f>ABS(K$5-(6-'4JSON'!K256))</f>
        <v>1</v>
      </c>
      <c r="L262" s="41">
        <f>ABS(L$5-(6-'4JSON'!L256))</f>
        <v>0</v>
      </c>
      <c r="M262" s="36">
        <f t="shared" si="1"/>
        <v>9</v>
      </c>
      <c r="N262" s="42">
        <f t="shared" si="2"/>
        <v>0.75</v>
      </c>
      <c r="S262" s="35">
        <f>IFERROR(__xludf.DUMMYFUNCTION("""COMPUTED_VALUE"""),1251.0)</f>
        <v>1251</v>
      </c>
    </row>
    <row r="263">
      <c r="A263" s="35">
        <f>'4JSON'!A257</f>
        <v>6533</v>
      </c>
      <c r="B263" s="25" t="str">
        <f>'4JSON'!B257</f>
        <v>Gambling Casino Workers</v>
      </c>
      <c r="C263" s="41" t="str">
        <f>'4JSON'!C257</f>
        <v>Casino occupations</v>
      </c>
      <c r="D263" s="41">
        <f>ABS(D$5-(6-'4JSON'!D257))</f>
        <v>1</v>
      </c>
      <c r="E263" s="41">
        <f>ABS(E$5-(6-'4JSON'!E257))</f>
        <v>0</v>
      </c>
      <c r="F263" s="41">
        <f>ABS(F$5-(6-'4JSON'!F257))</f>
        <v>0</v>
      </c>
      <c r="G263" s="41">
        <f>ABS(G$5-(6-'4JSON'!G257))</f>
        <v>1</v>
      </c>
      <c r="H263" s="41">
        <f>ABS(H$5-(6-'4JSON'!H257))</f>
        <v>2</v>
      </c>
      <c r="I263" s="41">
        <f>ABS(I$5-(6-'4JSON'!I257))</f>
        <v>1</v>
      </c>
      <c r="J263" s="41">
        <f>ABS(J$5-(6-'4JSON'!J257))</f>
        <v>1</v>
      </c>
      <c r="K263" s="41">
        <f>ABS(K$5-(6-'4JSON'!K257))</f>
        <v>1</v>
      </c>
      <c r="L263" s="41">
        <f>ABS(L$5-(6-'4JSON'!L257))</f>
        <v>0</v>
      </c>
      <c r="M263" s="36">
        <f t="shared" si="1"/>
        <v>7</v>
      </c>
      <c r="N263" s="42">
        <f t="shared" si="2"/>
        <v>0.8055555556</v>
      </c>
      <c r="S263" s="35">
        <f>IFERROR(__xludf.DUMMYFUNCTION("""COMPUTED_VALUE"""),8252.0)</f>
        <v>8252</v>
      </c>
    </row>
    <row r="264">
      <c r="A264" s="35">
        <f>'4JSON'!A258</f>
        <v>4423</v>
      </c>
      <c r="B264" s="25" t="str">
        <f>'4JSON'!B258</f>
        <v>Garbage Collection Inspectors</v>
      </c>
      <c r="C264" s="41" t="str">
        <f>'4JSON'!C258</f>
        <v>By-law enforcement and other regulatory officers, n.e.c.</v>
      </c>
      <c r="D264" s="41">
        <f>ABS(D$5-(6-'4JSON'!D258))</f>
        <v>1</v>
      </c>
      <c r="E264" s="41">
        <f>ABS(E$5-(6-'4JSON'!E258))</f>
        <v>0</v>
      </c>
      <c r="F264" s="41">
        <f>ABS(F$5-(6-'4JSON'!F258))</f>
        <v>1</v>
      </c>
      <c r="G264" s="41">
        <f>ABS(G$5-(6-'4JSON'!G258))</f>
        <v>1</v>
      </c>
      <c r="H264" s="41">
        <f>ABS(H$5-(6-'4JSON'!H258))</f>
        <v>2</v>
      </c>
      <c r="I264" s="41">
        <f>ABS(I$5-(6-'4JSON'!I258))</f>
        <v>1</v>
      </c>
      <c r="J264" s="41">
        <f>ABS(J$5-(6-'4JSON'!J258))</f>
        <v>1</v>
      </c>
      <c r="K264" s="41">
        <f>ABS(K$5-(6-'4JSON'!K258))</f>
        <v>1</v>
      </c>
      <c r="L264" s="41">
        <f>ABS(L$5-(6-'4JSON'!L258))</f>
        <v>1</v>
      </c>
      <c r="M264" s="36">
        <f t="shared" si="1"/>
        <v>9</v>
      </c>
      <c r="N264" s="42">
        <f t="shared" si="2"/>
        <v>0.75</v>
      </c>
      <c r="S264" s="35">
        <f>IFERROR(__xludf.DUMMYFUNCTION("""COMPUTED_VALUE"""),3124.0)</f>
        <v>3124</v>
      </c>
    </row>
    <row r="265">
      <c r="A265" s="35">
        <f>'4JSON'!A259</f>
        <v>2144</v>
      </c>
      <c r="B265" s="25" t="str">
        <f>'4JSON'!B259</f>
        <v>Geological Engineers</v>
      </c>
      <c r="C265" s="41" t="str">
        <f>'4JSON'!C259</f>
        <v>Geological engineers</v>
      </c>
      <c r="D265" s="41">
        <f>ABS(D$5-(6-'4JSON'!D259))</f>
        <v>3</v>
      </c>
      <c r="E265" s="41">
        <f>ABS(E$5-(6-'4JSON'!E259))</f>
        <v>1</v>
      </c>
      <c r="F265" s="41">
        <f>ABS(F$5-(6-'4JSON'!F259))</f>
        <v>2</v>
      </c>
      <c r="G265" s="41">
        <f>ABS(G$5-(6-'4JSON'!G259))</f>
        <v>1</v>
      </c>
      <c r="H265" s="41">
        <f>ABS(H$5-(6-'4JSON'!H259))</f>
        <v>1</v>
      </c>
      <c r="I265" s="41">
        <f>ABS(I$5-(6-'4JSON'!I259))</f>
        <v>0</v>
      </c>
      <c r="J265" s="41">
        <f>ABS(J$5-(6-'4JSON'!J259))</f>
        <v>1</v>
      </c>
      <c r="K265" s="41">
        <f>ABS(K$5-(6-'4JSON'!K259))</f>
        <v>1</v>
      </c>
      <c r="L265" s="41">
        <f>ABS(L$5-(6-'4JSON'!L259))</f>
        <v>1</v>
      </c>
      <c r="M265" s="36">
        <f t="shared" si="1"/>
        <v>11</v>
      </c>
      <c r="N265" s="42">
        <f t="shared" si="2"/>
        <v>0.6944444444</v>
      </c>
      <c r="S265" s="35">
        <f>IFERROR(__xludf.DUMMYFUNCTION("""COMPUTED_VALUE"""),4313.0)</f>
        <v>4313</v>
      </c>
    </row>
    <row r="266">
      <c r="A266" s="35">
        <f>'4JSON'!A260</f>
        <v>2113</v>
      </c>
      <c r="B266" s="25" t="str">
        <f>'4JSON'!B260</f>
        <v>Geologists, Geochemists and Geophysicists</v>
      </c>
      <c r="C266" s="41" t="str">
        <f>'4JSON'!C260</f>
        <v>Geoscientists and oceanographers</v>
      </c>
      <c r="D266" s="41">
        <f>ABS(D$5-(6-'4JSON'!D260))</f>
        <v>3</v>
      </c>
      <c r="E266" s="41">
        <f>ABS(E$5-(6-'4JSON'!E260))</f>
        <v>2</v>
      </c>
      <c r="F266" s="41">
        <f>ABS(F$5-(6-'4JSON'!F260))</f>
        <v>2</v>
      </c>
      <c r="G266" s="41">
        <f>ABS(G$5-(6-'4JSON'!G260))</f>
        <v>1</v>
      </c>
      <c r="H266" s="41">
        <f>ABS(H$5-(6-'4JSON'!H260))</f>
        <v>0</v>
      </c>
      <c r="I266" s="41">
        <f>ABS(I$5-(6-'4JSON'!I260))</f>
        <v>0</v>
      </c>
      <c r="J266" s="41">
        <f>ABS(J$5-(6-'4JSON'!J260))</f>
        <v>0</v>
      </c>
      <c r="K266" s="41">
        <f>ABS(K$5-(6-'4JSON'!K260))</f>
        <v>1</v>
      </c>
      <c r="L266" s="41">
        <f>ABS(L$5-(6-'4JSON'!L260))</f>
        <v>0</v>
      </c>
      <c r="M266" s="36">
        <f t="shared" si="1"/>
        <v>9</v>
      </c>
      <c r="N266" s="42">
        <f t="shared" si="2"/>
        <v>0.75</v>
      </c>
      <c r="S266" s="35">
        <f>IFERROR(__xludf.DUMMYFUNCTION("""COMPUTED_VALUE"""),5245.0)</f>
        <v>5245</v>
      </c>
    </row>
    <row r="267">
      <c r="A267" s="35">
        <f>'4JSON'!A261</f>
        <v>6221</v>
      </c>
      <c r="B267" s="25" t="str">
        <f>'4JSON'!B261</f>
        <v>Grain Elevator Operators</v>
      </c>
      <c r="C267" s="41" t="str">
        <f>'4JSON'!C261</f>
        <v>Technical sales specialists - wholesale trade</v>
      </c>
      <c r="D267" s="41">
        <f>ABS(D$5-(6-'4JSON'!D261))</f>
        <v>1</v>
      </c>
      <c r="E267" s="41">
        <f>ABS(E$5-(6-'4JSON'!E261))</f>
        <v>0</v>
      </c>
      <c r="F267" s="41">
        <f>ABS(F$5-(6-'4JSON'!F261))</f>
        <v>0</v>
      </c>
      <c r="G267" s="41">
        <f>ABS(G$5-(6-'4JSON'!G261))</f>
        <v>1</v>
      </c>
      <c r="H267" s="41">
        <f>ABS(H$5-(6-'4JSON'!H261))</f>
        <v>2</v>
      </c>
      <c r="I267" s="41">
        <f>ABS(I$5-(6-'4JSON'!I261))</f>
        <v>0</v>
      </c>
      <c r="J267" s="41">
        <f>ABS(J$5-(6-'4JSON'!J261))</f>
        <v>1</v>
      </c>
      <c r="K267" s="41">
        <f>ABS(K$5-(6-'4JSON'!K261))</f>
        <v>1</v>
      </c>
      <c r="L267" s="41">
        <f>ABS(L$5-(6-'4JSON'!L261))</f>
        <v>1</v>
      </c>
      <c r="M267" s="36">
        <f t="shared" si="1"/>
        <v>7</v>
      </c>
      <c r="N267" s="42">
        <f t="shared" si="2"/>
        <v>0.8055555556</v>
      </c>
      <c r="S267" s="35">
        <f>IFERROR(__xludf.DUMMYFUNCTION("""COMPUTED_VALUE"""),7236.0)</f>
        <v>7236</v>
      </c>
    </row>
    <row r="268">
      <c r="A268" s="35">
        <f>'4JSON'!A262</f>
        <v>4165</v>
      </c>
      <c r="B268" s="25" t="str">
        <f>'4JSON'!B262</f>
        <v>Health Policy Researchers, Consultants and Program Officers</v>
      </c>
      <c r="C268" s="41" t="str">
        <f>'4JSON'!C262</f>
        <v>Health policy researchers, consultants and program officers</v>
      </c>
      <c r="D268" s="41">
        <f>ABS(D$5-(6-'4JSON'!D262))</f>
        <v>2</v>
      </c>
      <c r="E268" s="41">
        <f>ABS(E$5-(6-'4JSON'!E262))</f>
        <v>1</v>
      </c>
      <c r="F268" s="41">
        <f>ABS(F$5-(6-'4JSON'!F262))</f>
        <v>1</v>
      </c>
      <c r="G268" s="41">
        <f>ABS(G$5-(6-'4JSON'!G262))</f>
        <v>0</v>
      </c>
      <c r="H268" s="41">
        <f>ABS(H$5-(6-'4JSON'!H262))</f>
        <v>1</v>
      </c>
      <c r="I268" s="41">
        <f>ABS(I$5-(6-'4JSON'!I262))</f>
        <v>1</v>
      </c>
      <c r="J268" s="41">
        <f>ABS(J$5-(6-'4JSON'!J262))</f>
        <v>1</v>
      </c>
      <c r="K268" s="41">
        <f>ABS(K$5-(6-'4JSON'!K262))</f>
        <v>1</v>
      </c>
      <c r="L268" s="41">
        <f>ABS(L$5-(6-'4JSON'!L262))</f>
        <v>1</v>
      </c>
      <c r="M268" s="36">
        <f t="shared" si="1"/>
        <v>9</v>
      </c>
      <c r="N268" s="42">
        <f t="shared" si="2"/>
        <v>0.75</v>
      </c>
      <c r="S268" s="35">
        <f>IFERROR(__xludf.DUMMYFUNCTION("""COMPUTED_VALUE"""),5254.0)</f>
        <v>5254</v>
      </c>
    </row>
    <row r="269">
      <c r="A269" s="35">
        <f>'4JSON'!A263</f>
        <v>6525</v>
      </c>
      <c r="B269" s="25" t="str">
        <f>'4JSON'!B263</f>
        <v>Hotel Front Desk Clerks</v>
      </c>
      <c r="C269" s="41" t="str">
        <f>'4JSON'!C263</f>
        <v>Hotel front desk clerks</v>
      </c>
      <c r="D269" s="41">
        <f>ABS(D$5-(6-'4JSON'!D263))</f>
        <v>1</v>
      </c>
      <c r="E269" s="41">
        <f>ABS(E$5-(6-'4JSON'!E263))</f>
        <v>0</v>
      </c>
      <c r="F269" s="41">
        <f>ABS(F$5-(6-'4JSON'!F263))</f>
        <v>0</v>
      </c>
      <c r="G269" s="41">
        <f>ABS(G$5-(6-'4JSON'!G263))</f>
        <v>1</v>
      </c>
      <c r="H269" s="41">
        <f>ABS(H$5-(6-'4JSON'!H263))</f>
        <v>2</v>
      </c>
      <c r="I269" s="41">
        <f>ABS(I$5-(6-'4JSON'!I263))</f>
        <v>0</v>
      </c>
      <c r="J269" s="41">
        <f>ABS(J$5-(6-'4JSON'!J263))</f>
        <v>1</v>
      </c>
      <c r="K269" s="41">
        <f>ABS(K$5-(6-'4JSON'!K263))</f>
        <v>1</v>
      </c>
      <c r="L269" s="41">
        <f>ABS(L$5-(6-'4JSON'!L263))</f>
        <v>1</v>
      </c>
      <c r="M269" s="36">
        <f t="shared" si="1"/>
        <v>7</v>
      </c>
      <c r="N269" s="42">
        <f t="shared" si="2"/>
        <v>0.8055555556</v>
      </c>
      <c r="S269" s="35">
        <f>IFERROR(__xludf.DUMMYFUNCTION("""COMPUTED_VALUE"""),9416.0)</f>
        <v>9416</v>
      </c>
    </row>
    <row r="270">
      <c r="A270" s="35">
        <f>'4JSON'!A264</f>
        <v>4164</v>
      </c>
      <c r="B270" s="25" t="str">
        <f>'4JSON'!B264</f>
        <v>Housing Policy Analysts</v>
      </c>
      <c r="C270" s="41" t="str">
        <f>'4JSON'!C264</f>
        <v>Social policy researchers, consultants and program officers</v>
      </c>
      <c r="D270" s="41">
        <f>ABS(D$5-(6-'4JSON'!D264))</f>
        <v>2</v>
      </c>
      <c r="E270" s="41">
        <f>ABS(E$5-(6-'4JSON'!E264))</f>
        <v>1</v>
      </c>
      <c r="F270" s="41">
        <f>ABS(F$5-(6-'4JSON'!F264))</f>
        <v>0</v>
      </c>
      <c r="G270" s="41">
        <f>ABS(G$5-(6-'4JSON'!G264))</f>
        <v>1</v>
      </c>
      <c r="H270" s="41">
        <f>ABS(H$5-(6-'4JSON'!H264))</f>
        <v>2</v>
      </c>
      <c r="I270" s="41">
        <f>ABS(I$5-(6-'4JSON'!I264))</f>
        <v>0</v>
      </c>
      <c r="J270" s="41">
        <f>ABS(J$5-(6-'4JSON'!J264))</f>
        <v>1</v>
      </c>
      <c r="K270" s="41">
        <f>ABS(K$5-(6-'4JSON'!K264))</f>
        <v>1</v>
      </c>
      <c r="L270" s="41">
        <f>ABS(L$5-(6-'4JSON'!L264))</f>
        <v>1</v>
      </c>
      <c r="M270" s="36">
        <f t="shared" si="1"/>
        <v>9</v>
      </c>
      <c r="N270" s="42">
        <f t="shared" si="2"/>
        <v>0.75</v>
      </c>
      <c r="S270" s="35">
        <f>IFERROR(__xludf.DUMMYFUNCTION("""COMPUTED_VALUE"""),7251.0)</f>
        <v>7251</v>
      </c>
    </row>
    <row r="271">
      <c r="A271" s="35">
        <f>'4JSON'!A265</f>
        <v>8442</v>
      </c>
      <c r="B271" s="25" t="str">
        <f>'4JSON'!B265</f>
        <v>Hunters</v>
      </c>
      <c r="C271" s="41" t="str">
        <f>'4JSON'!C265</f>
        <v>Trappers and hunters</v>
      </c>
      <c r="D271" s="41">
        <f>ABS(D$5-(6-'4JSON'!D265))</f>
        <v>0</v>
      </c>
      <c r="E271" s="41">
        <f>ABS(E$5-(6-'4JSON'!E265))</f>
        <v>1</v>
      </c>
      <c r="F271" s="41">
        <f>ABS(F$5-(6-'4JSON'!F265))</f>
        <v>2</v>
      </c>
      <c r="G271" s="41">
        <f>ABS(G$5-(6-'4JSON'!G265))</f>
        <v>1</v>
      </c>
      <c r="H271" s="41">
        <f>ABS(H$5-(6-'4JSON'!H265))</f>
        <v>2</v>
      </c>
      <c r="I271" s="41">
        <f>ABS(I$5-(6-'4JSON'!I265))</f>
        <v>2</v>
      </c>
      <c r="J271" s="41">
        <f>ABS(J$5-(6-'4JSON'!J265))</f>
        <v>0</v>
      </c>
      <c r="K271" s="41">
        <f>ABS(K$5-(6-'4JSON'!K265))</f>
        <v>1</v>
      </c>
      <c r="L271" s="41">
        <f>ABS(L$5-(6-'4JSON'!L265))</f>
        <v>0</v>
      </c>
      <c r="M271" s="36">
        <f t="shared" si="1"/>
        <v>9</v>
      </c>
      <c r="N271" s="42">
        <f t="shared" si="2"/>
        <v>0.75</v>
      </c>
      <c r="S271" s="35">
        <f>IFERROR(__xludf.DUMMYFUNCTION("""COMPUTED_VALUE"""),7441.0)</f>
        <v>7441</v>
      </c>
    </row>
    <row r="272">
      <c r="A272" s="35">
        <f>'4JSON'!A266</f>
        <v>6552</v>
      </c>
      <c r="B272" s="25" t="str">
        <f>'4JSON'!B266</f>
        <v>Information Clerks</v>
      </c>
      <c r="C272" s="41" t="str">
        <f>'4JSON'!C266</f>
        <v>Other customer and information services representatives</v>
      </c>
      <c r="D272" s="41">
        <f>ABS(D$5-(6-'4JSON'!D266))</f>
        <v>1</v>
      </c>
      <c r="E272" s="41">
        <f>ABS(E$5-(6-'4JSON'!E266))</f>
        <v>0</v>
      </c>
      <c r="F272" s="41">
        <f>ABS(F$5-(6-'4JSON'!F266))</f>
        <v>0</v>
      </c>
      <c r="G272" s="41">
        <f>ABS(G$5-(6-'4JSON'!G266))</f>
        <v>1</v>
      </c>
      <c r="H272" s="41">
        <f>ABS(H$5-(6-'4JSON'!H266))</f>
        <v>2</v>
      </c>
      <c r="I272" s="41">
        <f>ABS(I$5-(6-'4JSON'!I266))</f>
        <v>0</v>
      </c>
      <c r="J272" s="41">
        <f>ABS(J$5-(6-'4JSON'!J266))</f>
        <v>1</v>
      </c>
      <c r="K272" s="41">
        <f>ABS(K$5-(6-'4JSON'!K266))</f>
        <v>1</v>
      </c>
      <c r="L272" s="41">
        <f>ABS(L$5-(6-'4JSON'!L266))</f>
        <v>1</v>
      </c>
      <c r="M272" s="36">
        <f t="shared" si="1"/>
        <v>7</v>
      </c>
      <c r="N272" s="42">
        <f t="shared" si="2"/>
        <v>0.8055555556</v>
      </c>
      <c r="S272" s="35">
        <f>IFERROR(__xludf.DUMMYFUNCTION("""COMPUTED_VALUE"""),7246.0)</f>
        <v>7246</v>
      </c>
    </row>
    <row r="273">
      <c r="A273" s="35">
        <f>'4JSON'!A267</f>
        <v>2171</v>
      </c>
      <c r="B273" s="25" t="str">
        <f>'4JSON'!B267</f>
        <v>Information Systems Business Analysts and Consultants</v>
      </c>
      <c r="C273" s="41" t="str">
        <f>'4JSON'!C267</f>
        <v>Information systems analysts and consultants</v>
      </c>
      <c r="D273" s="41">
        <f>ABS(D$5-(6-'4JSON'!D267))</f>
        <v>3</v>
      </c>
      <c r="E273" s="41">
        <f>ABS(E$5-(6-'4JSON'!E267))</f>
        <v>1</v>
      </c>
      <c r="F273" s="41">
        <f>ABS(F$5-(6-'4JSON'!F267))</f>
        <v>1</v>
      </c>
      <c r="G273" s="41">
        <f>ABS(G$5-(6-'4JSON'!G267))</f>
        <v>1</v>
      </c>
      <c r="H273" s="41">
        <f>ABS(H$5-(6-'4JSON'!H267))</f>
        <v>0</v>
      </c>
      <c r="I273" s="41">
        <f>ABS(I$5-(6-'4JSON'!I267))</f>
        <v>0</v>
      </c>
      <c r="J273" s="41">
        <f>ABS(J$5-(6-'4JSON'!J267))</f>
        <v>1</v>
      </c>
      <c r="K273" s="41">
        <f>ABS(K$5-(6-'4JSON'!K267))</f>
        <v>1</v>
      </c>
      <c r="L273" s="41">
        <f>ABS(L$5-(6-'4JSON'!L267))</f>
        <v>1</v>
      </c>
      <c r="M273" s="36">
        <f t="shared" si="1"/>
        <v>9</v>
      </c>
      <c r="N273" s="42">
        <f t="shared" si="2"/>
        <v>0.75</v>
      </c>
      <c r="S273" s="35">
        <f>IFERROR(__xludf.DUMMYFUNCTION("""COMPUTED_VALUE"""),6345.0)</f>
        <v>6345</v>
      </c>
    </row>
    <row r="274">
      <c r="A274" s="35">
        <f>'4JSON'!A268</f>
        <v>1312</v>
      </c>
      <c r="B274" s="25" t="str">
        <f>'4JSON'!B268</f>
        <v>Insurance Adjusters</v>
      </c>
      <c r="C274" s="41" t="str">
        <f>'4JSON'!C268</f>
        <v>Insurance adjusters and claims examiners</v>
      </c>
      <c r="D274" s="41">
        <f>ABS(D$5-(6-'4JSON'!D268))</f>
        <v>1</v>
      </c>
      <c r="E274" s="41">
        <f>ABS(E$5-(6-'4JSON'!E268))</f>
        <v>0</v>
      </c>
      <c r="F274" s="41">
        <f>ABS(F$5-(6-'4JSON'!F268))</f>
        <v>0</v>
      </c>
      <c r="G274" s="41">
        <f>ABS(G$5-(6-'4JSON'!G268))</f>
        <v>1</v>
      </c>
      <c r="H274" s="41">
        <f>ABS(H$5-(6-'4JSON'!H268))</f>
        <v>2</v>
      </c>
      <c r="I274" s="41">
        <f>ABS(I$5-(6-'4JSON'!I268))</f>
        <v>0</v>
      </c>
      <c r="J274" s="41">
        <f>ABS(J$5-(6-'4JSON'!J268))</f>
        <v>1</v>
      </c>
      <c r="K274" s="41">
        <f>ABS(K$5-(6-'4JSON'!K268))</f>
        <v>1</v>
      </c>
      <c r="L274" s="41">
        <f>ABS(L$5-(6-'4JSON'!L268))</f>
        <v>1</v>
      </c>
      <c r="M274" s="36">
        <f t="shared" si="1"/>
        <v>7</v>
      </c>
      <c r="N274" s="42">
        <f t="shared" si="2"/>
        <v>0.8055555556</v>
      </c>
      <c r="S274" s="35">
        <f>IFERROR(__xludf.DUMMYFUNCTION("""COMPUTED_VALUE"""),3213.0)</f>
        <v>3213</v>
      </c>
    </row>
    <row r="275">
      <c r="A275" s="35">
        <f>'4JSON'!A269</f>
        <v>6231</v>
      </c>
      <c r="B275" s="25" t="str">
        <f>'4JSON'!B269</f>
        <v>Insurance Agents and Brokers</v>
      </c>
      <c r="C275" s="41" t="str">
        <f>'4JSON'!C269</f>
        <v>Insurance agents and brokers</v>
      </c>
      <c r="D275" s="41">
        <f>ABS(D$5-(6-'4JSON'!D269))</f>
        <v>1</v>
      </c>
      <c r="E275" s="41">
        <f>ABS(E$5-(6-'4JSON'!E269))</f>
        <v>0</v>
      </c>
      <c r="F275" s="41">
        <f>ABS(F$5-(6-'4JSON'!F269))</f>
        <v>0</v>
      </c>
      <c r="G275" s="41">
        <f>ABS(G$5-(6-'4JSON'!G269))</f>
        <v>1</v>
      </c>
      <c r="H275" s="41">
        <f>ABS(H$5-(6-'4JSON'!H269))</f>
        <v>2</v>
      </c>
      <c r="I275" s="41">
        <f>ABS(I$5-(6-'4JSON'!I269))</f>
        <v>0</v>
      </c>
      <c r="J275" s="41">
        <f>ABS(J$5-(6-'4JSON'!J269))</f>
        <v>1</v>
      </c>
      <c r="K275" s="41">
        <f>ABS(K$5-(6-'4JSON'!K269))</f>
        <v>1</v>
      </c>
      <c r="L275" s="41">
        <f>ABS(L$5-(6-'4JSON'!L269))</f>
        <v>1</v>
      </c>
      <c r="M275" s="36">
        <f t="shared" si="1"/>
        <v>7</v>
      </c>
      <c r="N275" s="42">
        <f t="shared" si="2"/>
        <v>0.8055555556</v>
      </c>
      <c r="S275" s="35">
        <f>IFERROR(__xludf.DUMMYFUNCTION("""COMPUTED_VALUE"""),7235.0)</f>
        <v>7235</v>
      </c>
    </row>
    <row r="276">
      <c r="A276" s="35">
        <f>'4JSON'!A270</f>
        <v>1312</v>
      </c>
      <c r="B276" s="25" t="str">
        <f>'4JSON'!B270</f>
        <v>Insurance Claims Examiners</v>
      </c>
      <c r="C276" s="41" t="str">
        <f>'4JSON'!C270</f>
        <v>Insurance adjusters and claims examiners</v>
      </c>
      <c r="D276" s="41">
        <f>ABS(D$5-(6-'4JSON'!D270))</f>
        <v>1</v>
      </c>
      <c r="E276" s="41">
        <f>ABS(E$5-(6-'4JSON'!E270))</f>
        <v>0</v>
      </c>
      <c r="F276" s="41">
        <f>ABS(F$5-(6-'4JSON'!F270))</f>
        <v>0</v>
      </c>
      <c r="G276" s="41">
        <f>ABS(G$5-(6-'4JSON'!G270))</f>
        <v>1</v>
      </c>
      <c r="H276" s="41">
        <f>ABS(H$5-(6-'4JSON'!H270))</f>
        <v>2</v>
      </c>
      <c r="I276" s="41">
        <f>ABS(I$5-(6-'4JSON'!I270))</f>
        <v>0</v>
      </c>
      <c r="J276" s="41">
        <f>ABS(J$5-(6-'4JSON'!J270))</f>
        <v>1</v>
      </c>
      <c r="K276" s="41">
        <f>ABS(K$5-(6-'4JSON'!K270))</f>
        <v>1</v>
      </c>
      <c r="L276" s="41">
        <f>ABS(L$5-(6-'4JSON'!L270))</f>
        <v>1</v>
      </c>
      <c r="M276" s="36">
        <f t="shared" si="1"/>
        <v>7</v>
      </c>
      <c r="N276" s="42">
        <f t="shared" si="2"/>
        <v>0.8055555556</v>
      </c>
      <c r="S276" s="35">
        <f>IFERROR(__xludf.DUMMYFUNCTION("""COMPUTED_VALUE"""),2251.0)</f>
        <v>2251</v>
      </c>
    </row>
    <row r="277">
      <c r="A277" s="35">
        <f>'4JSON'!A271</f>
        <v>4164</v>
      </c>
      <c r="B277" s="25" t="str">
        <f>'4JSON'!B271</f>
        <v>International Aid and Development Project Officers</v>
      </c>
      <c r="C277" s="41" t="str">
        <f>'4JSON'!C271</f>
        <v>Social policy researchers, consultants and program officers</v>
      </c>
      <c r="D277" s="41">
        <f>ABS(D$5-(6-'4JSON'!D271))</f>
        <v>2</v>
      </c>
      <c r="E277" s="41">
        <f>ABS(E$5-(6-'4JSON'!E271))</f>
        <v>1</v>
      </c>
      <c r="F277" s="41">
        <f>ABS(F$5-(6-'4JSON'!F271))</f>
        <v>0</v>
      </c>
      <c r="G277" s="41">
        <f>ABS(G$5-(6-'4JSON'!G271))</f>
        <v>1</v>
      </c>
      <c r="H277" s="41">
        <f>ABS(H$5-(6-'4JSON'!H271))</f>
        <v>2</v>
      </c>
      <c r="I277" s="41">
        <f>ABS(I$5-(6-'4JSON'!I271))</f>
        <v>0</v>
      </c>
      <c r="J277" s="41">
        <f>ABS(J$5-(6-'4JSON'!J271))</f>
        <v>1</v>
      </c>
      <c r="K277" s="41">
        <f>ABS(K$5-(6-'4JSON'!K271))</f>
        <v>1</v>
      </c>
      <c r="L277" s="41">
        <f>ABS(L$5-(6-'4JSON'!L271))</f>
        <v>1</v>
      </c>
      <c r="M277" s="36">
        <f t="shared" si="1"/>
        <v>9</v>
      </c>
      <c r="N277" s="42">
        <f t="shared" si="2"/>
        <v>0.75</v>
      </c>
      <c r="S277" s="35">
        <f>IFERROR(__xludf.DUMMYFUNCTION("""COMPUTED_VALUE"""),5131.0)</f>
        <v>5131</v>
      </c>
    </row>
    <row r="278">
      <c r="A278" s="35">
        <f>'4JSON'!A272</f>
        <v>5125</v>
      </c>
      <c r="B278" s="25" t="str">
        <f>'4JSON'!B272</f>
        <v>Interpreters</v>
      </c>
      <c r="C278" s="41" t="str">
        <f>'4JSON'!C272</f>
        <v>Translators, terminologists and interpreters</v>
      </c>
      <c r="D278" s="41">
        <f>ABS(D$5-(6-'4JSON'!D272))</f>
        <v>2</v>
      </c>
      <c r="E278" s="41">
        <f>ABS(E$5-(6-'4JSON'!E272))</f>
        <v>2</v>
      </c>
      <c r="F278" s="41">
        <f>ABS(F$5-(6-'4JSON'!F272))</f>
        <v>1</v>
      </c>
      <c r="G278" s="41">
        <f>ABS(G$5-(6-'4JSON'!G272))</f>
        <v>1</v>
      </c>
      <c r="H278" s="41">
        <f>ABS(H$5-(6-'4JSON'!H272))</f>
        <v>2</v>
      </c>
      <c r="I278" s="41">
        <f>ABS(I$5-(6-'4JSON'!I272))</f>
        <v>0</v>
      </c>
      <c r="J278" s="41">
        <f>ABS(J$5-(6-'4JSON'!J272))</f>
        <v>1</v>
      </c>
      <c r="K278" s="41">
        <f>ABS(K$5-(6-'4JSON'!K272))</f>
        <v>1</v>
      </c>
      <c r="L278" s="41">
        <f>ABS(L$5-(6-'4JSON'!L272))</f>
        <v>1</v>
      </c>
      <c r="M278" s="36">
        <f t="shared" si="1"/>
        <v>11</v>
      </c>
      <c r="N278" s="42">
        <f t="shared" si="2"/>
        <v>0.6944444444</v>
      </c>
      <c r="S278" s="35">
        <f>IFERROR(__xludf.DUMMYFUNCTION("""COMPUTED_VALUE"""),6722.0)</f>
        <v>6722</v>
      </c>
    </row>
    <row r="279">
      <c r="A279" s="35">
        <f>'4JSON'!A273</f>
        <v>1524</v>
      </c>
      <c r="B279" s="25" t="str">
        <f>'4JSON'!B273</f>
        <v>Inventory Clerks</v>
      </c>
      <c r="C279" s="41" t="str">
        <f>'4JSON'!C273</f>
        <v>Purchasing and inventory control workers</v>
      </c>
      <c r="D279" s="41">
        <f>ABS(D$5-(6-'4JSON'!D273))</f>
        <v>1</v>
      </c>
      <c r="E279" s="41">
        <f>ABS(E$5-(6-'4JSON'!E273))</f>
        <v>0</v>
      </c>
      <c r="F279" s="41">
        <f>ABS(F$5-(6-'4JSON'!F273))</f>
        <v>0</v>
      </c>
      <c r="G279" s="41">
        <f>ABS(G$5-(6-'4JSON'!G273))</f>
        <v>1</v>
      </c>
      <c r="H279" s="41">
        <f>ABS(H$5-(6-'4JSON'!H273))</f>
        <v>2</v>
      </c>
      <c r="I279" s="41">
        <f>ABS(I$5-(6-'4JSON'!I273))</f>
        <v>0</v>
      </c>
      <c r="J279" s="41">
        <f>ABS(J$5-(6-'4JSON'!J273))</f>
        <v>1</v>
      </c>
      <c r="K279" s="41">
        <f>ABS(K$5-(6-'4JSON'!K273))</f>
        <v>1</v>
      </c>
      <c r="L279" s="41">
        <f>ABS(L$5-(6-'4JSON'!L273))</f>
        <v>1</v>
      </c>
      <c r="M279" s="36">
        <f t="shared" si="1"/>
        <v>7</v>
      </c>
      <c r="N279" s="42">
        <f t="shared" si="2"/>
        <v>0.8055555556</v>
      </c>
      <c r="S279" s="35">
        <f>IFERROR(__xludf.DUMMYFUNCTION("""COMPUTED_VALUE"""),7281.0)</f>
        <v>7281</v>
      </c>
    </row>
    <row r="280">
      <c r="A280" s="35">
        <f>'4JSON'!A274</f>
        <v>6741</v>
      </c>
      <c r="B280" s="25" t="str">
        <f>'4JSON'!B274</f>
        <v>Ironing, Pressing and Finishing Occupations</v>
      </c>
      <c r="C280" s="41" t="str">
        <f>'4JSON'!C274</f>
        <v>Dry cleaning, laundry and related occupations</v>
      </c>
      <c r="D280" s="41">
        <f>ABS(D$5-(6-'4JSON'!D274))</f>
        <v>0</v>
      </c>
      <c r="E280" s="41">
        <f>ABS(E$5-(6-'4JSON'!E274))</f>
        <v>1</v>
      </c>
      <c r="F280" s="41">
        <f>ABS(F$5-(6-'4JSON'!F274))</f>
        <v>2</v>
      </c>
      <c r="G280" s="41">
        <f>ABS(G$5-(6-'4JSON'!G274))</f>
        <v>1</v>
      </c>
      <c r="H280" s="41">
        <f>ABS(H$5-(6-'4JSON'!H274))</f>
        <v>2</v>
      </c>
      <c r="I280" s="41">
        <f>ABS(I$5-(6-'4JSON'!I274))</f>
        <v>2</v>
      </c>
      <c r="J280" s="41">
        <f>ABS(J$5-(6-'4JSON'!J274))</f>
        <v>0</v>
      </c>
      <c r="K280" s="41">
        <f>ABS(K$5-(6-'4JSON'!K274))</f>
        <v>1</v>
      </c>
      <c r="L280" s="41">
        <f>ABS(L$5-(6-'4JSON'!L274))</f>
        <v>0</v>
      </c>
      <c r="M280" s="36">
        <f t="shared" si="1"/>
        <v>9</v>
      </c>
      <c r="N280" s="42">
        <f t="shared" si="2"/>
        <v>0.75</v>
      </c>
      <c r="S280" s="35">
        <f>IFERROR(__xludf.DUMMYFUNCTION("""COMPUTED_VALUE"""),1452.0)</f>
        <v>1452</v>
      </c>
    </row>
    <row r="281">
      <c r="A281" s="35">
        <f>'4JSON'!A275</f>
        <v>1227</v>
      </c>
      <c r="B281" s="25" t="str">
        <f>'4JSON'!B275</f>
        <v>Justices of the Peace</v>
      </c>
      <c r="C281" s="41" t="str">
        <f>'4JSON'!C275</f>
        <v>Court officers and justices of the peace</v>
      </c>
      <c r="D281" s="41">
        <f>ABS(D$5-(6-'4JSON'!D275))</f>
        <v>1</v>
      </c>
      <c r="E281" s="41">
        <f>ABS(E$5-(6-'4JSON'!E275))</f>
        <v>0</v>
      </c>
      <c r="F281" s="41">
        <f>ABS(F$5-(6-'4JSON'!F275))</f>
        <v>0</v>
      </c>
      <c r="G281" s="41">
        <f>ABS(G$5-(6-'4JSON'!G275))</f>
        <v>1</v>
      </c>
      <c r="H281" s="41">
        <f>ABS(H$5-(6-'4JSON'!H275))</f>
        <v>2</v>
      </c>
      <c r="I281" s="41">
        <f>ABS(I$5-(6-'4JSON'!I275))</f>
        <v>0</v>
      </c>
      <c r="J281" s="41">
        <f>ABS(J$5-(6-'4JSON'!J275))</f>
        <v>1</v>
      </c>
      <c r="K281" s="41">
        <f>ABS(K$5-(6-'4JSON'!K275))</f>
        <v>1</v>
      </c>
      <c r="L281" s="41">
        <f>ABS(L$5-(6-'4JSON'!L275))</f>
        <v>1</v>
      </c>
      <c r="M281" s="36">
        <f t="shared" si="1"/>
        <v>7</v>
      </c>
      <c r="N281" s="42">
        <f t="shared" si="2"/>
        <v>0.8055555556</v>
      </c>
      <c r="S281" s="35">
        <f>IFERROR(__xludf.DUMMYFUNCTION("""COMPUTED_VALUE"""),3131.0)</f>
        <v>3131</v>
      </c>
    </row>
    <row r="282">
      <c r="A282" s="35">
        <f>'4JSON'!A276</f>
        <v>9618</v>
      </c>
      <c r="B282" s="25" t="str">
        <f>'4JSON'!B276</f>
        <v>Labourers in Fish Processing</v>
      </c>
      <c r="C282" s="41" t="str">
        <f>'4JSON'!C276</f>
        <v>Labourers in fish and seafood processing</v>
      </c>
      <c r="D282" s="41">
        <f>ABS(D$5-(6-'4JSON'!D276))</f>
        <v>0</v>
      </c>
      <c r="E282" s="41">
        <f>ABS(E$5-(6-'4JSON'!E276))</f>
        <v>1</v>
      </c>
      <c r="F282" s="41">
        <f>ABS(F$5-(6-'4JSON'!F276))</f>
        <v>2</v>
      </c>
      <c r="G282" s="41">
        <f>ABS(G$5-(6-'4JSON'!G276))</f>
        <v>1</v>
      </c>
      <c r="H282" s="41">
        <f>ABS(H$5-(6-'4JSON'!H276))</f>
        <v>2</v>
      </c>
      <c r="I282" s="41">
        <f>ABS(I$5-(6-'4JSON'!I276))</f>
        <v>2</v>
      </c>
      <c r="J282" s="41">
        <f>ABS(J$5-(6-'4JSON'!J276))</f>
        <v>0</v>
      </c>
      <c r="K282" s="41">
        <f>ABS(K$5-(6-'4JSON'!K276))</f>
        <v>1</v>
      </c>
      <c r="L282" s="41">
        <f>ABS(L$5-(6-'4JSON'!L276))</f>
        <v>0</v>
      </c>
      <c r="M282" s="36">
        <f t="shared" si="1"/>
        <v>9</v>
      </c>
      <c r="N282" s="42">
        <f t="shared" si="2"/>
        <v>0.75</v>
      </c>
      <c r="S282" s="35">
        <f>IFERROR(__xludf.DUMMYFUNCTION("""COMPUTED_VALUE"""),2224.0)</f>
        <v>2224</v>
      </c>
    </row>
    <row r="283">
      <c r="A283" s="35">
        <f>'4JSON'!A277</f>
        <v>9617</v>
      </c>
      <c r="B283" s="25" t="str">
        <f>'4JSON'!B277</f>
        <v>Labourers in Food, Beverage and Tobacco Processing</v>
      </c>
      <c r="C283" s="41" t="str">
        <f>'4JSON'!C277</f>
        <v>Labourers in food, beverage and associated products processing</v>
      </c>
      <c r="D283" s="41">
        <f>ABS(D$5-(6-'4JSON'!D277))</f>
        <v>0</v>
      </c>
      <c r="E283" s="41">
        <f>ABS(E$5-(6-'4JSON'!E277))</f>
        <v>2</v>
      </c>
      <c r="F283" s="41">
        <f>ABS(F$5-(6-'4JSON'!F277))</f>
        <v>2</v>
      </c>
      <c r="G283" s="41">
        <f>ABS(G$5-(6-'4JSON'!G277))</f>
        <v>1</v>
      </c>
      <c r="H283" s="41">
        <f>ABS(H$5-(6-'4JSON'!H277))</f>
        <v>2</v>
      </c>
      <c r="I283" s="41">
        <f>ABS(I$5-(6-'4JSON'!I277))</f>
        <v>2</v>
      </c>
      <c r="J283" s="41">
        <f>ABS(J$5-(6-'4JSON'!J277))</f>
        <v>1</v>
      </c>
      <c r="K283" s="41">
        <f>ABS(K$5-(6-'4JSON'!K277))</f>
        <v>1</v>
      </c>
      <c r="L283" s="41">
        <f>ABS(L$5-(6-'4JSON'!L277))</f>
        <v>0</v>
      </c>
      <c r="M283" s="36">
        <f t="shared" si="1"/>
        <v>11</v>
      </c>
      <c r="N283" s="42">
        <f t="shared" si="2"/>
        <v>0.6944444444</v>
      </c>
      <c r="S283" s="35">
        <f>IFERROR(__xludf.DUMMYFUNCTION("""COMPUTED_VALUE"""),7513.0)</f>
        <v>7513</v>
      </c>
    </row>
    <row r="284">
      <c r="A284" s="35">
        <f>'4JSON'!A278</f>
        <v>9612</v>
      </c>
      <c r="B284" s="25" t="str">
        <f>'4JSON'!B278</f>
        <v>Labourers in Metal Fabrication</v>
      </c>
      <c r="C284" s="41" t="str">
        <f>'4JSON'!C278</f>
        <v>Labourers in metal fabrication</v>
      </c>
      <c r="D284" s="41">
        <f>ABS(D$5-(6-'4JSON'!D278))</f>
        <v>0</v>
      </c>
      <c r="E284" s="41">
        <f>ABS(E$5-(6-'4JSON'!E278))</f>
        <v>1</v>
      </c>
      <c r="F284" s="41">
        <f>ABS(F$5-(6-'4JSON'!F278))</f>
        <v>1</v>
      </c>
      <c r="G284" s="41">
        <f>ABS(G$5-(6-'4JSON'!G278))</f>
        <v>1</v>
      </c>
      <c r="H284" s="41">
        <f>ABS(H$5-(6-'4JSON'!H278))</f>
        <v>2</v>
      </c>
      <c r="I284" s="41">
        <f>ABS(I$5-(6-'4JSON'!I278))</f>
        <v>2</v>
      </c>
      <c r="J284" s="41">
        <f>ABS(J$5-(6-'4JSON'!J278))</f>
        <v>1</v>
      </c>
      <c r="K284" s="41">
        <f>ABS(K$5-(6-'4JSON'!K278))</f>
        <v>1</v>
      </c>
      <c r="L284" s="41">
        <f>ABS(L$5-(6-'4JSON'!L278))</f>
        <v>0</v>
      </c>
      <c r="M284" s="36">
        <f t="shared" si="1"/>
        <v>9</v>
      </c>
      <c r="N284" s="42">
        <f t="shared" si="2"/>
        <v>0.75</v>
      </c>
      <c r="S284" s="35">
        <f>IFERROR(__xludf.DUMMYFUNCTION("""COMPUTED_VALUE"""),2273.0)</f>
        <v>2273</v>
      </c>
    </row>
    <row r="285">
      <c r="A285" s="35">
        <f>'4JSON'!A279</f>
        <v>9611</v>
      </c>
      <c r="B285" s="25" t="str">
        <f>'4JSON'!B279</f>
        <v>Labourers in Mineral and Metal Processing</v>
      </c>
      <c r="C285" s="41" t="str">
        <f>'4JSON'!C279</f>
        <v>Labourers in mineral and metal processing</v>
      </c>
      <c r="D285" s="41">
        <f>ABS(D$5-(6-'4JSON'!D279))</f>
        <v>0</v>
      </c>
      <c r="E285" s="41">
        <f>ABS(E$5-(6-'4JSON'!E279))</f>
        <v>1</v>
      </c>
      <c r="F285" s="41">
        <f>ABS(F$5-(6-'4JSON'!F279))</f>
        <v>1</v>
      </c>
      <c r="G285" s="41">
        <f>ABS(G$5-(6-'4JSON'!G279))</f>
        <v>1</v>
      </c>
      <c r="H285" s="41">
        <f>ABS(H$5-(6-'4JSON'!H279))</f>
        <v>2</v>
      </c>
      <c r="I285" s="41">
        <f>ABS(I$5-(6-'4JSON'!I279))</f>
        <v>2</v>
      </c>
      <c r="J285" s="41">
        <f>ABS(J$5-(6-'4JSON'!J279))</f>
        <v>1</v>
      </c>
      <c r="K285" s="41">
        <f>ABS(K$5-(6-'4JSON'!K279))</f>
        <v>1</v>
      </c>
      <c r="L285" s="41">
        <f>ABS(L$5-(6-'4JSON'!L279))</f>
        <v>0</v>
      </c>
      <c r="M285" s="36">
        <f t="shared" si="1"/>
        <v>9</v>
      </c>
      <c r="N285" s="42">
        <f t="shared" si="2"/>
        <v>0.75</v>
      </c>
      <c r="S285" s="35">
        <f>IFERROR(__xludf.DUMMYFUNCTION("""COMPUTED_VALUE"""),9421.0)</f>
        <v>9421</v>
      </c>
    </row>
    <row r="286">
      <c r="A286" s="35">
        <f>'4JSON'!A280</f>
        <v>9616</v>
      </c>
      <c r="B286" s="25" t="str">
        <f>'4JSON'!B280</f>
        <v>Labourers in Textile Processing</v>
      </c>
      <c r="C286" s="41" t="str">
        <f>'4JSON'!C280</f>
        <v>Labourers in textile processing</v>
      </c>
      <c r="D286" s="41">
        <f>ABS(D$5-(6-'4JSON'!D280))</f>
        <v>0</v>
      </c>
      <c r="E286" s="41">
        <f>ABS(E$5-(6-'4JSON'!E280))</f>
        <v>1</v>
      </c>
      <c r="F286" s="41">
        <f>ABS(F$5-(6-'4JSON'!F280))</f>
        <v>2</v>
      </c>
      <c r="G286" s="41">
        <f>ABS(G$5-(6-'4JSON'!G280))</f>
        <v>1</v>
      </c>
      <c r="H286" s="41">
        <f>ABS(H$5-(6-'4JSON'!H280))</f>
        <v>2</v>
      </c>
      <c r="I286" s="41">
        <f>ABS(I$5-(6-'4JSON'!I280))</f>
        <v>1</v>
      </c>
      <c r="J286" s="41">
        <f>ABS(J$5-(6-'4JSON'!J280))</f>
        <v>1</v>
      </c>
      <c r="K286" s="41">
        <f>ABS(K$5-(6-'4JSON'!K280))</f>
        <v>1</v>
      </c>
      <c r="L286" s="41">
        <f>ABS(L$5-(6-'4JSON'!L280))</f>
        <v>0</v>
      </c>
      <c r="M286" s="36">
        <f t="shared" si="1"/>
        <v>9</v>
      </c>
      <c r="N286" s="42">
        <f t="shared" si="2"/>
        <v>0.75</v>
      </c>
      <c r="S286" s="35">
        <f>IFERROR(__xludf.DUMMYFUNCTION("""COMPUTED_VALUE"""),3411.0)</f>
        <v>3411</v>
      </c>
    </row>
    <row r="287">
      <c r="A287" s="35">
        <f>'4JSON'!A281</f>
        <v>5244</v>
      </c>
      <c r="B287" s="25" t="str">
        <f>'4JSON'!B281</f>
        <v>Artistic Floral Arrangers</v>
      </c>
      <c r="C287" s="41" t="str">
        <f>'4JSON'!C281</f>
        <v>Artisans and craftspersons</v>
      </c>
      <c r="D287" s="41">
        <f>ABS(D$5-(6-'4JSON'!D281))</f>
        <v>1</v>
      </c>
      <c r="E287" s="41">
        <f>ABS(E$5-(6-'4JSON'!E281))</f>
        <v>1</v>
      </c>
      <c r="F287" s="41">
        <f>ABS(F$5-(6-'4JSON'!F281))</f>
        <v>1</v>
      </c>
      <c r="G287" s="41">
        <f>ABS(G$5-(6-'4JSON'!G281))</f>
        <v>1</v>
      </c>
      <c r="H287" s="41">
        <f>ABS(H$5-(6-'4JSON'!H281))</f>
        <v>1</v>
      </c>
      <c r="I287" s="41">
        <f>ABS(I$5-(6-'4JSON'!I281))</f>
        <v>1</v>
      </c>
      <c r="J287" s="41">
        <f>ABS(J$5-(6-'4JSON'!J281))</f>
        <v>1</v>
      </c>
      <c r="K287" s="41">
        <f>ABS(K$5-(6-'4JSON'!K281))</f>
        <v>0</v>
      </c>
      <c r="L287" s="41">
        <f>ABS(L$5-(6-'4JSON'!L281))</f>
        <v>1</v>
      </c>
      <c r="M287" s="36">
        <f t="shared" si="1"/>
        <v>8</v>
      </c>
      <c r="N287" s="42">
        <f t="shared" si="2"/>
        <v>0.7777777778</v>
      </c>
      <c r="S287" s="35">
        <f>IFERROR(__xludf.DUMMYFUNCTION("""COMPUTED_VALUE"""),3113.0)</f>
        <v>3113</v>
      </c>
    </row>
    <row r="288">
      <c r="A288" s="35">
        <f>'4JSON'!A282</f>
        <v>5134</v>
      </c>
      <c r="B288" s="25" t="str">
        <f>'4JSON'!B282</f>
        <v>Dance Teachers</v>
      </c>
      <c r="C288" s="41" t="str">
        <f>'4JSON'!C282</f>
        <v>Dancers</v>
      </c>
      <c r="D288" s="41">
        <f>ABS(D$5-(6-'4JSON'!D282))</f>
        <v>2</v>
      </c>
      <c r="E288" s="41">
        <f>ABS(E$5-(6-'4JSON'!E282))</f>
        <v>0</v>
      </c>
      <c r="F288" s="41">
        <f>ABS(F$5-(6-'4JSON'!F282))</f>
        <v>1</v>
      </c>
      <c r="G288" s="41">
        <f>ABS(G$5-(6-'4JSON'!G282))</f>
        <v>1</v>
      </c>
      <c r="H288" s="41">
        <f>ABS(H$5-(6-'4JSON'!H282))</f>
        <v>1</v>
      </c>
      <c r="I288" s="41">
        <f>ABS(I$5-(6-'4JSON'!I282))</f>
        <v>1</v>
      </c>
      <c r="J288" s="41">
        <f>ABS(J$5-(6-'4JSON'!J282))</f>
        <v>1</v>
      </c>
      <c r="K288" s="41">
        <f>ABS(K$5-(6-'4JSON'!K282))</f>
        <v>0</v>
      </c>
      <c r="L288" s="41">
        <f>ABS(L$5-(6-'4JSON'!L282))</f>
        <v>0</v>
      </c>
      <c r="M288" s="36">
        <f t="shared" si="1"/>
        <v>7</v>
      </c>
      <c r="N288" s="42">
        <f t="shared" si="2"/>
        <v>0.8055555556</v>
      </c>
      <c r="S288" s="35">
        <f>IFERROR(__xludf.DUMMYFUNCTION("""COMPUTED_VALUE"""),513.0)</f>
        <v>513</v>
      </c>
    </row>
    <row r="289">
      <c r="A289" s="35">
        <f>'4JSON'!A283</f>
        <v>5134</v>
      </c>
      <c r="B289" s="25" t="str">
        <f>'4JSON'!B283</f>
        <v>Dancers</v>
      </c>
      <c r="C289" s="41" t="str">
        <f>'4JSON'!C283</f>
        <v>Dancers</v>
      </c>
      <c r="D289" s="41">
        <f>ABS(D$5-(6-'4JSON'!D283))</f>
        <v>2</v>
      </c>
      <c r="E289" s="41">
        <f>ABS(E$5-(6-'4JSON'!E283))</f>
        <v>0</v>
      </c>
      <c r="F289" s="41">
        <f>ABS(F$5-(6-'4JSON'!F283))</f>
        <v>1</v>
      </c>
      <c r="G289" s="41">
        <f>ABS(G$5-(6-'4JSON'!G283))</f>
        <v>1</v>
      </c>
      <c r="H289" s="41">
        <f>ABS(H$5-(6-'4JSON'!H283))</f>
        <v>1</v>
      </c>
      <c r="I289" s="41">
        <f>ABS(I$5-(6-'4JSON'!I283))</f>
        <v>1</v>
      </c>
      <c r="J289" s="41">
        <f>ABS(J$5-(6-'4JSON'!J283))</f>
        <v>1</v>
      </c>
      <c r="K289" s="41">
        <f>ABS(K$5-(6-'4JSON'!K283))</f>
        <v>0</v>
      </c>
      <c r="L289" s="41">
        <f>ABS(L$5-(6-'4JSON'!L283))</f>
        <v>0</v>
      </c>
      <c r="M289" s="36">
        <f t="shared" si="1"/>
        <v>7</v>
      </c>
      <c r="N289" s="42">
        <f t="shared" si="2"/>
        <v>0.8055555556</v>
      </c>
      <c r="S289" s="35">
        <f>IFERROR(__xludf.DUMMYFUNCTION("""COMPUTED_VALUE"""),7371.0)</f>
        <v>7371</v>
      </c>
    </row>
    <row r="290">
      <c r="A290" s="35">
        <f>'4JSON'!A284</f>
        <v>5244</v>
      </c>
      <c r="B290" s="25" t="str">
        <f>'4JSON'!B284</f>
        <v>Metal Arts Workers</v>
      </c>
      <c r="C290" s="41" t="str">
        <f>'4JSON'!C284</f>
        <v>Artisans and craftspersons</v>
      </c>
      <c r="D290" s="41">
        <f>ABS(D$5-(6-'4JSON'!D284))</f>
        <v>1</v>
      </c>
      <c r="E290" s="41">
        <f>ABS(E$5-(6-'4JSON'!E284))</f>
        <v>1</v>
      </c>
      <c r="F290" s="41">
        <f>ABS(F$5-(6-'4JSON'!F284))</f>
        <v>1</v>
      </c>
      <c r="G290" s="41">
        <f>ABS(G$5-(6-'4JSON'!G284))</f>
        <v>1</v>
      </c>
      <c r="H290" s="41">
        <f>ABS(H$5-(6-'4JSON'!H284))</f>
        <v>0</v>
      </c>
      <c r="I290" s="41">
        <f>ABS(I$5-(6-'4JSON'!I284))</f>
        <v>1</v>
      </c>
      <c r="J290" s="41">
        <f>ABS(J$5-(6-'4JSON'!J284))</f>
        <v>1</v>
      </c>
      <c r="K290" s="41">
        <f>ABS(K$5-(6-'4JSON'!K284))</f>
        <v>1</v>
      </c>
      <c r="L290" s="41">
        <f>ABS(L$5-(6-'4JSON'!L284))</f>
        <v>1</v>
      </c>
      <c r="M290" s="36">
        <f t="shared" si="1"/>
        <v>8</v>
      </c>
      <c r="N290" s="42">
        <f t="shared" si="2"/>
        <v>0.7777777778</v>
      </c>
      <c r="S290" s="35">
        <f>IFERROR(__xludf.DUMMYFUNCTION("""COMPUTED_VALUE"""),7514.0)</f>
        <v>7514</v>
      </c>
    </row>
    <row r="291">
      <c r="A291" s="35">
        <f>'4JSON'!A285</f>
        <v>5251</v>
      </c>
      <c r="B291" s="25" t="str">
        <f>'4JSON'!B285</f>
        <v>Athletes</v>
      </c>
      <c r="C291" s="41" t="str">
        <f>'4JSON'!C285</f>
        <v>Athletes</v>
      </c>
      <c r="D291" s="41">
        <f>ABS(D$5-(6-'4JSON'!D285))</f>
        <v>1</v>
      </c>
      <c r="E291" s="41">
        <f>ABS(E$5-(6-'4JSON'!E285))</f>
        <v>0</v>
      </c>
      <c r="F291" s="41">
        <f>ABS(F$5-(6-'4JSON'!F285))</f>
        <v>1</v>
      </c>
      <c r="G291" s="41">
        <f>ABS(G$5-(6-'4JSON'!G285))</f>
        <v>1</v>
      </c>
      <c r="H291" s="41">
        <f>ABS(H$5-(6-'4JSON'!H285))</f>
        <v>1</v>
      </c>
      <c r="I291" s="41">
        <f>ABS(I$5-(6-'4JSON'!I285))</f>
        <v>1</v>
      </c>
      <c r="J291" s="41">
        <f>ABS(J$5-(6-'4JSON'!J285))</f>
        <v>1</v>
      </c>
      <c r="K291" s="41">
        <f>ABS(K$5-(6-'4JSON'!K285))</f>
        <v>1</v>
      </c>
      <c r="L291" s="41">
        <f>ABS(L$5-(6-'4JSON'!L285))</f>
        <v>1</v>
      </c>
      <c r="M291" s="36">
        <f t="shared" si="1"/>
        <v>8</v>
      </c>
      <c r="N291" s="42">
        <f t="shared" si="2"/>
        <v>0.7777777778</v>
      </c>
      <c r="S291" s="35">
        <f>IFERROR(__xludf.DUMMYFUNCTION("""COMPUTED_VALUE"""),4312.0)</f>
        <v>4312</v>
      </c>
    </row>
    <row r="292">
      <c r="A292" s="35">
        <f>'4JSON'!A286</f>
        <v>5244</v>
      </c>
      <c r="B292" s="25" t="str">
        <f>'4JSON'!B286</f>
        <v>Potters</v>
      </c>
      <c r="C292" s="41" t="str">
        <f>'4JSON'!C286</f>
        <v>Artisans and craftspersons</v>
      </c>
      <c r="D292" s="41">
        <f>ABS(D$5-(6-'4JSON'!D286))</f>
        <v>1</v>
      </c>
      <c r="E292" s="41">
        <f>ABS(E$5-(6-'4JSON'!E286))</f>
        <v>1</v>
      </c>
      <c r="F292" s="41">
        <f>ABS(F$5-(6-'4JSON'!F286))</f>
        <v>1</v>
      </c>
      <c r="G292" s="41">
        <f>ABS(G$5-(6-'4JSON'!G286))</f>
        <v>1</v>
      </c>
      <c r="H292" s="41">
        <f>ABS(H$5-(6-'4JSON'!H286))</f>
        <v>0</v>
      </c>
      <c r="I292" s="41">
        <f>ABS(I$5-(6-'4JSON'!I286))</f>
        <v>1</v>
      </c>
      <c r="J292" s="41">
        <f>ABS(J$5-(6-'4JSON'!J286))</f>
        <v>1</v>
      </c>
      <c r="K292" s="41">
        <f>ABS(K$5-(6-'4JSON'!K286))</f>
        <v>1</v>
      </c>
      <c r="L292" s="41">
        <f>ABS(L$5-(6-'4JSON'!L286))</f>
        <v>1</v>
      </c>
      <c r="M292" s="36">
        <f t="shared" si="1"/>
        <v>8</v>
      </c>
      <c r="N292" s="42">
        <f t="shared" si="2"/>
        <v>0.7777777778</v>
      </c>
      <c r="S292" s="35">
        <f>IFERROR(__xludf.DUMMYFUNCTION("""COMPUTED_VALUE"""),9445.0)</f>
        <v>9445</v>
      </c>
    </row>
    <row r="293">
      <c r="A293" s="35">
        <f>'4JSON'!A287</f>
        <v>2231</v>
      </c>
      <c r="B293" s="25" t="str">
        <f>'4JSON'!B287</f>
        <v>Civil Engineering Technicians</v>
      </c>
      <c r="C293" s="41" t="str">
        <f>'4JSON'!C287</f>
        <v>Civil engineering technologists and technicians</v>
      </c>
      <c r="D293" s="41">
        <f>ABS(D$5-(6-'4JSON'!D287))</f>
        <v>2</v>
      </c>
      <c r="E293" s="41">
        <f>ABS(E$5-(6-'4JSON'!E287))</f>
        <v>0</v>
      </c>
      <c r="F293" s="41">
        <f>ABS(F$5-(6-'4JSON'!F287))</f>
        <v>0</v>
      </c>
      <c r="G293" s="41">
        <f>ABS(G$5-(6-'4JSON'!G287))</f>
        <v>1</v>
      </c>
      <c r="H293" s="41">
        <f>ABS(H$5-(6-'4JSON'!H287))</f>
        <v>1</v>
      </c>
      <c r="I293" s="41">
        <f>ABS(I$5-(6-'4JSON'!I287))</f>
        <v>0</v>
      </c>
      <c r="J293" s="41">
        <f>ABS(J$5-(6-'4JSON'!J287))</f>
        <v>0</v>
      </c>
      <c r="K293" s="41">
        <f>ABS(K$5-(6-'4JSON'!K287))</f>
        <v>0</v>
      </c>
      <c r="L293" s="41">
        <f>ABS(L$5-(6-'4JSON'!L287))</f>
        <v>0</v>
      </c>
      <c r="M293" s="36">
        <f t="shared" si="1"/>
        <v>4</v>
      </c>
      <c r="N293" s="42">
        <f t="shared" si="2"/>
        <v>0.8888888889</v>
      </c>
      <c r="S293" s="35">
        <f>IFERROR(__xludf.DUMMYFUNCTION("""COMPUTED_VALUE"""),7521.0)</f>
        <v>7521</v>
      </c>
    </row>
    <row r="294">
      <c r="A294" s="35">
        <f>'4JSON'!A288</f>
        <v>5244</v>
      </c>
      <c r="B294" s="25" t="str">
        <f>'4JSON'!B288</f>
        <v>Stained Glass Artists</v>
      </c>
      <c r="C294" s="41" t="str">
        <f>'4JSON'!C288</f>
        <v>Artisans and craftspersons</v>
      </c>
      <c r="D294" s="41">
        <f>ABS(D$5-(6-'4JSON'!D288))</f>
        <v>1</v>
      </c>
      <c r="E294" s="41">
        <f>ABS(E$5-(6-'4JSON'!E288))</f>
        <v>1</v>
      </c>
      <c r="F294" s="41">
        <f>ABS(F$5-(6-'4JSON'!F288))</f>
        <v>1</v>
      </c>
      <c r="G294" s="41">
        <f>ABS(G$5-(6-'4JSON'!G288))</f>
        <v>1</v>
      </c>
      <c r="H294" s="41">
        <f>ABS(H$5-(6-'4JSON'!H288))</f>
        <v>0</v>
      </c>
      <c r="I294" s="41">
        <f>ABS(I$5-(6-'4JSON'!I288))</f>
        <v>1</v>
      </c>
      <c r="J294" s="41">
        <f>ABS(J$5-(6-'4JSON'!J288))</f>
        <v>1</v>
      </c>
      <c r="K294" s="41">
        <f>ABS(K$5-(6-'4JSON'!K288))</f>
        <v>1</v>
      </c>
      <c r="L294" s="41">
        <f>ABS(L$5-(6-'4JSON'!L288))</f>
        <v>1</v>
      </c>
      <c r="M294" s="36">
        <f t="shared" si="1"/>
        <v>8</v>
      </c>
      <c r="N294" s="42">
        <f t="shared" si="2"/>
        <v>0.7777777778</v>
      </c>
      <c r="S294" s="35">
        <f>IFERROR(__xludf.DUMMYFUNCTION("""COMPUTED_VALUE"""),4215.0)</f>
        <v>4215</v>
      </c>
    </row>
    <row r="295">
      <c r="A295" s="35">
        <f>'4JSON'!A289</f>
        <v>2233</v>
      </c>
      <c r="B295" s="25" t="str">
        <f>'4JSON'!B289</f>
        <v>Industrial Engineering and Manufacturing Technicians</v>
      </c>
      <c r="C295" s="41" t="str">
        <f>'4JSON'!C289</f>
        <v>Industrial engineering and manufacturing technologists and technicians</v>
      </c>
      <c r="D295" s="41">
        <f>ABS(D$5-(6-'4JSON'!D289))</f>
        <v>2</v>
      </c>
      <c r="E295" s="41">
        <f>ABS(E$5-(6-'4JSON'!E289))</f>
        <v>0</v>
      </c>
      <c r="F295" s="41">
        <f>ABS(F$5-(6-'4JSON'!F289))</f>
        <v>0</v>
      </c>
      <c r="G295" s="41">
        <f>ABS(G$5-(6-'4JSON'!G289))</f>
        <v>1</v>
      </c>
      <c r="H295" s="41">
        <f>ABS(H$5-(6-'4JSON'!H289))</f>
        <v>1</v>
      </c>
      <c r="I295" s="41">
        <f>ABS(I$5-(6-'4JSON'!I289))</f>
        <v>0</v>
      </c>
      <c r="J295" s="41">
        <f>ABS(J$5-(6-'4JSON'!J289))</f>
        <v>0</v>
      </c>
      <c r="K295" s="41">
        <f>ABS(K$5-(6-'4JSON'!K289))</f>
        <v>0</v>
      </c>
      <c r="L295" s="41">
        <f>ABS(L$5-(6-'4JSON'!L289))</f>
        <v>0</v>
      </c>
      <c r="M295" s="36">
        <f t="shared" si="1"/>
        <v>4</v>
      </c>
      <c r="N295" s="42">
        <f t="shared" si="2"/>
        <v>0.8888888889</v>
      </c>
      <c r="S295" s="35">
        <f>IFERROR(__xludf.DUMMYFUNCTION("""COMPUTED_VALUE"""),8255.0)</f>
        <v>8255</v>
      </c>
    </row>
    <row r="296">
      <c r="A296" s="35">
        <f>'4JSON'!A290</f>
        <v>2232</v>
      </c>
      <c r="B296" s="25" t="str">
        <f>'4JSON'!B290</f>
        <v>Mechanical Engineering Technicians</v>
      </c>
      <c r="C296" s="41" t="str">
        <f>'4JSON'!C290</f>
        <v>Mechanical engineering technologists and technicians</v>
      </c>
      <c r="D296" s="41">
        <f>ABS(D$5-(6-'4JSON'!D290))</f>
        <v>2</v>
      </c>
      <c r="E296" s="41">
        <f>ABS(E$5-(6-'4JSON'!E290))</f>
        <v>0</v>
      </c>
      <c r="F296" s="41">
        <f>ABS(F$5-(6-'4JSON'!F290))</f>
        <v>0</v>
      </c>
      <c r="G296" s="41">
        <f>ABS(G$5-(6-'4JSON'!G290))</f>
        <v>1</v>
      </c>
      <c r="H296" s="41">
        <f>ABS(H$5-(6-'4JSON'!H290))</f>
        <v>1</v>
      </c>
      <c r="I296" s="41">
        <f>ABS(I$5-(6-'4JSON'!I290))</f>
        <v>0</v>
      </c>
      <c r="J296" s="41">
        <f>ABS(J$5-(6-'4JSON'!J290))</f>
        <v>0</v>
      </c>
      <c r="K296" s="41">
        <f>ABS(K$5-(6-'4JSON'!K290))</f>
        <v>0</v>
      </c>
      <c r="L296" s="41">
        <f>ABS(L$5-(6-'4JSON'!L290))</f>
        <v>0</v>
      </c>
      <c r="M296" s="36">
        <f t="shared" si="1"/>
        <v>4</v>
      </c>
      <c r="N296" s="42">
        <f t="shared" si="2"/>
        <v>0.8888888889</v>
      </c>
      <c r="S296" s="35">
        <f>IFERROR(__xludf.DUMMYFUNCTION("""COMPUTED_VALUE"""),1242.0)</f>
        <v>1242</v>
      </c>
    </row>
    <row r="297">
      <c r="A297" s="35">
        <f>'4JSON'!A291</f>
        <v>9442</v>
      </c>
      <c r="B297" s="25" t="str">
        <f>'4JSON'!B291</f>
        <v>Weavers</v>
      </c>
      <c r="C297" s="41" t="str">
        <f>'4JSON'!C291</f>
        <v>Weavers, knitters and other fabric making occupations</v>
      </c>
      <c r="D297" s="41">
        <f>ABS(D$5-(6-'4JSON'!D291))</f>
        <v>1</v>
      </c>
      <c r="E297" s="41">
        <f>ABS(E$5-(6-'4JSON'!E291))</f>
        <v>1</v>
      </c>
      <c r="F297" s="41">
        <f>ABS(F$5-(6-'4JSON'!F291))</f>
        <v>1</v>
      </c>
      <c r="G297" s="41">
        <f>ABS(G$5-(6-'4JSON'!G291))</f>
        <v>1</v>
      </c>
      <c r="H297" s="41">
        <f>ABS(H$5-(6-'4JSON'!H291))</f>
        <v>1</v>
      </c>
      <c r="I297" s="41">
        <f>ABS(I$5-(6-'4JSON'!I291))</f>
        <v>1</v>
      </c>
      <c r="J297" s="41">
        <f>ABS(J$5-(6-'4JSON'!J291))</f>
        <v>1</v>
      </c>
      <c r="K297" s="41">
        <f>ABS(K$5-(6-'4JSON'!K291))</f>
        <v>0</v>
      </c>
      <c r="L297" s="41">
        <f>ABS(L$5-(6-'4JSON'!L291))</f>
        <v>1</v>
      </c>
      <c r="M297" s="36">
        <f t="shared" si="1"/>
        <v>8</v>
      </c>
      <c r="N297" s="42">
        <f t="shared" si="2"/>
        <v>0.7777777778</v>
      </c>
      <c r="S297" s="35">
        <f>IFERROR(__xludf.DUMMYFUNCTION("""COMPUTED_VALUE"""),9415.0)</f>
        <v>9415</v>
      </c>
    </row>
    <row r="298">
      <c r="A298" s="35">
        <f>'4JSON'!A292</f>
        <v>7315</v>
      </c>
      <c r="B298" s="25" t="str">
        <f>'4JSON'!B292</f>
        <v>Aircraft Mechanics</v>
      </c>
      <c r="C298" s="41" t="str">
        <f>'4JSON'!C292</f>
        <v>Aircraft mechanics and aircraft inspectors</v>
      </c>
      <c r="D298" s="41">
        <f>ABS(D$5-(6-'4JSON'!D292))</f>
        <v>1</v>
      </c>
      <c r="E298" s="41">
        <f>ABS(E$5-(6-'4JSON'!E292))</f>
        <v>1</v>
      </c>
      <c r="F298" s="41">
        <f>ABS(F$5-(6-'4JSON'!F292))</f>
        <v>0</v>
      </c>
      <c r="G298" s="41">
        <f>ABS(G$5-(6-'4JSON'!G292))</f>
        <v>1</v>
      </c>
      <c r="H298" s="41">
        <f>ABS(H$5-(6-'4JSON'!H292))</f>
        <v>0</v>
      </c>
      <c r="I298" s="41">
        <f>ABS(I$5-(6-'4JSON'!I292))</f>
        <v>1</v>
      </c>
      <c r="J298" s="41">
        <f>ABS(J$5-(6-'4JSON'!J292))</f>
        <v>0</v>
      </c>
      <c r="K298" s="41">
        <f>ABS(K$5-(6-'4JSON'!K292))</f>
        <v>0</v>
      </c>
      <c r="L298" s="41">
        <f>ABS(L$5-(6-'4JSON'!L292))</f>
        <v>1</v>
      </c>
      <c r="M298" s="36">
        <f t="shared" si="1"/>
        <v>5</v>
      </c>
      <c r="N298" s="42">
        <f t="shared" si="2"/>
        <v>0.8611111111</v>
      </c>
      <c r="S298" s="35">
        <f>IFERROR(__xludf.DUMMYFUNCTION("""COMPUTED_VALUE"""),1451.0)</f>
        <v>1451</v>
      </c>
    </row>
    <row r="299">
      <c r="A299" s="35">
        <f>'4JSON'!A293</f>
        <v>5244</v>
      </c>
      <c r="B299" s="25" t="str">
        <f>'4JSON'!B293</f>
        <v>Carvers</v>
      </c>
      <c r="C299" s="41" t="str">
        <f>'4JSON'!C293</f>
        <v>Artisans and craftspersons</v>
      </c>
      <c r="D299" s="41">
        <f>ABS(D$5-(6-'4JSON'!D293))</f>
        <v>1</v>
      </c>
      <c r="E299" s="41">
        <f>ABS(E$5-(6-'4JSON'!E293))</f>
        <v>1</v>
      </c>
      <c r="F299" s="41">
        <f>ABS(F$5-(6-'4JSON'!F293))</f>
        <v>0</v>
      </c>
      <c r="G299" s="41">
        <f>ABS(G$5-(6-'4JSON'!G293))</f>
        <v>1</v>
      </c>
      <c r="H299" s="41">
        <f>ABS(H$5-(6-'4JSON'!H293))</f>
        <v>0</v>
      </c>
      <c r="I299" s="41">
        <f>ABS(I$5-(6-'4JSON'!I293))</f>
        <v>1</v>
      </c>
      <c r="J299" s="41">
        <f>ABS(J$5-(6-'4JSON'!J293))</f>
        <v>1</v>
      </c>
      <c r="K299" s="41">
        <f>ABS(K$5-(6-'4JSON'!K293))</f>
        <v>1</v>
      </c>
      <c r="L299" s="41">
        <f>ABS(L$5-(6-'4JSON'!L293))</f>
        <v>1</v>
      </c>
      <c r="M299" s="36">
        <f t="shared" si="1"/>
        <v>7</v>
      </c>
      <c r="N299" s="42">
        <f t="shared" si="2"/>
        <v>0.8055555556</v>
      </c>
      <c r="S299" s="35">
        <f>IFERROR(__xludf.DUMMYFUNCTION("""COMPUTED_VALUE"""),1512.0)</f>
        <v>1512</v>
      </c>
    </row>
    <row r="300">
      <c r="A300" s="35">
        <f>'4JSON'!A294</f>
        <v>5244</v>
      </c>
      <c r="B300" s="25" t="str">
        <f>'4JSON'!B294</f>
        <v>Stringed Instrument Makers</v>
      </c>
      <c r="C300" s="41" t="str">
        <f>'4JSON'!C294</f>
        <v>Artisans and craftspersons</v>
      </c>
      <c r="D300" s="41">
        <f>ABS(D$5-(6-'4JSON'!D294))</f>
        <v>1</v>
      </c>
      <c r="E300" s="41">
        <f>ABS(E$5-(6-'4JSON'!E294))</f>
        <v>1</v>
      </c>
      <c r="F300" s="41">
        <f>ABS(F$5-(6-'4JSON'!F294))</f>
        <v>0</v>
      </c>
      <c r="G300" s="41">
        <f>ABS(G$5-(6-'4JSON'!G294))</f>
        <v>1</v>
      </c>
      <c r="H300" s="41">
        <f>ABS(H$5-(6-'4JSON'!H294))</f>
        <v>0</v>
      </c>
      <c r="I300" s="41">
        <f>ABS(I$5-(6-'4JSON'!I294))</f>
        <v>1</v>
      </c>
      <c r="J300" s="41">
        <f>ABS(J$5-(6-'4JSON'!J294))</f>
        <v>1</v>
      </c>
      <c r="K300" s="41">
        <f>ABS(K$5-(6-'4JSON'!K294))</f>
        <v>1</v>
      </c>
      <c r="L300" s="41">
        <f>ABS(L$5-(6-'4JSON'!L294))</f>
        <v>1</v>
      </c>
      <c r="M300" s="36">
        <f t="shared" si="1"/>
        <v>7</v>
      </c>
      <c r="N300" s="42">
        <f t="shared" si="2"/>
        <v>0.8055555556</v>
      </c>
      <c r="S300" s="35">
        <f>IFERROR(__xludf.DUMMYFUNCTION("""COMPUTED_VALUE"""),9411.0)</f>
        <v>9411</v>
      </c>
    </row>
    <row r="301">
      <c r="A301" s="35">
        <f>'4JSON'!A295</f>
        <v>2255</v>
      </c>
      <c r="B301" s="25" t="str">
        <f>'4JSON'!B295</f>
        <v>Aerial Survey Technologists and Technicians</v>
      </c>
      <c r="C301" s="41" t="str">
        <f>'4JSON'!C295</f>
        <v>Technical occupations in geomatics and meteorology</v>
      </c>
      <c r="D301" s="41">
        <f>ABS(D$5-(6-'4JSON'!D295))</f>
        <v>2</v>
      </c>
      <c r="E301" s="41">
        <f>ABS(E$5-(6-'4JSON'!E295))</f>
        <v>0</v>
      </c>
      <c r="F301" s="41">
        <f>ABS(F$5-(6-'4JSON'!F295))</f>
        <v>0</v>
      </c>
      <c r="G301" s="41">
        <f>ABS(G$5-(6-'4JSON'!G295))</f>
        <v>1</v>
      </c>
      <c r="H301" s="41">
        <f>ABS(H$5-(6-'4JSON'!H295))</f>
        <v>0</v>
      </c>
      <c r="I301" s="41">
        <f>ABS(I$5-(6-'4JSON'!I295))</f>
        <v>0</v>
      </c>
      <c r="J301" s="41">
        <f>ABS(J$5-(6-'4JSON'!J295))</f>
        <v>0</v>
      </c>
      <c r="K301" s="41">
        <f>ABS(K$5-(6-'4JSON'!K295))</f>
        <v>0</v>
      </c>
      <c r="L301" s="41">
        <f>ABS(L$5-(6-'4JSON'!L295))</f>
        <v>0</v>
      </c>
      <c r="M301" s="36">
        <f t="shared" si="1"/>
        <v>3</v>
      </c>
      <c r="N301" s="42">
        <f t="shared" si="2"/>
        <v>0.9166666667</v>
      </c>
      <c r="S301" s="35">
        <f>IFERROR(__xludf.DUMMYFUNCTION("""COMPUTED_VALUE"""),3236.0)</f>
        <v>3236</v>
      </c>
    </row>
    <row r="302">
      <c r="A302" s="35">
        <f>'4JSON'!A296</f>
        <v>7384</v>
      </c>
      <c r="B302" s="25" t="str">
        <f>'4JSON'!B296</f>
        <v>Blacksmiths</v>
      </c>
      <c r="C302" s="41" t="str">
        <f>'4JSON'!C296</f>
        <v>Other trades and related occupations, n.e.c.</v>
      </c>
      <c r="D302" s="41">
        <f>ABS(D$5-(6-'4JSON'!D296))</f>
        <v>1</v>
      </c>
      <c r="E302" s="41">
        <f>ABS(E$5-(6-'4JSON'!E296))</f>
        <v>1</v>
      </c>
      <c r="F302" s="41">
        <f>ABS(F$5-(6-'4JSON'!F296))</f>
        <v>0</v>
      </c>
      <c r="G302" s="41">
        <f>ABS(G$5-(6-'4JSON'!G296))</f>
        <v>1</v>
      </c>
      <c r="H302" s="41">
        <f>ABS(H$5-(6-'4JSON'!H296))</f>
        <v>1</v>
      </c>
      <c r="I302" s="41">
        <f>ABS(I$5-(6-'4JSON'!I296))</f>
        <v>1</v>
      </c>
      <c r="J302" s="41">
        <f>ABS(J$5-(6-'4JSON'!J296))</f>
        <v>1</v>
      </c>
      <c r="K302" s="41">
        <f>ABS(K$5-(6-'4JSON'!K296))</f>
        <v>1</v>
      </c>
      <c r="L302" s="41">
        <f>ABS(L$5-(6-'4JSON'!L296))</f>
        <v>1</v>
      </c>
      <c r="M302" s="36">
        <f t="shared" si="1"/>
        <v>8</v>
      </c>
      <c r="N302" s="42">
        <f t="shared" si="2"/>
        <v>0.7777777778</v>
      </c>
      <c r="S302" s="35">
        <f>IFERROR(__xludf.DUMMYFUNCTION("""COMPUTED_VALUE"""),1243.0)</f>
        <v>1243</v>
      </c>
    </row>
    <row r="303">
      <c r="A303" s="35">
        <f>'4JSON'!A297</f>
        <v>7384</v>
      </c>
      <c r="B303" s="25" t="str">
        <f>'4JSON'!B297</f>
        <v>Die Setters</v>
      </c>
      <c r="C303" s="41" t="str">
        <f>'4JSON'!C297</f>
        <v>Other trades and related occupations, n.e.c.</v>
      </c>
      <c r="D303" s="41">
        <f>ABS(D$5-(6-'4JSON'!D297))</f>
        <v>1</v>
      </c>
      <c r="E303" s="41">
        <f>ABS(E$5-(6-'4JSON'!E297))</f>
        <v>1</v>
      </c>
      <c r="F303" s="41">
        <f>ABS(F$5-(6-'4JSON'!F297))</f>
        <v>1</v>
      </c>
      <c r="G303" s="41">
        <f>ABS(G$5-(6-'4JSON'!G297))</f>
        <v>1</v>
      </c>
      <c r="H303" s="41">
        <f>ABS(H$5-(6-'4JSON'!H297))</f>
        <v>1</v>
      </c>
      <c r="I303" s="41">
        <f>ABS(I$5-(6-'4JSON'!I297))</f>
        <v>1</v>
      </c>
      <c r="J303" s="41">
        <f>ABS(J$5-(6-'4JSON'!J297))</f>
        <v>0</v>
      </c>
      <c r="K303" s="41">
        <f>ABS(K$5-(6-'4JSON'!K297))</f>
        <v>0</v>
      </c>
      <c r="L303" s="41">
        <f>ABS(L$5-(6-'4JSON'!L297))</f>
        <v>0</v>
      </c>
      <c r="M303" s="36">
        <f t="shared" si="1"/>
        <v>6</v>
      </c>
      <c r="N303" s="42">
        <f t="shared" si="2"/>
        <v>0.8333333333</v>
      </c>
      <c r="S303" s="35">
        <f>IFERROR(__xludf.DUMMYFUNCTION("""COMPUTED_VALUE"""),3211.0)</f>
        <v>3211</v>
      </c>
    </row>
    <row r="304">
      <c r="A304" s="35">
        <f>'4JSON'!A298</f>
        <v>7234</v>
      </c>
      <c r="B304" s="25" t="str">
        <f>'4JSON'!B298</f>
        <v>Boilermakers</v>
      </c>
      <c r="C304" s="41" t="str">
        <f>'4JSON'!C298</f>
        <v>Boilermakers</v>
      </c>
      <c r="D304" s="41">
        <f>ABS(D$5-(6-'4JSON'!D298))</f>
        <v>1</v>
      </c>
      <c r="E304" s="41">
        <f>ABS(E$5-(6-'4JSON'!E298))</f>
        <v>0</v>
      </c>
      <c r="F304" s="41">
        <f>ABS(F$5-(6-'4JSON'!F298))</f>
        <v>0</v>
      </c>
      <c r="G304" s="41">
        <f>ABS(G$5-(6-'4JSON'!G298))</f>
        <v>1</v>
      </c>
      <c r="H304" s="41">
        <f>ABS(H$5-(6-'4JSON'!H298))</f>
        <v>1</v>
      </c>
      <c r="I304" s="41">
        <f>ABS(I$5-(6-'4JSON'!I298))</f>
        <v>1</v>
      </c>
      <c r="J304" s="41">
        <f>ABS(J$5-(6-'4JSON'!J298))</f>
        <v>0</v>
      </c>
      <c r="K304" s="41">
        <f>ABS(K$5-(6-'4JSON'!K298))</f>
        <v>0</v>
      </c>
      <c r="L304" s="41">
        <f>ABS(L$5-(6-'4JSON'!L298))</f>
        <v>1</v>
      </c>
      <c r="M304" s="36">
        <f t="shared" si="1"/>
        <v>5</v>
      </c>
      <c r="N304" s="42">
        <f t="shared" si="2"/>
        <v>0.8611111111</v>
      </c>
      <c r="S304" s="35">
        <f>IFERROR(__xludf.DUMMYFUNCTION("""COMPUTED_VALUE"""),2261.0)</f>
        <v>2261</v>
      </c>
    </row>
    <row r="305">
      <c r="A305" s="35">
        <f>'4JSON'!A299</f>
        <v>7233</v>
      </c>
      <c r="B305" s="25" t="str">
        <f>'4JSON'!B299</f>
        <v>Sheet Metal Workers</v>
      </c>
      <c r="C305" s="41" t="str">
        <f>'4JSON'!C299</f>
        <v>Sheet metal workers</v>
      </c>
      <c r="D305" s="41">
        <f>ABS(D$5-(6-'4JSON'!D299))</f>
        <v>1</v>
      </c>
      <c r="E305" s="41">
        <f>ABS(E$5-(6-'4JSON'!E299))</f>
        <v>1</v>
      </c>
      <c r="F305" s="41">
        <f>ABS(F$5-(6-'4JSON'!F299))</f>
        <v>0</v>
      </c>
      <c r="G305" s="41">
        <f>ABS(G$5-(6-'4JSON'!G299))</f>
        <v>1</v>
      </c>
      <c r="H305" s="41">
        <f>ABS(H$5-(6-'4JSON'!H299))</f>
        <v>1</v>
      </c>
      <c r="I305" s="41">
        <f>ABS(I$5-(6-'4JSON'!I299))</f>
        <v>1</v>
      </c>
      <c r="J305" s="41">
        <f>ABS(J$5-(6-'4JSON'!J299))</f>
        <v>0</v>
      </c>
      <c r="K305" s="41">
        <f>ABS(K$5-(6-'4JSON'!K299))</f>
        <v>0</v>
      </c>
      <c r="L305" s="41">
        <f>ABS(L$5-(6-'4JSON'!L299))</f>
        <v>1</v>
      </c>
      <c r="M305" s="36">
        <f t="shared" si="1"/>
        <v>6</v>
      </c>
      <c r="N305" s="42">
        <f t="shared" si="2"/>
        <v>0.8333333333</v>
      </c>
      <c r="S305" s="35">
        <f>IFERROR(__xludf.DUMMYFUNCTION("""COMPUTED_VALUE"""),8232.0)</f>
        <v>8232</v>
      </c>
    </row>
    <row r="306">
      <c r="A306" s="35">
        <f>'4JSON'!A300</f>
        <v>7372</v>
      </c>
      <c r="B306" s="25" t="str">
        <f>'4JSON'!B300</f>
        <v>Blasters - Surface Mining, Quarrying and Construction</v>
      </c>
      <c r="C306" s="41" t="str">
        <f>'4JSON'!C300</f>
        <v>Drillers and blasters - surface mining, quarrying and construction</v>
      </c>
      <c r="D306" s="41">
        <f>ABS(D$5-(6-'4JSON'!D300))</f>
        <v>1</v>
      </c>
      <c r="E306" s="41">
        <f>ABS(E$5-(6-'4JSON'!E300))</f>
        <v>1</v>
      </c>
      <c r="F306" s="41">
        <f>ABS(F$5-(6-'4JSON'!F300))</f>
        <v>1</v>
      </c>
      <c r="G306" s="41">
        <f>ABS(G$5-(6-'4JSON'!G300))</f>
        <v>0</v>
      </c>
      <c r="H306" s="41">
        <f>ABS(H$5-(6-'4JSON'!H300))</f>
        <v>1</v>
      </c>
      <c r="I306" s="41">
        <f>ABS(I$5-(6-'4JSON'!I300))</f>
        <v>1</v>
      </c>
      <c r="J306" s="41">
        <f>ABS(J$5-(6-'4JSON'!J300))</f>
        <v>0</v>
      </c>
      <c r="K306" s="41">
        <f>ABS(K$5-(6-'4JSON'!K300))</f>
        <v>0</v>
      </c>
      <c r="L306" s="41">
        <f>ABS(L$5-(6-'4JSON'!L300))</f>
        <v>0</v>
      </c>
      <c r="M306" s="36">
        <f t="shared" si="1"/>
        <v>5</v>
      </c>
      <c r="N306" s="42">
        <f t="shared" si="2"/>
        <v>0.8611111111</v>
      </c>
      <c r="S306" s="35">
        <f>IFERROR(__xludf.DUMMYFUNCTION("""COMPUTED_VALUE"""),3231.0)</f>
        <v>3231</v>
      </c>
    </row>
    <row r="307">
      <c r="A307" s="35">
        <f>'4JSON'!A301</f>
        <v>7272</v>
      </c>
      <c r="B307" s="25" t="str">
        <f>'4JSON'!B301</f>
        <v>Cabinetmakers</v>
      </c>
      <c r="C307" s="41" t="str">
        <f>'4JSON'!C301</f>
        <v>Cabinetmakers</v>
      </c>
      <c r="D307" s="41">
        <f>ABS(D$5-(6-'4JSON'!D301))</f>
        <v>1</v>
      </c>
      <c r="E307" s="41">
        <f>ABS(E$5-(6-'4JSON'!E301))</f>
        <v>1</v>
      </c>
      <c r="F307" s="41">
        <f>ABS(F$5-(6-'4JSON'!F301))</f>
        <v>0</v>
      </c>
      <c r="G307" s="41">
        <f>ABS(G$5-(6-'4JSON'!G301))</f>
        <v>0</v>
      </c>
      <c r="H307" s="41">
        <f>ABS(H$5-(6-'4JSON'!H301))</f>
        <v>1</v>
      </c>
      <c r="I307" s="41">
        <f>ABS(I$5-(6-'4JSON'!I301))</f>
        <v>1</v>
      </c>
      <c r="J307" s="41">
        <f>ABS(J$5-(6-'4JSON'!J301))</f>
        <v>0</v>
      </c>
      <c r="K307" s="41">
        <f>ABS(K$5-(6-'4JSON'!K301))</f>
        <v>0</v>
      </c>
      <c r="L307" s="41">
        <f>ABS(L$5-(6-'4JSON'!L301))</f>
        <v>1</v>
      </c>
      <c r="M307" s="36">
        <f t="shared" si="1"/>
        <v>5</v>
      </c>
      <c r="N307" s="42">
        <f t="shared" si="2"/>
        <v>0.8611111111</v>
      </c>
      <c r="S307" s="35">
        <f>IFERROR(__xludf.DUMMYFUNCTION("""COMPUTED_VALUE"""),8412.0)</f>
        <v>8412</v>
      </c>
    </row>
    <row r="308">
      <c r="A308" s="35">
        <f>'4JSON'!A302</f>
        <v>5244</v>
      </c>
      <c r="B308" s="25" t="str">
        <f>'4JSON'!B302</f>
        <v>Craft Instructors</v>
      </c>
      <c r="C308" s="41" t="str">
        <f>'4JSON'!C302</f>
        <v>Artisans and craftspersons</v>
      </c>
      <c r="D308" s="41">
        <f>ABS(D$5-(6-'4JSON'!D302))</f>
        <v>1</v>
      </c>
      <c r="E308" s="41">
        <f>ABS(E$5-(6-'4JSON'!E302))</f>
        <v>1</v>
      </c>
      <c r="F308" s="41">
        <f>ABS(F$5-(6-'4JSON'!F302))</f>
        <v>1</v>
      </c>
      <c r="G308" s="41">
        <f>ABS(G$5-(6-'4JSON'!G302))</f>
        <v>1</v>
      </c>
      <c r="H308" s="41">
        <f>ABS(H$5-(6-'4JSON'!H302))</f>
        <v>1</v>
      </c>
      <c r="I308" s="41">
        <f>ABS(I$5-(6-'4JSON'!I302))</f>
        <v>0</v>
      </c>
      <c r="J308" s="41">
        <f>ABS(J$5-(6-'4JSON'!J302))</f>
        <v>0</v>
      </c>
      <c r="K308" s="41">
        <f>ABS(K$5-(6-'4JSON'!K302))</f>
        <v>0</v>
      </c>
      <c r="L308" s="41">
        <f>ABS(L$5-(6-'4JSON'!L302))</f>
        <v>0</v>
      </c>
      <c r="M308" s="36">
        <f t="shared" si="1"/>
        <v>5</v>
      </c>
      <c r="N308" s="42">
        <f t="shared" si="2"/>
        <v>0.8611111111</v>
      </c>
      <c r="S308" s="35">
        <f>IFERROR(__xludf.DUMMYFUNCTION("""COMPUTED_VALUE"""),7335.0)</f>
        <v>7335</v>
      </c>
    </row>
    <row r="309">
      <c r="A309" s="35">
        <f>'4JSON'!A303</f>
        <v>7311</v>
      </c>
      <c r="B309" s="25" t="str">
        <f>'4JSON'!B303</f>
        <v>Construction Millwrights and Industrial Mechanics (Except Textile)</v>
      </c>
      <c r="C309" s="41" t="str">
        <f>'4JSON'!C303</f>
        <v>Construction millwrights and industrial mechanics</v>
      </c>
      <c r="D309" s="41">
        <f>ABS(D$5-(6-'4JSON'!D303))</f>
        <v>1</v>
      </c>
      <c r="E309" s="41">
        <f>ABS(E$5-(6-'4JSON'!E303))</f>
        <v>1</v>
      </c>
      <c r="F309" s="41">
        <f>ABS(F$5-(6-'4JSON'!F303))</f>
        <v>0</v>
      </c>
      <c r="G309" s="41">
        <f>ABS(G$5-(6-'4JSON'!G303))</f>
        <v>1</v>
      </c>
      <c r="H309" s="41">
        <f>ABS(H$5-(6-'4JSON'!H303))</f>
        <v>1</v>
      </c>
      <c r="I309" s="41">
        <f>ABS(I$5-(6-'4JSON'!I303))</f>
        <v>1</v>
      </c>
      <c r="J309" s="41">
        <f>ABS(J$5-(6-'4JSON'!J303))</f>
        <v>0</v>
      </c>
      <c r="K309" s="41">
        <f>ABS(K$5-(6-'4JSON'!K303))</f>
        <v>0</v>
      </c>
      <c r="L309" s="41">
        <f>ABS(L$5-(6-'4JSON'!L303))</f>
        <v>0</v>
      </c>
      <c r="M309" s="36">
        <f t="shared" si="1"/>
        <v>5</v>
      </c>
      <c r="N309" s="42">
        <f t="shared" si="2"/>
        <v>0.8611111111</v>
      </c>
      <c r="S309" s="35">
        <f>IFERROR(__xludf.DUMMYFUNCTION("""COMPUTED_VALUE"""),9537.0)</f>
        <v>9537</v>
      </c>
    </row>
    <row r="310">
      <c r="A310" s="35">
        <f>'4JSON'!A304</f>
        <v>1423</v>
      </c>
      <c r="B310" s="25" t="str">
        <f>'4JSON'!B304</f>
        <v>Desktop Publishing Operators</v>
      </c>
      <c r="C310" s="41" t="str">
        <f>'4JSON'!C304</f>
        <v>Desktop publishing operators and related occupations</v>
      </c>
      <c r="D310" s="41">
        <f>ABS(D$5-(6-'4JSON'!D304))</f>
        <v>1</v>
      </c>
      <c r="E310" s="41">
        <f>ABS(E$5-(6-'4JSON'!E304))</f>
        <v>0</v>
      </c>
      <c r="F310" s="41">
        <f>ABS(F$5-(6-'4JSON'!F304))</f>
        <v>1</v>
      </c>
      <c r="G310" s="41">
        <f>ABS(G$5-(6-'4JSON'!G304))</f>
        <v>0</v>
      </c>
      <c r="H310" s="41">
        <f>ABS(H$5-(6-'4JSON'!H304))</f>
        <v>1</v>
      </c>
      <c r="I310" s="41">
        <f>ABS(I$5-(6-'4JSON'!I304))</f>
        <v>0</v>
      </c>
      <c r="J310" s="41">
        <f>ABS(J$5-(6-'4JSON'!J304))</f>
        <v>0</v>
      </c>
      <c r="K310" s="41">
        <f>ABS(K$5-(6-'4JSON'!K304))</f>
        <v>0</v>
      </c>
      <c r="L310" s="41">
        <f>ABS(L$5-(6-'4JSON'!L304))</f>
        <v>0</v>
      </c>
      <c r="M310" s="36">
        <f t="shared" si="1"/>
        <v>3</v>
      </c>
      <c r="N310" s="42">
        <f t="shared" si="2"/>
        <v>0.9166666667</v>
      </c>
      <c r="S310" s="35">
        <f>IFERROR(__xludf.DUMMYFUNCTION("""COMPUTED_VALUE"""),7294.0)</f>
        <v>7294</v>
      </c>
    </row>
    <row r="311">
      <c r="A311" s="35">
        <f>'4JSON'!A305</f>
        <v>2241</v>
      </c>
      <c r="B311" s="25" t="str">
        <f>'4JSON'!B305</f>
        <v>Electrical and Electronics Engineering Technicians</v>
      </c>
      <c r="C311" s="41" t="str">
        <f>'4JSON'!C305</f>
        <v>Electrical and electronics engineering technologists and technicians</v>
      </c>
      <c r="D311" s="41">
        <f>ABS(D$5-(6-'4JSON'!D305))</f>
        <v>2</v>
      </c>
      <c r="E311" s="41">
        <f>ABS(E$5-(6-'4JSON'!E305))</f>
        <v>0</v>
      </c>
      <c r="F311" s="41">
        <f>ABS(F$5-(6-'4JSON'!F305))</f>
        <v>0</v>
      </c>
      <c r="G311" s="41">
        <f>ABS(G$5-(6-'4JSON'!G305))</f>
        <v>1</v>
      </c>
      <c r="H311" s="41">
        <f>ABS(H$5-(6-'4JSON'!H305))</f>
        <v>0</v>
      </c>
      <c r="I311" s="41">
        <f>ABS(I$5-(6-'4JSON'!I305))</f>
        <v>0</v>
      </c>
      <c r="J311" s="41">
        <f>ABS(J$5-(6-'4JSON'!J305))</f>
        <v>0</v>
      </c>
      <c r="K311" s="41">
        <f>ABS(K$5-(6-'4JSON'!K305))</f>
        <v>0</v>
      </c>
      <c r="L311" s="41">
        <f>ABS(L$5-(6-'4JSON'!L305))</f>
        <v>0</v>
      </c>
      <c r="M311" s="36">
        <f t="shared" si="1"/>
        <v>3</v>
      </c>
      <c r="N311" s="42">
        <f t="shared" si="2"/>
        <v>0.9166666667</v>
      </c>
      <c r="S311" s="35">
        <f>IFERROR(__xludf.DUMMYFUNCTION("""COMPUTED_VALUE"""),1432.0)</f>
        <v>1432</v>
      </c>
    </row>
    <row r="312">
      <c r="A312" s="35">
        <f>'4JSON'!A306</f>
        <v>3223</v>
      </c>
      <c r="B312" s="25" t="str">
        <f>'4JSON'!B306</f>
        <v>Dental Laboratory Bench Workers</v>
      </c>
      <c r="C312" s="41" t="str">
        <f>'4JSON'!C306</f>
        <v>Dental technologists, technicians and laboratory assistants</v>
      </c>
      <c r="D312" s="41">
        <f>ABS(D$5-(6-'4JSON'!D306))</f>
        <v>1</v>
      </c>
      <c r="E312" s="41">
        <f>ABS(E$5-(6-'4JSON'!E306))</f>
        <v>1</v>
      </c>
      <c r="F312" s="41">
        <f>ABS(F$5-(6-'4JSON'!F306))</f>
        <v>1</v>
      </c>
      <c r="G312" s="41">
        <f>ABS(G$5-(6-'4JSON'!G306))</f>
        <v>0</v>
      </c>
      <c r="H312" s="41">
        <f>ABS(H$5-(6-'4JSON'!H306))</f>
        <v>1</v>
      </c>
      <c r="I312" s="41">
        <f>ABS(I$5-(6-'4JSON'!I306))</f>
        <v>1</v>
      </c>
      <c r="J312" s="41">
        <f>ABS(J$5-(6-'4JSON'!J306))</f>
        <v>0</v>
      </c>
      <c r="K312" s="41">
        <f>ABS(K$5-(6-'4JSON'!K306))</f>
        <v>0</v>
      </c>
      <c r="L312" s="41">
        <f>ABS(L$5-(6-'4JSON'!L306))</f>
        <v>0</v>
      </c>
      <c r="M312" s="36">
        <f t="shared" si="1"/>
        <v>5</v>
      </c>
      <c r="N312" s="42">
        <f t="shared" si="2"/>
        <v>0.8611111111</v>
      </c>
      <c r="S312" s="35">
        <f>IFERROR(__xludf.DUMMYFUNCTION("""COMPUTED_VALUE"""),9434.0)</f>
        <v>9434</v>
      </c>
    </row>
    <row r="313">
      <c r="A313" s="35">
        <f>'4JSON'!A307</f>
        <v>7244</v>
      </c>
      <c r="B313" s="25" t="str">
        <f>'4JSON'!B307</f>
        <v>Electrical Power Line and Cable Workers</v>
      </c>
      <c r="C313" s="41" t="str">
        <f>'4JSON'!C307</f>
        <v>Electrical power line and cable workers</v>
      </c>
      <c r="D313" s="41">
        <f>ABS(D$5-(6-'4JSON'!D307))</f>
        <v>1</v>
      </c>
      <c r="E313" s="41">
        <f>ABS(E$5-(6-'4JSON'!E307))</f>
        <v>0</v>
      </c>
      <c r="F313" s="41">
        <f>ABS(F$5-(6-'4JSON'!F307))</f>
        <v>1</v>
      </c>
      <c r="G313" s="41">
        <f>ABS(G$5-(6-'4JSON'!G307))</f>
        <v>0</v>
      </c>
      <c r="H313" s="41">
        <f>ABS(H$5-(6-'4JSON'!H307))</f>
        <v>1</v>
      </c>
      <c r="I313" s="41">
        <f>ABS(I$5-(6-'4JSON'!I307))</f>
        <v>1</v>
      </c>
      <c r="J313" s="41">
        <f>ABS(J$5-(6-'4JSON'!J307))</f>
        <v>1</v>
      </c>
      <c r="K313" s="41">
        <f>ABS(K$5-(6-'4JSON'!K307))</f>
        <v>0</v>
      </c>
      <c r="L313" s="41">
        <f>ABS(L$5-(6-'4JSON'!L307))</f>
        <v>0</v>
      </c>
      <c r="M313" s="36">
        <f t="shared" si="1"/>
        <v>5</v>
      </c>
      <c r="N313" s="42">
        <f t="shared" si="2"/>
        <v>0.8611111111</v>
      </c>
      <c r="S313" s="35">
        <f>IFERROR(__xludf.DUMMYFUNCTION("""COMPUTED_VALUE"""),9232.0)</f>
        <v>9232</v>
      </c>
    </row>
    <row r="314">
      <c r="A314" s="35">
        <f>'4JSON'!A308</f>
        <v>2242</v>
      </c>
      <c r="B314" s="25" t="str">
        <f>'4JSON'!B308</f>
        <v>Electronic Service Technicians (Household and Business Equipment)</v>
      </c>
      <c r="C314" s="41" t="str">
        <f>'4JSON'!C308</f>
        <v>Electronic service technicians (household and business equipment)</v>
      </c>
      <c r="D314" s="41">
        <f>ABS(D$5-(6-'4JSON'!D308))</f>
        <v>1</v>
      </c>
      <c r="E314" s="41">
        <f>ABS(E$5-(6-'4JSON'!E308))</f>
        <v>0</v>
      </c>
      <c r="F314" s="41">
        <f>ABS(F$5-(6-'4JSON'!F308))</f>
        <v>0</v>
      </c>
      <c r="G314" s="41">
        <f>ABS(G$5-(6-'4JSON'!G308))</f>
        <v>1</v>
      </c>
      <c r="H314" s="41">
        <f>ABS(H$5-(6-'4JSON'!H308))</f>
        <v>1</v>
      </c>
      <c r="I314" s="41">
        <f>ABS(I$5-(6-'4JSON'!I308))</f>
        <v>1</v>
      </c>
      <c r="J314" s="41">
        <f>ABS(J$5-(6-'4JSON'!J308))</f>
        <v>1</v>
      </c>
      <c r="K314" s="41">
        <f>ABS(K$5-(6-'4JSON'!K308))</f>
        <v>1</v>
      </c>
      <c r="L314" s="41">
        <f>ABS(L$5-(6-'4JSON'!L308))</f>
        <v>1</v>
      </c>
      <c r="M314" s="36">
        <f t="shared" si="1"/>
        <v>7</v>
      </c>
      <c r="N314" s="42">
        <f t="shared" si="2"/>
        <v>0.8055555556</v>
      </c>
      <c r="S314" s="35">
        <f>IFERROR(__xludf.DUMMYFUNCTION("""COMPUTED_VALUE"""),9435.0)</f>
        <v>9435</v>
      </c>
    </row>
    <row r="315">
      <c r="A315" s="35">
        <f>'4JSON'!A309</f>
        <v>9523</v>
      </c>
      <c r="B315" s="25" t="str">
        <f>'4JSON'!B309</f>
        <v>Electronics Assemblers</v>
      </c>
      <c r="C315" s="41" t="str">
        <f>'4JSON'!C309</f>
        <v>Electronics assemblers, fabricators, inspectors and testers</v>
      </c>
      <c r="D315" s="41">
        <f>ABS(D$5-(6-'4JSON'!D309))</f>
        <v>1</v>
      </c>
      <c r="E315" s="41">
        <f>ABS(E$5-(6-'4JSON'!E309))</f>
        <v>1</v>
      </c>
      <c r="F315" s="41">
        <f>ABS(F$5-(6-'4JSON'!F309))</f>
        <v>1</v>
      </c>
      <c r="G315" s="41">
        <f>ABS(G$5-(6-'4JSON'!G309))</f>
        <v>0</v>
      </c>
      <c r="H315" s="41">
        <f>ABS(H$5-(6-'4JSON'!H309))</f>
        <v>1</v>
      </c>
      <c r="I315" s="41">
        <f>ABS(I$5-(6-'4JSON'!I309))</f>
        <v>1</v>
      </c>
      <c r="J315" s="41">
        <f>ABS(J$5-(6-'4JSON'!J309))</f>
        <v>2</v>
      </c>
      <c r="K315" s="41">
        <f>ABS(K$5-(6-'4JSON'!K309))</f>
        <v>2</v>
      </c>
      <c r="L315" s="41">
        <f>ABS(L$5-(6-'4JSON'!L309))</f>
        <v>2</v>
      </c>
      <c r="M315" s="36">
        <f t="shared" si="1"/>
        <v>11</v>
      </c>
      <c r="N315" s="42">
        <f t="shared" si="2"/>
        <v>0.6944444444</v>
      </c>
      <c r="S315" s="35">
        <f>IFERROR(__xludf.DUMMYFUNCTION("""COMPUTED_VALUE"""),4311.0)</f>
        <v>4311</v>
      </c>
    </row>
    <row r="316">
      <c r="A316" s="35">
        <f>'4JSON'!A310</f>
        <v>7333</v>
      </c>
      <c r="B316" s="25" t="str">
        <f>'4JSON'!B310</f>
        <v>Electrical Mechanics</v>
      </c>
      <c r="C316" s="41" t="str">
        <f>'4JSON'!C310</f>
        <v>Electrical mechanics</v>
      </c>
      <c r="D316" s="41">
        <f>ABS(D$5-(6-'4JSON'!D310))</f>
        <v>1</v>
      </c>
      <c r="E316" s="41">
        <f>ABS(E$5-(6-'4JSON'!E310))</f>
        <v>1</v>
      </c>
      <c r="F316" s="41">
        <f>ABS(F$5-(6-'4JSON'!F310))</f>
        <v>1</v>
      </c>
      <c r="G316" s="41">
        <f>ABS(G$5-(6-'4JSON'!G310))</f>
        <v>0</v>
      </c>
      <c r="H316" s="41">
        <f>ABS(H$5-(6-'4JSON'!H310))</f>
        <v>1</v>
      </c>
      <c r="I316" s="41">
        <f>ABS(I$5-(6-'4JSON'!I310))</f>
        <v>1</v>
      </c>
      <c r="J316" s="41">
        <f>ABS(J$5-(6-'4JSON'!J310))</f>
        <v>0</v>
      </c>
      <c r="K316" s="41">
        <f>ABS(K$5-(6-'4JSON'!K310))</f>
        <v>0</v>
      </c>
      <c r="L316" s="41">
        <f>ABS(L$5-(6-'4JSON'!L310))</f>
        <v>0</v>
      </c>
      <c r="M316" s="36">
        <f t="shared" si="1"/>
        <v>5</v>
      </c>
      <c r="N316" s="42">
        <f t="shared" si="2"/>
        <v>0.8611111111</v>
      </c>
      <c r="S316" s="35">
        <f>IFERROR(__xludf.DUMMYFUNCTION("""COMPUTED_VALUE"""),6563.0)</f>
        <v>6563</v>
      </c>
    </row>
    <row r="317">
      <c r="A317" s="35">
        <f>'4JSON'!A311</f>
        <v>9523</v>
      </c>
      <c r="B317" s="25" t="str">
        <f>'4JSON'!B311</f>
        <v>Electronics Fabricators</v>
      </c>
      <c r="C317" s="41" t="str">
        <f>'4JSON'!C311</f>
        <v>Electronics assemblers, fabricators, inspectors and testers</v>
      </c>
      <c r="D317" s="41">
        <f>ABS(D$5-(6-'4JSON'!D311))</f>
        <v>1</v>
      </c>
      <c r="E317" s="41">
        <f>ABS(E$5-(6-'4JSON'!E311))</f>
        <v>1</v>
      </c>
      <c r="F317" s="41">
        <f>ABS(F$5-(6-'4JSON'!F311))</f>
        <v>1</v>
      </c>
      <c r="G317" s="41">
        <f>ABS(G$5-(6-'4JSON'!G311))</f>
        <v>0</v>
      </c>
      <c r="H317" s="41">
        <f>ABS(H$5-(6-'4JSON'!H311))</f>
        <v>1</v>
      </c>
      <c r="I317" s="41">
        <f>ABS(I$5-(6-'4JSON'!I311))</f>
        <v>1</v>
      </c>
      <c r="J317" s="41">
        <f>ABS(J$5-(6-'4JSON'!J311))</f>
        <v>0</v>
      </c>
      <c r="K317" s="41">
        <f>ABS(K$5-(6-'4JSON'!K311))</f>
        <v>0</v>
      </c>
      <c r="L317" s="41">
        <f>ABS(L$5-(6-'4JSON'!L311))</f>
        <v>0</v>
      </c>
      <c r="M317" s="36">
        <f t="shared" si="1"/>
        <v>5</v>
      </c>
      <c r="N317" s="42">
        <f t="shared" si="2"/>
        <v>0.8611111111</v>
      </c>
      <c r="S317" s="35">
        <f>IFERROR(__xludf.DUMMYFUNCTION("""COMPUTED_VALUE"""),1241.0)</f>
        <v>1241</v>
      </c>
    </row>
    <row r="318">
      <c r="A318" s="35">
        <f>'4JSON'!A312</f>
        <v>5243</v>
      </c>
      <c r="B318" s="25" t="str">
        <f>'4JSON'!B312</f>
        <v>Exhibit Designers</v>
      </c>
      <c r="C318" s="41" t="str">
        <f>'4JSON'!C312</f>
        <v>Theatre, fashion, exhibit and other creative designers</v>
      </c>
      <c r="D318" s="41">
        <f>ABS(D$5-(6-'4JSON'!D312))</f>
        <v>2</v>
      </c>
      <c r="E318" s="41">
        <f>ABS(E$5-(6-'4JSON'!E312))</f>
        <v>0</v>
      </c>
      <c r="F318" s="41">
        <f>ABS(F$5-(6-'4JSON'!F312))</f>
        <v>0</v>
      </c>
      <c r="G318" s="41">
        <f>ABS(G$5-(6-'4JSON'!G312))</f>
        <v>1</v>
      </c>
      <c r="H318" s="41">
        <f>ABS(H$5-(6-'4JSON'!H312))</f>
        <v>1</v>
      </c>
      <c r="I318" s="41">
        <f>ABS(I$5-(6-'4JSON'!I312))</f>
        <v>1</v>
      </c>
      <c r="J318" s="41">
        <f>ABS(J$5-(6-'4JSON'!J312))</f>
        <v>0</v>
      </c>
      <c r="K318" s="41">
        <f>ABS(K$5-(6-'4JSON'!K312))</f>
        <v>0</v>
      </c>
      <c r="L318" s="41">
        <f>ABS(L$5-(6-'4JSON'!L312))</f>
        <v>0</v>
      </c>
      <c r="M318" s="36">
        <f t="shared" si="1"/>
        <v>5</v>
      </c>
      <c r="N318" s="42">
        <f t="shared" si="2"/>
        <v>0.8611111111</v>
      </c>
      <c r="S318" s="35">
        <f>IFERROR(__xludf.DUMMYFUNCTION("""COMPUTED_VALUE"""),9471.0)</f>
        <v>9471</v>
      </c>
    </row>
    <row r="319">
      <c r="A319" s="35">
        <f>'4JSON'!A313</f>
        <v>9472</v>
      </c>
      <c r="B319" s="25" t="str">
        <f>'4JSON'!B313</f>
        <v>File Preparation Operators</v>
      </c>
      <c r="C319" s="41" t="str">
        <f>'4JSON'!C313</f>
        <v>Camera, platemaking and other prepress occupations</v>
      </c>
      <c r="D319" s="41">
        <f>ABS(D$5-(6-'4JSON'!D313))</f>
        <v>1</v>
      </c>
      <c r="E319" s="41">
        <f>ABS(E$5-(6-'4JSON'!E313))</f>
        <v>0</v>
      </c>
      <c r="F319" s="41">
        <f>ABS(F$5-(6-'4JSON'!F313))</f>
        <v>1</v>
      </c>
      <c r="G319" s="41">
        <f>ABS(G$5-(6-'4JSON'!G313))</f>
        <v>0</v>
      </c>
      <c r="H319" s="41">
        <f>ABS(H$5-(6-'4JSON'!H313))</f>
        <v>1</v>
      </c>
      <c r="I319" s="41">
        <f>ABS(I$5-(6-'4JSON'!I313))</f>
        <v>0</v>
      </c>
      <c r="J319" s="41">
        <f>ABS(J$5-(6-'4JSON'!J313))</f>
        <v>0</v>
      </c>
      <c r="K319" s="41">
        <f>ABS(K$5-(6-'4JSON'!K313))</f>
        <v>0</v>
      </c>
      <c r="L319" s="41">
        <f>ABS(L$5-(6-'4JSON'!L313))</f>
        <v>0</v>
      </c>
      <c r="M319" s="36">
        <f t="shared" si="1"/>
        <v>3</v>
      </c>
      <c r="N319" s="42">
        <f t="shared" si="2"/>
        <v>0.9166666667</v>
      </c>
      <c r="S319" s="35">
        <f>IFERROR(__xludf.DUMMYFUNCTION("""COMPUTED_VALUE"""),5253.0)</f>
        <v>5253</v>
      </c>
    </row>
    <row r="320">
      <c r="A320" s="35">
        <f>'4JSON'!A314</f>
        <v>2271</v>
      </c>
      <c r="B320" s="25" t="str">
        <f>'4JSON'!B314</f>
        <v>Flight Engineers (Second Officers)</v>
      </c>
      <c r="C320" s="41" t="str">
        <f>'4JSON'!C314</f>
        <v>Air pilots, flight engineers and flying instructors</v>
      </c>
      <c r="D320" s="41">
        <f>ABS(D$5-(6-'4JSON'!D314))</f>
        <v>2</v>
      </c>
      <c r="E320" s="41">
        <f>ABS(E$5-(6-'4JSON'!E314))</f>
        <v>1</v>
      </c>
      <c r="F320" s="41">
        <f>ABS(F$5-(6-'4JSON'!F314))</f>
        <v>1</v>
      </c>
      <c r="G320" s="41">
        <f>ABS(G$5-(6-'4JSON'!G314))</f>
        <v>2</v>
      </c>
      <c r="H320" s="41">
        <f>ABS(H$5-(6-'4JSON'!H314))</f>
        <v>0</v>
      </c>
      <c r="I320" s="41">
        <f>ABS(I$5-(6-'4JSON'!I314))</f>
        <v>0</v>
      </c>
      <c r="J320" s="41">
        <f>ABS(J$5-(6-'4JSON'!J314))</f>
        <v>1</v>
      </c>
      <c r="K320" s="41">
        <f>ABS(K$5-(6-'4JSON'!K314))</f>
        <v>0</v>
      </c>
      <c r="L320" s="41">
        <f>ABS(L$5-(6-'4JSON'!L314))</f>
        <v>0</v>
      </c>
      <c r="M320" s="36">
        <f t="shared" si="1"/>
        <v>7</v>
      </c>
      <c r="N320" s="42">
        <f t="shared" si="2"/>
        <v>0.8055555556</v>
      </c>
      <c r="S320" s="35">
        <f>IFERROR(__xludf.DUMMYFUNCTION("""COMPUTED_VALUE"""),7522.0)</f>
        <v>7522</v>
      </c>
    </row>
    <row r="321">
      <c r="A321" s="35">
        <f>'4JSON'!A315</f>
        <v>2271</v>
      </c>
      <c r="B321" s="25" t="str">
        <f>'4JSON'!B315</f>
        <v>Flying Instructors</v>
      </c>
      <c r="C321" s="41" t="str">
        <f>'4JSON'!C315</f>
        <v>Air pilots, flight engineers and flying instructors</v>
      </c>
      <c r="D321" s="41">
        <f>ABS(D$5-(6-'4JSON'!D315))</f>
        <v>2</v>
      </c>
      <c r="E321" s="41">
        <f>ABS(E$5-(6-'4JSON'!E315))</f>
        <v>1</v>
      </c>
      <c r="F321" s="41">
        <f>ABS(F$5-(6-'4JSON'!F315))</f>
        <v>1</v>
      </c>
      <c r="G321" s="41">
        <f>ABS(G$5-(6-'4JSON'!G315))</f>
        <v>2</v>
      </c>
      <c r="H321" s="41">
        <f>ABS(H$5-(6-'4JSON'!H315))</f>
        <v>0</v>
      </c>
      <c r="I321" s="41">
        <f>ABS(I$5-(6-'4JSON'!I315))</f>
        <v>0</v>
      </c>
      <c r="J321" s="41">
        <f>ABS(J$5-(6-'4JSON'!J315))</f>
        <v>1</v>
      </c>
      <c r="K321" s="41">
        <f>ABS(K$5-(6-'4JSON'!K315))</f>
        <v>0</v>
      </c>
      <c r="L321" s="41">
        <f>ABS(L$5-(6-'4JSON'!L315))</f>
        <v>0</v>
      </c>
      <c r="M321" s="36">
        <f t="shared" si="1"/>
        <v>7</v>
      </c>
      <c r="N321" s="42">
        <f t="shared" si="2"/>
        <v>0.8055555556</v>
      </c>
      <c r="S321" s="35">
        <f>IFERROR(__xludf.DUMMYFUNCTION("""COMPUTED_VALUE"""),8422.0)</f>
        <v>8422</v>
      </c>
    </row>
    <row r="322">
      <c r="A322" s="35">
        <f>'4JSON'!A316</f>
        <v>2223</v>
      </c>
      <c r="B322" s="25" t="str">
        <f>'4JSON'!B316</f>
        <v>Forestry Technologists and Technicians</v>
      </c>
      <c r="C322" s="41" t="str">
        <f>'4JSON'!C316</f>
        <v>Forestry technologists and technicians</v>
      </c>
      <c r="D322" s="41">
        <f>ABS(D$5-(6-'4JSON'!D316))</f>
        <v>2</v>
      </c>
      <c r="E322" s="41">
        <f>ABS(E$5-(6-'4JSON'!E316))</f>
        <v>0</v>
      </c>
      <c r="F322" s="41">
        <f>ABS(F$5-(6-'4JSON'!F316))</f>
        <v>0</v>
      </c>
      <c r="G322" s="41">
        <f>ABS(G$5-(6-'4JSON'!G316))</f>
        <v>0</v>
      </c>
      <c r="H322" s="41">
        <f>ABS(H$5-(6-'4JSON'!H316))</f>
        <v>1</v>
      </c>
      <c r="I322" s="41">
        <f>ABS(I$5-(6-'4JSON'!I316))</f>
        <v>0</v>
      </c>
      <c r="J322" s="41">
        <f>ABS(J$5-(6-'4JSON'!J316))</f>
        <v>0</v>
      </c>
      <c r="K322" s="41">
        <f>ABS(K$5-(6-'4JSON'!K316))</f>
        <v>0</v>
      </c>
      <c r="L322" s="41">
        <f>ABS(L$5-(6-'4JSON'!L316))</f>
        <v>0</v>
      </c>
      <c r="M322" s="36">
        <f t="shared" si="1"/>
        <v>3</v>
      </c>
      <c r="N322" s="42">
        <f t="shared" si="2"/>
        <v>0.9166666667</v>
      </c>
      <c r="S322" s="35">
        <f>IFERROR(__xludf.DUMMYFUNCTION("""COMPUTED_VALUE"""),9223.0)</f>
        <v>9223</v>
      </c>
    </row>
    <row r="323">
      <c r="A323" s="35">
        <f>'4JSON'!A317</f>
        <v>5241</v>
      </c>
      <c r="B323" s="25" t="str">
        <f>'4JSON'!B317</f>
        <v>Graphic Designers</v>
      </c>
      <c r="C323" s="41" t="str">
        <f>'4JSON'!C317</f>
        <v>Graphic designers and illustrators</v>
      </c>
      <c r="D323" s="41">
        <f>ABS(D$5-(6-'4JSON'!D317))</f>
        <v>2</v>
      </c>
      <c r="E323" s="41">
        <f>ABS(E$5-(6-'4JSON'!E317))</f>
        <v>0</v>
      </c>
      <c r="F323" s="41">
        <f>ABS(F$5-(6-'4JSON'!F317))</f>
        <v>0</v>
      </c>
      <c r="G323" s="41">
        <f>ABS(G$5-(6-'4JSON'!G317))</f>
        <v>1</v>
      </c>
      <c r="H323" s="41">
        <f>ABS(H$5-(6-'4JSON'!H317))</f>
        <v>0</v>
      </c>
      <c r="I323" s="41">
        <f>ABS(I$5-(6-'4JSON'!I317))</f>
        <v>0</v>
      </c>
      <c r="J323" s="41">
        <f>ABS(J$5-(6-'4JSON'!J317))</f>
        <v>1</v>
      </c>
      <c r="K323" s="41">
        <f>ABS(K$5-(6-'4JSON'!K317))</f>
        <v>1</v>
      </c>
      <c r="L323" s="41">
        <f>ABS(L$5-(6-'4JSON'!L317))</f>
        <v>0</v>
      </c>
      <c r="M323" s="36">
        <f t="shared" si="1"/>
        <v>5</v>
      </c>
      <c r="N323" s="42">
        <f t="shared" si="2"/>
        <v>0.8611111111</v>
      </c>
      <c r="S323" s="35">
        <f>IFERROR(__xludf.DUMMYFUNCTION("""COMPUTED_VALUE"""),9222.0)</f>
        <v>9222</v>
      </c>
    </row>
    <row r="324">
      <c r="A324" s="35">
        <f>'4JSON'!A318</f>
        <v>6346</v>
      </c>
      <c r="B324" s="25" t="str">
        <f>'4JSON'!B318</f>
        <v>Embalmers</v>
      </c>
      <c r="C324" s="41" t="str">
        <f>'4JSON'!C318</f>
        <v>Funeral directors and embalmers</v>
      </c>
      <c r="D324" s="41">
        <f>ABS(D$5-(6-'4JSON'!D318))</f>
        <v>1</v>
      </c>
      <c r="E324" s="41">
        <f>ABS(E$5-(6-'4JSON'!E318))</f>
        <v>1</v>
      </c>
      <c r="F324" s="41">
        <f>ABS(F$5-(6-'4JSON'!F318))</f>
        <v>1</v>
      </c>
      <c r="G324" s="41">
        <f>ABS(G$5-(6-'4JSON'!G318))</f>
        <v>0</v>
      </c>
      <c r="H324" s="41">
        <f>ABS(H$5-(6-'4JSON'!H318))</f>
        <v>1</v>
      </c>
      <c r="I324" s="41">
        <f>ABS(I$5-(6-'4JSON'!I318))</f>
        <v>1</v>
      </c>
      <c r="J324" s="41">
        <f>ABS(J$5-(6-'4JSON'!J318))</f>
        <v>0</v>
      </c>
      <c r="K324" s="41">
        <f>ABS(K$5-(6-'4JSON'!K318))</f>
        <v>0</v>
      </c>
      <c r="L324" s="41">
        <f>ABS(L$5-(6-'4JSON'!L318))</f>
        <v>0</v>
      </c>
      <c r="M324" s="36">
        <f t="shared" si="1"/>
        <v>5</v>
      </c>
      <c r="N324" s="42">
        <f t="shared" si="2"/>
        <v>0.8611111111</v>
      </c>
      <c r="S324" s="35">
        <f>IFERROR(__xludf.DUMMYFUNCTION("""COMPUTED_VALUE"""),9215.0)</f>
        <v>9215</v>
      </c>
    </row>
    <row r="325">
      <c r="A325" s="35">
        <f>'4JSON'!A319</f>
        <v>5241</v>
      </c>
      <c r="B325" s="25" t="str">
        <f>'4JSON'!B319</f>
        <v>Illustrators</v>
      </c>
      <c r="C325" s="41" t="str">
        <f>'4JSON'!C319</f>
        <v>Graphic designers and illustrators</v>
      </c>
      <c r="D325" s="41">
        <f>ABS(D$5-(6-'4JSON'!D319))</f>
        <v>2</v>
      </c>
      <c r="E325" s="41">
        <f>ABS(E$5-(6-'4JSON'!E319))</f>
        <v>0</v>
      </c>
      <c r="F325" s="41">
        <f>ABS(F$5-(6-'4JSON'!F319))</f>
        <v>0</v>
      </c>
      <c r="G325" s="41">
        <f>ABS(G$5-(6-'4JSON'!G319))</f>
        <v>1</v>
      </c>
      <c r="H325" s="41">
        <f>ABS(H$5-(6-'4JSON'!H319))</f>
        <v>0</v>
      </c>
      <c r="I325" s="41">
        <f>ABS(I$5-(6-'4JSON'!I319))</f>
        <v>0</v>
      </c>
      <c r="J325" s="41">
        <f>ABS(J$5-(6-'4JSON'!J319))</f>
        <v>1</v>
      </c>
      <c r="K325" s="41">
        <f>ABS(K$5-(6-'4JSON'!K319))</f>
        <v>1</v>
      </c>
      <c r="L325" s="41">
        <f>ABS(L$5-(6-'4JSON'!L319))</f>
        <v>0</v>
      </c>
      <c r="M325" s="36">
        <f t="shared" si="1"/>
        <v>5</v>
      </c>
      <c r="N325" s="42">
        <f t="shared" si="2"/>
        <v>0.8611111111</v>
      </c>
      <c r="S325" s="35">
        <f>IFERROR(__xludf.DUMMYFUNCTION("""COMPUTED_VALUE"""),9211.0)</f>
        <v>9211</v>
      </c>
    </row>
    <row r="326">
      <c r="A326" s="35">
        <f>'4JSON'!A320</f>
        <v>2225</v>
      </c>
      <c r="B326" s="25" t="str">
        <f>'4JSON'!B320</f>
        <v>Landscape Designers and Landscape Architectural Technicians and Technologists</v>
      </c>
      <c r="C326" s="41" t="str">
        <f>'4JSON'!C320</f>
        <v>Landscape and horticulture technicians and specialists</v>
      </c>
      <c r="D326" s="41">
        <f>ABS(D$5-(6-'4JSON'!D320))</f>
        <v>2</v>
      </c>
      <c r="E326" s="41">
        <f>ABS(E$5-(6-'4JSON'!E320))</f>
        <v>0</v>
      </c>
      <c r="F326" s="41">
        <f>ABS(F$5-(6-'4JSON'!F320))</f>
        <v>0</v>
      </c>
      <c r="G326" s="41">
        <f>ABS(G$5-(6-'4JSON'!G320))</f>
        <v>1</v>
      </c>
      <c r="H326" s="41">
        <f>ABS(H$5-(6-'4JSON'!H320))</f>
        <v>1</v>
      </c>
      <c r="I326" s="41">
        <f>ABS(I$5-(6-'4JSON'!I320))</f>
        <v>1</v>
      </c>
      <c r="J326" s="41">
        <f>ABS(J$5-(6-'4JSON'!J320))</f>
        <v>0</v>
      </c>
      <c r="K326" s="41">
        <f>ABS(K$5-(6-'4JSON'!K320))</f>
        <v>0</v>
      </c>
      <c r="L326" s="41">
        <f>ABS(L$5-(6-'4JSON'!L320))</f>
        <v>0</v>
      </c>
      <c r="M326" s="36">
        <f t="shared" si="1"/>
        <v>5</v>
      </c>
      <c r="N326" s="42">
        <f t="shared" si="2"/>
        <v>0.8611111111</v>
      </c>
      <c r="S326" s="35">
        <f>IFERROR(__xludf.DUMMYFUNCTION("""COMPUTED_VALUE"""),7305.0)</f>
        <v>7305</v>
      </c>
    </row>
    <row r="327">
      <c r="A327" s="35">
        <f>'4JSON'!A321</f>
        <v>7384</v>
      </c>
      <c r="B327" s="25" t="str">
        <f>'4JSON'!B321</f>
        <v>Gunsmiths</v>
      </c>
      <c r="C327" s="41" t="str">
        <f>'4JSON'!C321</f>
        <v>Other trades and related occupations, n.e.c.</v>
      </c>
      <c r="D327" s="41">
        <f>ABS(D$5-(6-'4JSON'!D321))</f>
        <v>1</v>
      </c>
      <c r="E327" s="41">
        <f>ABS(E$5-(6-'4JSON'!E321))</f>
        <v>1</v>
      </c>
      <c r="F327" s="41">
        <f>ABS(F$5-(6-'4JSON'!F321))</f>
        <v>1</v>
      </c>
      <c r="G327" s="41">
        <f>ABS(G$5-(6-'4JSON'!G321))</f>
        <v>0</v>
      </c>
      <c r="H327" s="41">
        <f>ABS(H$5-(6-'4JSON'!H321))</f>
        <v>1</v>
      </c>
      <c r="I327" s="41">
        <f>ABS(I$5-(6-'4JSON'!I321))</f>
        <v>1</v>
      </c>
      <c r="J327" s="41">
        <f>ABS(J$5-(6-'4JSON'!J321))</f>
        <v>0</v>
      </c>
      <c r="K327" s="41">
        <f>ABS(K$5-(6-'4JSON'!K321))</f>
        <v>0</v>
      </c>
      <c r="L327" s="41">
        <f>ABS(L$5-(6-'4JSON'!L321))</f>
        <v>0</v>
      </c>
      <c r="M327" s="36">
        <f t="shared" si="1"/>
        <v>5</v>
      </c>
      <c r="N327" s="42">
        <f t="shared" si="2"/>
        <v>0.8611111111</v>
      </c>
      <c r="S327" s="35">
        <f>IFERROR(__xludf.DUMMYFUNCTION("""COMPUTED_VALUE"""),9227.0)</f>
        <v>9227</v>
      </c>
    </row>
    <row r="328">
      <c r="A328" s="35">
        <f>'4JSON'!A322</f>
        <v>1423</v>
      </c>
      <c r="B328" s="25" t="str">
        <f>'4JSON'!B322</f>
        <v>Markup Persons</v>
      </c>
      <c r="C328" s="41" t="str">
        <f>'4JSON'!C322</f>
        <v>Desktop publishing operators and related occupations</v>
      </c>
      <c r="D328" s="41">
        <f>ABS(D$5-(6-'4JSON'!D322))</f>
        <v>1</v>
      </c>
      <c r="E328" s="41">
        <f>ABS(E$5-(6-'4JSON'!E322))</f>
        <v>0</v>
      </c>
      <c r="F328" s="41">
        <f>ABS(F$5-(6-'4JSON'!F322))</f>
        <v>1</v>
      </c>
      <c r="G328" s="41">
        <f>ABS(G$5-(6-'4JSON'!G322))</f>
        <v>0</v>
      </c>
      <c r="H328" s="41">
        <f>ABS(H$5-(6-'4JSON'!H322))</f>
        <v>1</v>
      </c>
      <c r="I328" s="41">
        <f>ABS(I$5-(6-'4JSON'!I322))</f>
        <v>0</v>
      </c>
      <c r="J328" s="41">
        <f>ABS(J$5-(6-'4JSON'!J322))</f>
        <v>0</v>
      </c>
      <c r="K328" s="41">
        <f>ABS(K$5-(6-'4JSON'!K322))</f>
        <v>0</v>
      </c>
      <c r="L328" s="41">
        <f>ABS(L$5-(6-'4JSON'!L322))</f>
        <v>0</v>
      </c>
      <c r="M328" s="36">
        <f t="shared" si="1"/>
        <v>3</v>
      </c>
      <c r="N328" s="42">
        <f t="shared" si="2"/>
        <v>0.9166666667</v>
      </c>
      <c r="S328" s="35">
        <f>IFERROR(__xludf.DUMMYFUNCTION("""COMPUTED_VALUE"""),9212.0)</f>
        <v>9212</v>
      </c>
    </row>
    <row r="329">
      <c r="A329" s="35">
        <f>'4JSON'!A323</f>
        <v>7312</v>
      </c>
      <c r="B329" s="25" t="str">
        <f>'4JSON'!B323</f>
        <v>Heavy-Duty Equipment Mechanics</v>
      </c>
      <c r="C329" s="41" t="str">
        <f>'4JSON'!C323</f>
        <v>Heavy-duty equipment mechanics</v>
      </c>
      <c r="D329" s="41">
        <f>ABS(D$5-(6-'4JSON'!D323))</f>
        <v>1</v>
      </c>
      <c r="E329" s="41">
        <f>ABS(E$5-(6-'4JSON'!E323))</f>
        <v>1</v>
      </c>
      <c r="F329" s="41">
        <f>ABS(F$5-(6-'4JSON'!F323))</f>
        <v>0</v>
      </c>
      <c r="G329" s="41">
        <f>ABS(G$5-(6-'4JSON'!G323))</f>
        <v>0</v>
      </c>
      <c r="H329" s="41">
        <f>ABS(H$5-(6-'4JSON'!H323))</f>
        <v>0</v>
      </c>
      <c r="I329" s="41">
        <f>ABS(I$5-(6-'4JSON'!I323))</f>
        <v>1</v>
      </c>
      <c r="J329" s="41">
        <f>ABS(J$5-(6-'4JSON'!J323))</f>
        <v>0</v>
      </c>
      <c r="K329" s="41">
        <f>ABS(K$5-(6-'4JSON'!K323))</f>
        <v>0</v>
      </c>
      <c r="L329" s="41">
        <f>ABS(L$5-(6-'4JSON'!L323))</f>
        <v>0</v>
      </c>
      <c r="M329" s="36">
        <f t="shared" si="1"/>
        <v>3</v>
      </c>
      <c r="N329" s="42">
        <f t="shared" si="2"/>
        <v>0.9166666667</v>
      </c>
      <c r="S329" s="35">
        <f>IFERROR(__xludf.DUMMYFUNCTION("""COMPUTED_VALUE"""),1522.0)</f>
        <v>1522</v>
      </c>
    </row>
    <row r="330">
      <c r="A330" s="35">
        <f>'4JSON'!A324</f>
        <v>9412</v>
      </c>
      <c r="B330" s="25" t="str">
        <f>'4JSON'!B324</f>
        <v>Manual Mouldmakers</v>
      </c>
      <c r="C330" s="41" t="str">
        <f>'4JSON'!C324</f>
        <v>Foundry workers</v>
      </c>
      <c r="D330" s="41">
        <f>ABS(D$5-(6-'4JSON'!D324))</f>
        <v>1</v>
      </c>
      <c r="E330" s="41">
        <f>ABS(E$5-(6-'4JSON'!E324))</f>
        <v>1</v>
      </c>
      <c r="F330" s="41">
        <f>ABS(F$5-(6-'4JSON'!F324))</f>
        <v>1</v>
      </c>
      <c r="G330" s="41">
        <f>ABS(G$5-(6-'4JSON'!G324))</f>
        <v>0</v>
      </c>
      <c r="H330" s="41">
        <f>ABS(H$5-(6-'4JSON'!H324))</f>
        <v>1</v>
      </c>
      <c r="I330" s="41">
        <f>ABS(I$5-(6-'4JSON'!I324))</f>
        <v>1</v>
      </c>
      <c r="J330" s="41">
        <f>ABS(J$5-(6-'4JSON'!J324))</f>
        <v>0</v>
      </c>
      <c r="K330" s="41">
        <f>ABS(K$5-(6-'4JSON'!K324))</f>
        <v>0</v>
      </c>
      <c r="L330" s="41">
        <f>ABS(L$5-(6-'4JSON'!L324))</f>
        <v>0</v>
      </c>
      <c r="M330" s="36">
        <f t="shared" si="1"/>
        <v>5</v>
      </c>
      <c r="N330" s="42">
        <f t="shared" si="2"/>
        <v>0.8611111111</v>
      </c>
      <c r="S330" s="35">
        <f>IFERROR(__xludf.DUMMYFUNCTION("""COMPUTED_VALUE"""),9243.0)</f>
        <v>9243</v>
      </c>
    </row>
    <row r="331">
      <c r="A331" s="35">
        <f>'4JSON'!A325</f>
        <v>7322</v>
      </c>
      <c r="B331" s="25" t="str">
        <f>'4JSON'!B325</f>
        <v>Motor Vehicle Body Repairers</v>
      </c>
      <c r="C331" s="41" t="str">
        <f>'4JSON'!C325</f>
        <v>Motor vehicle body repairers</v>
      </c>
      <c r="D331" s="41">
        <f>ABS(D$5-(6-'4JSON'!D325))</f>
        <v>1</v>
      </c>
      <c r="E331" s="41">
        <f>ABS(E$5-(6-'4JSON'!E325))</f>
        <v>1</v>
      </c>
      <c r="F331" s="41">
        <f>ABS(F$5-(6-'4JSON'!F325))</f>
        <v>1</v>
      </c>
      <c r="G331" s="41">
        <f>ABS(G$5-(6-'4JSON'!G325))</f>
        <v>0</v>
      </c>
      <c r="H331" s="41">
        <f>ABS(H$5-(6-'4JSON'!H325))</f>
        <v>1</v>
      </c>
      <c r="I331" s="41">
        <f>ABS(I$5-(6-'4JSON'!I325))</f>
        <v>1</v>
      </c>
      <c r="J331" s="41">
        <f>ABS(J$5-(6-'4JSON'!J325))</f>
        <v>0</v>
      </c>
      <c r="K331" s="41">
        <f>ABS(K$5-(6-'4JSON'!K325))</f>
        <v>0</v>
      </c>
      <c r="L331" s="41">
        <f>ABS(L$5-(6-'4JSON'!L325))</f>
        <v>0</v>
      </c>
      <c r="M331" s="36">
        <f t="shared" si="1"/>
        <v>5</v>
      </c>
      <c r="N331" s="42">
        <f t="shared" si="2"/>
        <v>0.8611111111</v>
      </c>
      <c r="S331" s="35">
        <f>IFERROR(__xludf.DUMMYFUNCTION("""COMPUTED_VALUE"""),7373.0)</f>
        <v>7373</v>
      </c>
    </row>
    <row r="332">
      <c r="A332" s="35">
        <f>'4JSON'!A326</f>
        <v>7331</v>
      </c>
      <c r="B332" s="25" t="str">
        <f>'4JSON'!B326</f>
        <v>Oil and Solid Fuel Heating Mechanics</v>
      </c>
      <c r="C332" s="41" t="str">
        <f>'4JSON'!C326</f>
        <v>Oil and solid fuel heating mechanics</v>
      </c>
      <c r="D332" s="41">
        <f>ABS(D$5-(6-'4JSON'!D326))</f>
        <v>1</v>
      </c>
      <c r="E332" s="41">
        <f>ABS(E$5-(6-'4JSON'!E326))</f>
        <v>1</v>
      </c>
      <c r="F332" s="41">
        <f>ABS(F$5-(6-'4JSON'!F326))</f>
        <v>1</v>
      </c>
      <c r="G332" s="41">
        <f>ABS(G$5-(6-'4JSON'!G326))</f>
        <v>0</v>
      </c>
      <c r="H332" s="41">
        <f>ABS(H$5-(6-'4JSON'!H326))</f>
        <v>1</v>
      </c>
      <c r="I332" s="41">
        <f>ABS(I$5-(6-'4JSON'!I326))</f>
        <v>1</v>
      </c>
      <c r="J332" s="41">
        <f>ABS(J$5-(6-'4JSON'!J326))</f>
        <v>0</v>
      </c>
      <c r="K332" s="41">
        <f>ABS(K$5-(6-'4JSON'!K326))</f>
        <v>0</v>
      </c>
      <c r="L332" s="41">
        <f>ABS(L$5-(6-'4JSON'!L326))</f>
        <v>0</v>
      </c>
      <c r="M332" s="36">
        <f t="shared" si="1"/>
        <v>5</v>
      </c>
      <c r="N332" s="42">
        <f t="shared" si="2"/>
        <v>0.8611111111</v>
      </c>
      <c r="S332" s="35">
        <f>IFERROR(__xludf.DUMMYFUNCTION("""COMPUTED_VALUE"""),7283.0)</f>
        <v>7283</v>
      </c>
    </row>
    <row r="333">
      <c r="A333" s="35">
        <f>'4JSON'!A327</f>
        <v>2271</v>
      </c>
      <c r="B333" s="25" t="str">
        <f>'4JSON'!B327</f>
        <v>Pilots</v>
      </c>
      <c r="C333" s="41" t="str">
        <f>'4JSON'!C327</f>
        <v>Air pilots, flight engineers and flying instructors</v>
      </c>
      <c r="D333" s="41">
        <f>ABS(D$5-(6-'4JSON'!D327))</f>
        <v>2</v>
      </c>
      <c r="E333" s="41">
        <f>ABS(E$5-(6-'4JSON'!E327))</f>
        <v>1</v>
      </c>
      <c r="F333" s="41">
        <f>ABS(F$5-(6-'4JSON'!F327))</f>
        <v>1</v>
      </c>
      <c r="G333" s="41">
        <f>ABS(G$5-(6-'4JSON'!G327))</f>
        <v>2</v>
      </c>
      <c r="H333" s="41">
        <f>ABS(H$5-(6-'4JSON'!H327))</f>
        <v>0</v>
      </c>
      <c r="I333" s="41">
        <f>ABS(I$5-(6-'4JSON'!I327))</f>
        <v>0</v>
      </c>
      <c r="J333" s="41">
        <f>ABS(J$5-(6-'4JSON'!J327))</f>
        <v>1</v>
      </c>
      <c r="K333" s="41">
        <f>ABS(K$5-(6-'4JSON'!K327))</f>
        <v>0</v>
      </c>
      <c r="L333" s="41">
        <f>ABS(L$5-(6-'4JSON'!L327))</f>
        <v>0</v>
      </c>
      <c r="M333" s="36">
        <f t="shared" si="1"/>
        <v>7</v>
      </c>
      <c r="N333" s="42">
        <f t="shared" si="2"/>
        <v>0.8055555556</v>
      </c>
      <c r="S333" s="35">
        <f>IFERROR(__xludf.DUMMYFUNCTION("""COMPUTED_VALUE"""),8411.0)</f>
        <v>8411</v>
      </c>
    </row>
    <row r="334">
      <c r="A334" s="35">
        <f>'4JSON'!A328</f>
        <v>9472</v>
      </c>
      <c r="B334" s="25" t="str">
        <f>'4JSON'!B328</f>
        <v>Pre-flight Operators</v>
      </c>
      <c r="C334" s="41" t="str">
        <f>'4JSON'!C328</f>
        <v>Camera, platemaking and other prepress occupations</v>
      </c>
      <c r="D334" s="41">
        <f>ABS(D$5-(6-'4JSON'!D328))</f>
        <v>1</v>
      </c>
      <c r="E334" s="41">
        <f>ABS(E$5-(6-'4JSON'!E328))</f>
        <v>0</v>
      </c>
      <c r="F334" s="41">
        <f>ABS(F$5-(6-'4JSON'!F328))</f>
        <v>1</v>
      </c>
      <c r="G334" s="41">
        <f>ABS(G$5-(6-'4JSON'!G328))</f>
        <v>0</v>
      </c>
      <c r="H334" s="41">
        <f>ABS(H$5-(6-'4JSON'!H328))</f>
        <v>1</v>
      </c>
      <c r="I334" s="41">
        <f>ABS(I$5-(6-'4JSON'!I328))</f>
        <v>0</v>
      </c>
      <c r="J334" s="41">
        <f>ABS(J$5-(6-'4JSON'!J328))</f>
        <v>0</v>
      </c>
      <c r="K334" s="41">
        <f>ABS(K$5-(6-'4JSON'!K328))</f>
        <v>0</v>
      </c>
      <c r="L334" s="41">
        <f>ABS(L$5-(6-'4JSON'!L328))</f>
        <v>0</v>
      </c>
      <c r="M334" s="36">
        <f t="shared" si="1"/>
        <v>3</v>
      </c>
      <c r="N334" s="42">
        <f t="shared" si="2"/>
        <v>0.9166666667</v>
      </c>
      <c r="S334" s="35">
        <f>IFERROR(__xludf.DUMMYFUNCTION("""COMPUTED_VALUE"""),5135.0)</f>
        <v>5135</v>
      </c>
    </row>
    <row r="335">
      <c r="A335" s="35">
        <f>'4JSON'!A329</f>
        <v>7381</v>
      </c>
      <c r="B335" s="25" t="str">
        <f>'4JSON'!B329</f>
        <v>Printing Press Operators</v>
      </c>
      <c r="C335" s="41" t="str">
        <f>'4JSON'!C329</f>
        <v>Printing press operators</v>
      </c>
      <c r="D335" s="41">
        <f>ABS(D$5-(6-'4JSON'!D329))</f>
        <v>1</v>
      </c>
      <c r="E335" s="41">
        <f>ABS(E$5-(6-'4JSON'!E329))</f>
        <v>0</v>
      </c>
      <c r="F335" s="41">
        <f>ABS(F$5-(6-'4JSON'!F329))</f>
        <v>1</v>
      </c>
      <c r="G335" s="41">
        <f>ABS(G$5-(6-'4JSON'!G329))</f>
        <v>0</v>
      </c>
      <c r="H335" s="41">
        <f>ABS(H$5-(6-'4JSON'!H329))</f>
        <v>1</v>
      </c>
      <c r="I335" s="41">
        <f>ABS(I$5-(6-'4JSON'!I329))</f>
        <v>0</v>
      </c>
      <c r="J335" s="41">
        <f>ABS(J$5-(6-'4JSON'!J329))</f>
        <v>0</v>
      </c>
      <c r="K335" s="41">
        <f>ABS(K$5-(6-'4JSON'!K329))</f>
        <v>0</v>
      </c>
      <c r="L335" s="41">
        <f>ABS(L$5-(6-'4JSON'!L329))</f>
        <v>0</v>
      </c>
      <c r="M335" s="36">
        <f t="shared" si="1"/>
        <v>3</v>
      </c>
      <c r="N335" s="42">
        <f t="shared" si="2"/>
        <v>0.9166666667</v>
      </c>
      <c r="S335" s="35">
        <f>IFERROR(__xludf.DUMMYFUNCTION("""COMPUTED_VALUE"""),9437.0)</f>
        <v>9437</v>
      </c>
    </row>
    <row r="336">
      <c r="A336" s="35">
        <f>'4JSON'!A330</f>
        <v>3219</v>
      </c>
      <c r="B336" s="25" t="str">
        <f>'4JSON'!B330</f>
        <v>Prosthetists and Orthotists</v>
      </c>
      <c r="C336" s="41" t="str">
        <f>'4JSON'!C330</f>
        <v>Other medical technologists and technicians (except dental health)</v>
      </c>
      <c r="D336" s="41">
        <f>ABS(D$5-(6-'4JSON'!D330))</f>
        <v>2</v>
      </c>
      <c r="E336" s="41">
        <f>ABS(E$5-(6-'4JSON'!E330))</f>
        <v>0</v>
      </c>
      <c r="F336" s="41">
        <f>ABS(F$5-(6-'4JSON'!F330))</f>
        <v>0</v>
      </c>
      <c r="G336" s="41">
        <f>ABS(G$5-(6-'4JSON'!G330))</f>
        <v>1</v>
      </c>
      <c r="H336" s="41">
        <f>ABS(H$5-(6-'4JSON'!H330))</f>
        <v>1</v>
      </c>
      <c r="I336" s="41">
        <f>ABS(I$5-(6-'4JSON'!I330))</f>
        <v>1</v>
      </c>
      <c r="J336" s="41">
        <f>ABS(J$5-(6-'4JSON'!J330))</f>
        <v>0</v>
      </c>
      <c r="K336" s="41">
        <f>ABS(K$5-(6-'4JSON'!K330))</f>
        <v>0</v>
      </c>
      <c r="L336" s="41">
        <f>ABS(L$5-(6-'4JSON'!L330))</f>
        <v>0</v>
      </c>
      <c r="M336" s="36">
        <f t="shared" si="1"/>
        <v>5</v>
      </c>
      <c r="N336" s="42">
        <f t="shared" si="2"/>
        <v>0.8611111111</v>
      </c>
      <c r="S336" s="35">
        <f>IFERROR(__xludf.DUMMYFUNCTION("""COMPUTED_VALUE"""),1314.0)</f>
        <v>1314</v>
      </c>
    </row>
    <row r="337">
      <c r="A337" s="35">
        <f>'4JSON'!A331</f>
        <v>5232</v>
      </c>
      <c r="B337" s="25" t="str">
        <f>'4JSON'!B331</f>
        <v>Puppeteers</v>
      </c>
      <c r="C337" s="41" t="str">
        <f>'4JSON'!C331</f>
        <v>Other performers, n.e.c.</v>
      </c>
      <c r="D337" s="41">
        <f>ABS(D$5-(6-'4JSON'!D331))</f>
        <v>1</v>
      </c>
      <c r="E337" s="41">
        <f>ABS(E$5-(6-'4JSON'!E331))</f>
        <v>0</v>
      </c>
      <c r="F337" s="41">
        <f>ABS(F$5-(6-'4JSON'!F331))</f>
        <v>1</v>
      </c>
      <c r="G337" s="41">
        <f>ABS(G$5-(6-'4JSON'!G331))</f>
        <v>1</v>
      </c>
      <c r="H337" s="41">
        <f>ABS(H$5-(6-'4JSON'!H331))</f>
        <v>2</v>
      </c>
      <c r="I337" s="41">
        <f>ABS(I$5-(6-'4JSON'!I331))</f>
        <v>1</v>
      </c>
      <c r="J337" s="41">
        <f>ABS(J$5-(6-'4JSON'!J331))</f>
        <v>1</v>
      </c>
      <c r="K337" s="41">
        <f>ABS(K$5-(6-'4JSON'!K331))</f>
        <v>1</v>
      </c>
      <c r="L337" s="41">
        <f>ABS(L$5-(6-'4JSON'!L331))</f>
        <v>1</v>
      </c>
      <c r="M337" s="36">
        <f t="shared" si="1"/>
        <v>9</v>
      </c>
      <c r="N337" s="42">
        <f t="shared" si="2"/>
        <v>0.75</v>
      </c>
      <c r="S337" s="35">
        <f>IFERROR(__xludf.DUMMYFUNCTION("""COMPUTED_VALUE"""),823.0)</f>
        <v>823</v>
      </c>
    </row>
    <row r="338">
      <c r="A338" s="35">
        <f>'4JSON'!A332</f>
        <v>7445</v>
      </c>
      <c r="B338" s="25" t="str">
        <f>'4JSON'!B332</f>
        <v>Other Repairers and Servicers</v>
      </c>
      <c r="C338" s="41" t="str">
        <f>'4JSON'!C332</f>
        <v>Other repairers and servicers</v>
      </c>
      <c r="D338" s="41">
        <f>ABS(D$5-(6-'4JSON'!D332))</f>
        <v>1</v>
      </c>
      <c r="E338" s="41">
        <f>ABS(E$5-(6-'4JSON'!E332))</f>
        <v>1</v>
      </c>
      <c r="F338" s="41">
        <f>ABS(F$5-(6-'4JSON'!F332))</f>
        <v>1</v>
      </c>
      <c r="G338" s="41">
        <f>ABS(G$5-(6-'4JSON'!G332))</f>
        <v>0</v>
      </c>
      <c r="H338" s="41">
        <f>ABS(H$5-(6-'4JSON'!H332))</f>
        <v>1</v>
      </c>
      <c r="I338" s="41">
        <f>ABS(I$5-(6-'4JSON'!I332))</f>
        <v>1</v>
      </c>
      <c r="J338" s="41">
        <f>ABS(J$5-(6-'4JSON'!J332))</f>
        <v>0</v>
      </c>
      <c r="K338" s="41">
        <f>ABS(K$5-(6-'4JSON'!K332))</f>
        <v>0</v>
      </c>
      <c r="L338" s="41">
        <f>ABS(L$5-(6-'4JSON'!L332))</f>
        <v>0</v>
      </c>
      <c r="M338" s="36">
        <f t="shared" si="1"/>
        <v>5</v>
      </c>
      <c r="N338" s="42">
        <f t="shared" si="2"/>
        <v>0.8611111111</v>
      </c>
      <c r="S338" s="35">
        <f>IFERROR(__xludf.DUMMYFUNCTION("""COMPUTED_VALUE"""),7361.0)</f>
        <v>7361</v>
      </c>
    </row>
    <row r="339">
      <c r="A339" s="35">
        <f>'4JSON'!A333</f>
        <v>4216</v>
      </c>
      <c r="B339" s="25" t="str">
        <f>'4JSON'!B333</f>
        <v>Sewing Instructors</v>
      </c>
      <c r="C339" s="41" t="str">
        <f>'4JSON'!C333</f>
        <v>Other instructors</v>
      </c>
      <c r="D339" s="41">
        <f>ABS(D$5-(6-'4JSON'!D333))</f>
        <v>1</v>
      </c>
      <c r="E339" s="41">
        <f>ABS(E$5-(6-'4JSON'!E333))</f>
        <v>0</v>
      </c>
      <c r="F339" s="41">
        <f>ABS(F$5-(6-'4JSON'!F333))</f>
        <v>1</v>
      </c>
      <c r="G339" s="41">
        <f>ABS(G$5-(6-'4JSON'!G333))</f>
        <v>1</v>
      </c>
      <c r="H339" s="41">
        <f>ABS(H$5-(6-'4JSON'!H333))</f>
        <v>1</v>
      </c>
      <c r="I339" s="41">
        <f>ABS(I$5-(6-'4JSON'!I333))</f>
        <v>1</v>
      </c>
      <c r="J339" s="41">
        <f>ABS(J$5-(6-'4JSON'!J333))</f>
        <v>0</v>
      </c>
      <c r="K339" s="41">
        <f>ABS(K$5-(6-'4JSON'!K333))</f>
        <v>0</v>
      </c>
      <c r="L339" s="41">
        <f>ABS(L$5-(6-'4JSON'!L333))</f>
        <v>0</v>
      </c>
      <c r="M339" s="36">
        <f t="shared" si="1"/>
        <v>5</v>
      </c>
      <c r="N339" s="42">
        <f t="shared" si="2"/>
        <v>0.8611111111</v>
      </c>
      <c r="S339" s="35">
        <f>IFERROR(__xludf.DUMMYFUNCTION("""COMPUTED_VALUE"""),3141.0)</f>
        <v>3141</v>
      </c>
    </row>
    <row r="340">
      <c r="A340" s="35">
        <f>'4JSON'!A334</f>
        <v>9474</v>
      </c>
      <c r="B340" s="25" t="str">
        <f>'4JSON'!B334</f>
        <v>Photographic and Film Processors</v>
      </c>
      <c r="C340" s="41" t="str">
        <f>'4JSON'!C334</f>
        <v>Photographic and film processors</v>
      </c>
      <c r="D340" s="41">
        <f>ABS(D$5-(6-'4JSON'!D334))</f>
        <v>1</v>
      </c>
      <c r="E340" s="41">
        <f>ABS(E$5-(6-'4JSON'!E334))</f>
        <v>1</v>
      </c>
      <c r="F340" s="41">
        <f>ABS(F$5-(6-'4JSON'!F334))</f>
        <v>1</v>
      </c>
      <c r="G340" s="41">
        <f>ABS(G$5-(6-'4JSON'!G334))</f>
        <v>0</v>
      </c>
      <c r="H340" s="41">
        <f>ABS(H$5-(6-'4JSON'!H334))</f>
        <v>1</v>
      </c>
      <c r="I340" s="41">
        <f>ABS(I$5-(6-'4JSON'!I334))</f>
        <v>1</v>
      </c>
      <c r="J340" s="41">
        <f>ABS(J$5-(6-'4JSON'!J334))</f>
        <v>0</v>
      </c>
      <c r="K340" s="41">
        <f>ABS(K$5-(6-'4JSON'!K334))</f>
        <v>0</v>
      </c>
      <c r="L340" s="41">
        <f>ABS(L$5-(6-'4JSON'!L334))</f>
        <v>0</v>
      </c>
      <c r="M340" s="36">
        <f t="shared" si="1"/>
        <v>5</v>
      </c>
      <c r="N340" s="42">
        <f t="shared" si="2"/>
        <v>0.8611111111</v>
      </c>
      <c r="S340" s="35">
        <f>IFERROR(__xludf.DUMMYFUNCTION("""COMPUTED_VALUE"""),1434.0)</f>
        <v>1434</v>
      </c>
    </row>
    <row r="341">
      <c r="A341" s="35">
        <f>'4JSON'!A335</f>
        <v>7303</v>
      </c>
      <c r="B341" s="25" t="str">
        <f>'4JSON'!B335</f>
        <v>Supervisors, Printing and Related Occupations</v>
      </c>
      <c r="C341" s="41" t="str">
        <f>'4JSON'!C335</f>
        <v>Supervisors, printing and related occupations</v>
      </c>
      <c r="D341" s="41">
        <f>ABS(D$5-(6-'4JSON'!D335))</f>
        <v>1</v>
      </c>
      <c r="E341" s="41">
        <f>ABS(E$5-(6-'4JSON'!E335))</f>
        <v>0</v>
      </c>
      <c r="F341" s="41">
        <f>ABS(F$5-(6-'4JSON'!F335))</f>
        <v>1</v>
      </c>
      <c r="G341" s="41">
        <f>ABS(G$5-(6-'4JSON'!G335))</f>
        <v>0</v>
      </c>
      <c r="H341" s="41">
        <f>ABS(H$5-(6-'4JSON'!H335))</f>
        <v>1</v>
      </c>
      <c r="I341" s="41">
        <f>ABS(I$5-(6-'4JSON'!I335))</f>
        <v>0</v>
      </c>
      <c r="J341" s="41">
        <f>ABS(J$5-(6-'4JSON'!J335))</f>
        <v>0</v>
      </c>
      <c r="K341" s="41">
        <f>ABS(K$5-(6-'4JSON'!K335))</f>
        <v>0</v>
      </c>
      <c r="L341" s="41">
        <f>ABS(L$5-(6-'4JSON'!L335))</f>
        <v>0</v>
      </c>
      <c r="M341" s="36">
        <f t="shared" si="1"/>
        <v>3</v>
      </c>
      <c r="N341" s="42">
        <f t="shared" si="2"/>
        <v>0.9166666667</v>
      </c>
      <c r="S341" s="35">
        <f>IFERROR(__xludf.DUMMYFUNCTION("""COMPUTED_VALUE"""),7534.0)</f>
        <v>7534</v>
      </c>
    </row>
    <row r="342">
      <c r="A342" s="35">
        <f>'4JSON'!A336</f>
        <v>5243</v>
      </c>
      <c r="B342" s="25" t="str">
        <f>'4JSON'!B336</f>
        <v>Theatre Designers</v>
      </c>
      <c r="C342" s="41" t="str">
        <f>'4JSON'!C336</f>
        <v>Theatre, fashion, exhibit and other creative designers</v>
      </c>
      <c r="D342" s="41">
        <f>ABS(D$5-(6-'4JSON'!D336))</f>
        <v>2</v>
      </c>
      <c r="E342" s="41">
        <f>ABS(E$5-(6-'4JSON'!E336))</f>
        <v>0</v>
      </c>
      <c r="F342" s="41">
        <f>ABS(F$5-(6-'4JSON'!F336))</f>
        <v>0</v>
      </c>
      <c r="G342" s="41">
        <f>ABS(G$5-(6-'4JSON'!G336))</f>
        <v>1</v>
      </c>
      <c r="H342" s="41">
        <f>ABS(H$5-(6-'4JSON'!H336))</f>
        <v>1</v>
      </c>
      <c r="I342" s="41">
        <f>ABS(I$5-(6-'4JSON'!I336))</f>
        <v>1</v>
      </c>
      <c r="J342" s="41">
        <f>ABS(J$5-(6-'4JSON'!J336))</f>
        <v>0</v>
      </c>
      <c r="K342" s="41">
        <f>ABS(K$5-(6-'4JSON'!K336))</f>
        <v>0</v>
      </c>
      <c r="L342" s="41">
        <f>ABS(L$5-(6-'4JSON'!L336))</f>
        <v>0</v>
      </c>
      <c r="M342" s="36">
        <f t="shared" si="1"/>
        <v>5</v>
      </c>
      <c r="N342" s="42">
        <f t="shared" si="2"/>
        <v>0.8611111111</v>
      </c>
      <c r="S342" s="35">
        <f>IFERROR(__xludf.DUMMYFUNCTION("""COMPUTED_VALUE"""),9423.0)</f>
        <v>9423</v>
      </c>
    </row>
    <row r="343">
      <c r="A343" s="35">
        <f>'4JSON'!A337</f>
        <v>1423</v>
      </c>
      <c r="B343" s="25" t="str">
        <f>'4JSON'!B337</f>
        <v>Typesetting Input Operators</v>
      </c>
      <c r="C343" s="41" t="str">
        <f>'4JSON'!C337</f>
        <v>Desktop publishing operators and related occupations</v>
      </c>
      <c r="D343" s="41">
        <f>ABS(D$5-(6-'4JSON'!D337))</f>
        <v>1</v>
      </c>
      <c r="E343" s="41">
        <f>ABS(E$5-(6-'4JSON'!E337))</f>
        <v>0</v>
      </c>
      <c r="F343" s="41">
        <f>ABS(F$5-(6-'4JSON'!F337))</f>
        <v>1</v>
      </c>
      <c r="G343" s="41">
        <f>ABS(G$5-(6-'4JSON'!G337))</f>
        <v>0</v>
      </c>
      <c r="H343" s="41">
        <f>ABS(H$5-(6-'4JSON'!H337))</f>
        <v>1</v>
      </c>
      <c r="I343" s="41">
        <f>ABS(I$5-(6-'4JSON'!I337))</f>
        <v>0</v>
      </c>
      <c r="J343" s="41">
        <f>ABS(J$5-(6-'4JSON'!J337))</f>
        <v>0</v>
      </c>
      <c r="K343" s="41">
        <f>ABS(K$5-(6-'4JSON'!K337))</f>
        <v>0</v>
      </c>
      <c r="L343" s="41">
        <f>ABS(L$5-(6-'4JSON'!L337))</f>
        <v>0</v>
      </c>
      <c r="M343" s="36">
        <f t="shared" si="1"/>
        <v>3</v>
      </c>
      <c r="N343" s="42">
        <f t="shared" si="2"/>
        <v>0.9166666667</v>
      </c>
      <c r="S343" s="35">
        <f>IFERROR(__xludf.DUMMYFUNCTION("""COMPUTED_VALUE"""),3217.0)</f>
        <v>3217</v>
      </c>
    </row>
    <row r="344">
      <c r="A344" s="35">
        <f>'4JSON'!A338</f>
        <v>1423</v>
      </c>
      <c r="B344" s="25" t="str">
        <f>'4JSON'!B338</f>
        <v>Typesetting Output Operators</v>
      </c>
      <c r="C344" s="41" t="str">
        <f>'4JSON'!C338</f>
        <v>Desktop publishing operators and related occupations</v>
      </c>
      <c r="D344" s="41">
        <f>ABS(D$5-(6-'4JSON'!D338))</f>
        <v>1</v>
      </c>
      <c r="E344" s="41">
        <f>ABS(E$5-(6-'4JSON'!E338))</f>
        <v>0</v>
      </c>
      <c r="F344" s="41">
        <f>ABS(F$5-(6-'4JSON'!F338))</f>
        <v>1</v>
      </c>
      <c r="G344" s="41">
        <f>ABS(G$5-(6-'4JSON'!G338))</f>
        <v>0</v>
      </c>
      <c r="H344" s="41">
        <f>ABS(H$5-(6-'4JSON'!H338))</f>
        <v>1</v>
      </c>
      <c r="I344" s="41">
        <f>ABS(I$5-(6-'4JSON'!I338))</f>
        <v>0</v>
      </c>
      <c r="J344" s="41">
        <f>ABS(J$5-(6-'4JSON'!J338))</f>
        <v>0</v>
      </c>
      <c r="K344" s="41">
        <f>ABS(K$5-(6-'4JSON'!K338))</f>
        <v>0</v>
      </c>
      <c r="L344" s="41">
        <f>ABS(L$5-(6-'4JSON'!L338))</f>
        <v>0</v>
      </c>
      <c r="M344" s="36">
        <f t="shared" si="1"/>
        <v>3</v>
      </c>
      <c r="N344" s="42">
        <f t="shared" si="2"/>
        <v>0.9166666667</v>
      </c>
      <c r="S344" s="35">
        <f>IFERROR(__xludf.DUMMYFUNCTION("""COMPUTED_VALUE"""),9231.0)</f>
        <v>9231</v>
      </c>
    </row>
    <row r="345">
      <c r="A345" s="35">
        <f>'4JSON'!A339</f>
        <v>7314</v>
      </c>
      <c r="B345" s="25" t="str">
        <f>'4JSON'!B339</f>
        <v>Railway Carmen/women</v>
      </c>
      <c r="C345" s="41" t="str">
        <f>'4JSON'!C339</f>
        <v>Railway carmen/women</v>
      </c>
      <c r="D345" s="41">
        <f>ABS(D$5-(6-'4JSON'!D339))</f>
        <v>1</v>
      </c>
      <c r="E345" s="41">
        <f>ABS(E$5-(6-'4JSON'!E339))</f>
        <v>1</v>
      </c>
      <c r="F345" s="41">
        <f>ABS(F$5-(6-'4JSON'!F339))</f>
        <v>1</v>
      </c>
      <c r="G345" s="41">
        <f>ABS(G$5-(6-'4JSON'!G339))</f>
        <v>0</v>
      </c>
      <c r="H345" s="41">
        <f>ABS(H$5-(6-'4JSON'!H339))</f>
        <v>1</v>
      </c>
      <c r="I345" s="41">
        <f>ABS(I$5-(6-'4JSON'!I339))</f>
        <v>1</v>
      </c>
      <c r="J345" s="41">
        <f>ABS(J$5-(6-'4JSON'!J339))</f>
        <v>0</v>
      </c>
      <c r="K345" s="41">
        <f>ABS(K$5-(6-'4JSON'!K339))</f>
        <v>0</v>
      </c>
      <c r="L345" s="41">
        <f>ABS(L$5-(6-'4JSON'!L339))</f>
        <v>0</v>
      </c>
      <c r="M345" s="36">
        <f t="shared" si="1"/>
        <v>5</v>
      </c>
      <c r="N345" s="42">
        <f t="shared" si="2"/>
        <v>0.8611111111</v>
      </c>
      <c r="S345" s="35">
        <f>IFERROR(__xludf.DUMMYFUNCTION("""COMPUTED_VALUE"""),4021.0)</f>
        <v>4021</v>
      </c>
    </row>
    <row r="346">
      <c r="A346" s="35">
        <f>'4JSON'!A340</f>
        <v>9521</v>
      </c>
      <c r="B346" s="25" t="str">
        <f>'4JSON'!B340</f>
        <v>Aircraft Assembly Inspectors</v>
      </c>
      <c r="C346" s="41" t="str">
        <f>'4JSON'!C340</f>
        <v>Aircraft assemblers and aircraft assembly inspectors</v>
      </c>
      <c r="D346" s="41">
        <f>ABS(D$5-(6-'4JSON'!D340))</f>
        <v>1</v>
      </c>
      <c r="E346" s="41">
        <f>ABS(E$5-(6-'4JSON'!E340))</f>
        <v>0</v>
      </c>
      <c r="F346" s="41">
        <f>ABS(F$5-(6-'4JSON'!F340))</f>
        <v>0</v>
      </c>
      <c r="G346" s="41">
        <f>ABS(G$5-(6-'4JSON'!G340))</f>
        <v>0</v>
      </c>
      <c r="H346" s="41">
        <f>ABS(H$5-(6-'4JSON'!H340))</f>
        <v>1</v>
      </c>
      <c r="I346" s="41">
        <f>ABS(I$5-(6-'4JSON'!I340))</f>
        <v>0</v>
      </c>
      <c r="J346" s="41">
        <f>ABS(J$5-(6-'4JSON'!J340))</f>
        <v>0</v>
      </c>
      <c r="K346" s="41">
        <f>ABS(K$5-(6-'4JSON'!K340))</f>
        <v>0</v>
      </c>
      <c r="L346" s="41">
        <f>ABS(L$5-(6-'4JSON'!L340))</f>
        <v>0</v>
      </c>
      <c r="M346" s="36">
        <f t="shared" si="1"/>
        <v>2</v>
      </c>
      <c r="N346" s="42">
        <f t="shared" si="2"/>
        <v>0.9444444444</v>
      </c>
      <c r="S346" s="35">
        <f>IFERROR(__xludf.DUMMYFUNCTION("""COMPUTED_VALUE"""),433.0)</f>
        <v>433</v>
      </c>
    </row>
    <row r="347">
      <c r="A347" s="35">
        <f>'4JSON'!A341</f>
        <v>5136</v>
      </c>
      <c r="B347" s="25" t="str">
        <f>'4JSON'!B341</f>
        <v>Art Instructors and Teachers</v>
      </c>
      <c r="C347" s="41" t="str">
        <f>'4JSON'!C341</f>
        <v>Painters, sculptors and other visual artists</v>
      </c>
      <c r="D347" s="41">
        <f>ABS(D$5-(6-'4JSON'!D341))</f>
        <v>2</v>
      </c>
      <c r="E347" s="41">
        <f>ABS(E$5-(6-'4JSON'!E341))</f>
        <v>1</v>
      </c>
      <c r="F347" s="41">
        <f>ABS(F$5-(6-'4JSON'!F341))</f>
        <v>1</v>
      </c>
      <c r="G347" s="41">
        <f>ABS(G$5-(6-'4JSON'!G341))</f>
        <v>1</v>
      </c>
      <c r="H347" s="41">
        <f>ABS(H$5-(6-'4JSON'!H341))</f>
        <v>0</v>
      </c>
      <c r="I347" s="41">
        <f>ABS(I$5-(6-'4JSON'!I341))</f>
        <v>1</v>
      </c>
      <c r="J347" s="41">
        <f>ABS(J$5-(6-'4JSON'!J341))</f>
        <v>1</v>
      </c>
      <c r="K347" s="41">
        <f>ABS(K$5-(6-'4JSON'!K341))</f>
        <v>1</v>
      </c>
      <c r="L347" s="41">
        <f>ABS(L$5-(6-'4JSON'!L341))</f>
        <v>0</v>
      </c>
      <c r="M347" s="36">
        <f t="shared" si="1"/>
        <v>8</v>
      </c>
      <c r="N347" s="42">
        <f t="shared" si="2"/>
        <v>0.7777777778</v>
      </c>
      <c r="S347" s="35">
        <f>IFERROR(__xludf.DUMMYFUNCTION("""COMPUTED_VALUE"""),1123.0)</f>
        <v>1123</v>
      </c>
    </row>
    <row r="348">
      <c r="A348" s="35">
        <f>'4JSON'!A342</f>
        <v>7311</v>
      </c>
      <c r="B348" s="25" t="str">
        <f>'4JSON'!B342</f>
        <v>Textile Machinery Mechanics and Repairers</v>
      </c>
      <c r="C348" s="41" t="str">
        <f>'4JSON'!C342</f>
        <v>Construction millwrights and industrial mechanics</v>
      </c>
      <c r="D348" s="41">
        <f>ABS(D$5-(6-'4JSON'!D342))</f>
        <v>1</v>
      </c>
      <c r="E348" s="41">
        <f>ABS(E$5-(6-'4JSON'!E342))</f>
        <v>1</v>
      </c>
      <c r="F348" s="41">
        <f>ABS(F$5-(6-'4JSON'!F342))</f>
        <v>0</v>
      </c>
      <c r="G348" s="41">
        <f>ABS(G$5-(6-'4JSON'!G342))</f>
        <v>0</v>
      </c>
      <c r="H348" s="41">
        <f>ABS(H$5-(6-'4JSON'!H342))</f>
        <v>0</v>
      </c>
      <c r="I348" s="41">
        <f>ABS(I$5-(6-'4JSON'!I342))</f>
        <v>1</v>
      </c>
      <c r="J348" s="41">
        <f>ABS(J$5-(6-'4JSON'!J342))</f>
        <v>0</v>
      </c>
      <c r="K348" s="41">
        <f>ABS(K$5-(6-'4JSON'!K342))</f>
        <v>0</v>
      </c>
      <c r="L348" s="41">
        <f>ABS(L$5-(6-'4JSON'!L342))</f>
        <v>0</v>
      </c>
      <c r="M348" s="36">
        <f t="shared" si="1"/>
        <v>3</v>
      </c>
      <c r="N348" s="42">
        <f t="shared" si="2"/>
        <v>0.9166666667</v>
      </c>
      <c r="S348" s="35">
        <f>IFERROR(__xludf.DUMMYFUNCTION("""COMPUTED_VALUE"""),8241.0)</f>
        <v>8241</v>
      </c>
    </row>
    <row r="349">
      <c r="A349" s="35">
        <f>'4JSON'!A343</f>
        <v>7321</v>
      </c>
      <c r="B349" s="25" t="str">
        <f>'4JSON'!B343</f>
        <v>Automotive Service Technicians</v>
      </c>
      <c r="C349" s="41" t="str">
        <f>'4JSON'!C343</f>
        <v>Automotive service technicians, truck and bus mechanics and mechanical repairers</v>
      </c>
      <c r="D349" s="41">
        <f>ABS(D$5-(6-'4JSON'!D343))</f>
        <v>1</v>
      </c>
      <c r="E349" s="41">
        <f>ABS(E$5-(6-'4JSON'!E343))</f>
        <v>0</v>
      </c>
      <c r="F349" s="41">
        <f>ABS(F$5-(6-'4JSON'!F343))</f>
        <v>1</v>
      </c>
      <c r="G349" s="41">
        <f>ABS(G$5-(6-'4JSON'!G343))</f>
        <v>0</v>
      </c>
      <c r="H349" s="41">
        <f>ABS(H$5-(6-'4JSON'!H343))</f>
        <v>1</v>
      </c>
      <c r="I349" s="41">
        <f>ABS(I$5-(6-'4JSON'!I343))</f>
        <v>1</v>
      </c>
      <c r="J349" s="41">
        <f>ABS(J$5-(6-'4JSON'!J343))</f>
        <v>0</v>
      </c>
      <c r="K349" s="41">
        <f>ABS(K$5-(6-'4JSON'!K343))</f>
        <v>0</v>
      </c>
      <c r="L349" s="41">
        <f>ABS(L$5-(6-'4JSON'!L343))</f>
        <v>0</v>
      </c>
      <c r="M349" s="36">
        <f t="shared" si="1"/>
        <v>4</v>
      </c>
      <c r="N349" s="42">
        <f t="shared" si="2"/>
        <v>0.8888888889</v>
      </c>
      <c r="S349" s="35">
        <f>IFERROR(__xludf.DUMMYFUNCTION("""COMPUTED_VALUE"""),2264.0)</f>
        <v>2264</v>
      </c>
    </row>
    <row r="350">
      <c r="A350" s="35">
        <f>'4JSON'!A344</f>
        <v>5224</v>
      </c>
      <c r="B350" s="25" t="str">
        <f>'4JSON'!B344</f>
        <v>Broadcast Technicians</v>
      </c>
      <c r="C350" s="41" t="str">
        <f>'4JSON'!C344</f>
        <v>Broadcast technicians</v>
      </c>
      <c r="D350" s="41">
        <f>ABS(D$5-(6-'4JSON'!D344))</f>
        <v>1</v>
      </c>
      <c r="E350" s="41">
        <f>ABS(E$5-(6-'4JSON'!E344))</f>
        <v>0</v>
      </c>
      <c r="F350" s="41">
        <f>ABS(F$5-(6-'4JSON'!F344))</f>
        <v>1</v>
      </c>
      <c r="G350" s="41">
        <f>ABS(G$5-(6-'4JSON'!G344))</f>
        <v>0</v>
      </c>
      <c r="H350" s="41">
        <f>ABS(H$5-(6-'4JSON'!H344))</f>
        <v>1</v>
      </c>
      <c r="I350" s="41">
        <f>ABS(I$5-(6-'4JSON'!I344))</f>
        <v>1</v>
      </c>
      <c r="J350" s="41">
        <f>ABS(J$5-(6-'4JSON'!J344))</f>
        <v>0</v>
      </c>
      <c r="K350" s="41">
        <f>ABS(K$5-(6-'4JSON'!K344))</f>
        <v>0</v>
      </c>
      <c r="L350" s="41">
        <f>ABS(L$5-(6-'4JSON'!L344))</f>
        <v>0</v>
      </c>
      <c r="M350" s="36">
        <f t="shared" si="1"/>
        <v>4</v>
      </c>
      <c r="N350" s="42">
        <f t="shared" si="2"/>
        <v>0.8888888889</v>
      </c>
      <c r="S350" s="35">
        <f>IFERROR(__xludf.DUMMYFUNCTION("""COMPUTED_VALUE"""),6322.0)</f>
        <v>6322</v>
      </c>
    </row>
    <row r="351">
      <c r="A351" s="35">
        <f>'4JSON'!A345</f>
        <v>8231</v>
      </c>
      <c r="B351" s="25" t="str">
        <f>'4JSON'!B345</f>
        <v>Underground Production and Development Miners</v>
      </c>
      <c r="C351" s="41" t="str">
        <f>'4JSON'!C345</f>
        <v>Underground production and development miners</v>
      </c>
      <c r="D351" s="41">
        <f>ABS(D$5-(6-'4JSON'!D345))</f>
        <v>1</v>
      </c>
      <c r="E351" s="41">
        <f>ABS(E$5-(6-'4JSON'!E345))</f>
        <v>1</v>
      </c>
      <c r="F351" s="41">
        <f>ABS(F$5-(6-'4JSON'!F345))</f>
        <v>1</v>
      </c>
      <c r="G351" s="41">
        <f>ABS(G$5-(6-'4JSON'!G345))</f>
        <v>0</v>
      </c>
      <c r="H351" s="41">
        <f>ABS(H$5-(6-'4JSON'!H345))</f>
        <v>1</v>
      </c>
      <c r="I351" s="41">
        <f>ABS(I$5-(6-'4JSON'!I345))</f>
        <v>1</v>
      </c>
      <c r="J351" s="41">
        <f>ABS(J$5-(6-'4JSON'!J345))</f>
        <v>0</v>
      </c>
      <c r="K351" s="41">
        <f>ABS(K$5-(6-'4JSON'!K345))</f>
        <v>0</v>
      </c>
      <c r="L351" s="41">
        <f>ABS(L$5-(6-'4JSON'!L345))</f>
        <v>0</v>
      </c>
      <c r="M351" s="36">
        <f t="shared" si="1"/>
        <v>5</v>
      </c>
      <c r="N351" s="42">
        <f t="shared" si="2"/>
        <v>0.8611111111</v>
      </c>
      <c r="S351" s="35">
        <f>IFERROR(__xludf.DUMMYFUNCTION("""COMPUTED_VALUE"""),6611.0)</f>
        <v>6611</v>
      </c>
    </row>
    <row r="352">
      <c r="A352" s="35">
        <f>'4JSON'!A346</f>
        <v>5227</v>
      </c>
      <c r="B352" s="25" t="str">
        <f>'4JSON'!B346</f>
        <v>Camera Crane Operators</v>
      </c>
      <c r="C352" s="41" t="str">
        <f>'4JSON'!C346</f>
        <v>Support occupations in motion pictures, broadcasting, photography and the performing arts</v>
      </c>
      <c r="D352" s="41">
        <f>ABS(D$5-(6-'4JSON'!D346))</f>
        <v>1</v>
      </c>
      <c r="E352" s="41">
        <f>ABS(E$5-(6-'4JSON'!E346))</f>
        <v>0</v>
      </c>
      <c r="F352" s="41">
        <f>ABS(F$5-(6-'4JSON'!F346))</f>
        <v>1</v>
      </c>
      <c r="G352" s="41">
        <f>ABS(G$5-(6-'4JSON'!G346))</f>
        <v>0</v>
      </c>
      <c r="H352" s="41">
        <f>ABS(H$5-(6-'4JSON'!H346))</f>
        <v>1</v>
      </c>
      <c r="I352" s="41">
        <f>ABS(I$5-(6-'4JSON'!I346))</f>
        <v>1</v>
      </c>
      <c r="J352" s="41">
        <f>ABS(J$5-(6-'4JSON'!J346))</f>
        <v>0</v>
      </c>
      <c r="K352" s="41">
        <f>ABS(K$5-(6-'4JSON'!K346))</f>
        <v>0</v>
      </c>
      <c r="L352" s="41">
        <f>ABS(L$5-(6-'4JSON'!L346))</f>
        <v>0</v>
      </c>
      <c r="M352" s="36">
        <f t="shared" si="1"/>
        <v>4</v>
      </c>
      <c r="N352" s="42">
        <f t="shared" si="2"/>
        <v>0.8888888889</v>
      </c>
      <c r="S352" s="35">
        <f>IFERROR(__xludf.DUMMYFUNCTION("""COMPUTED_VALUE"""),7282.0)</f>
        <v>7282</v>
      </c>
    </row>
    <row r="353">
      <c r="A353" s="35">
        <f>'4JSON'!A347</f>
        <v>2255</v>
      </c>
      <c r="B353" s="25" t="str">
        <f>'4JSON'!B347</f>
        <v>Cartographic Technologists and Technicians</v>
      </c>
      <c r="C353" s="41" t="str">
        <f>'4JSON'!C347</f>
        <v>Technical occupations in geomatics and meteorology</v>
      </c>
      <c r="D353" s="41">
        <f>ABS(D$5-(6-'4JSON'!D347))</f>
        <v>2</v>
      </c>
      <c r="E353" s="41">
        <f>ABS(E$5-(6-'4JSON'!E347))</f>
        <v>0</v>
      </c>
      <c r="F353" s="41">
        <f>ABS(F$5-(6-'4JSON'!F347))</f>
        <v>1</v>
      </c>
      <c r="G353" s="41">
        <f>ABS(G$5-(6-'4JSON'!G347))</f>
        <v>1</v>
      </c>
      <c r="H353" s="41">
        <f>ABS(H$5-(6-'4JSON'!H347))</f>
        <v>0</v>
      </c>
      <c r="I353" s="41">
        <f>ABS(I$5-(6-'4JSON'!I347))</f>
        <v>0</v>
      </c>
      <c r="J353" s="41">
        <f>ABS(J$5-(6-'4JSON'!J347))</f>
        <v>1</v>
      </c>
      <c r="K353" s="41">
        <f>ABS(K$5-(6-'4JSON'!K347))</f>
        <v>1</v>
      </c>
      <c r="L353" s="41">
        <f>ABS(L$5-(6-'4JSON'!L347))</f>
        <v>0</v>
      </c>
      <c r="M353" s="36">
        <f t="shared" si="1"/>
        <v>6</v>
      </c>
      <c r="N353" s="42">
        <f t="shared" si="2"/>
        <v>0.8333333333</v>
      </c>
      <c r="S353" s="35">
        <f>IFERROR(__xludf.DUMMYFUNCTION("""COMPUTED_VALUE"""),821.0)</f>
        <v>821</v>
      </c>
    </row>
    <row r="354">
      <c r="A354" s="35">
        <f>'4JSON'!A348</f>
        <v>2211</v>
      </c>
      <c r="B354" s="25" t="str">
        <f>'4JSON'!B348</f>
        <v>Chemical Technicians</v>
      </c>
      <c r="C354" s="41" t="str">
        <f>'4JSON'!C348</f>
        <v>Chemical technologists and technicians</v>
      </c>
      <c r="D354" s="41">
        <f>ABS(D$5-(6-'4JSON'!D348))</f>
        <v>2</v>
      </c>
      <c r="E354" s="41">
        <f>ABS(E$5-(6-'4JSON'!E348))</f>
        <v>0</v>
      </c>
      <c r="F354" s="41">
        <f>ABS(F$5-(6-'4JSON'!F348))</f>
        <v>0</v>
      </c>
      <c r="G354" s="41">
        <f>ABS(G$5-(6-'4JSON'!G348))</f>
        <v>0</v>
      </c>
      <c r="H354" s="41">
        <f>ABS(H$5-(6-'4JSON'!H348))</f>
        <v>0</v>
      </c>
      <c r="I354" s="41">
        <f>ABS(I$5-(6-'4JSON'!I348))</f>
        <v>0</v>
      </c>
      <c r="J354" s="41">
        <f>ABS(J$5-(6-'4JSON'!J348))</f>
        <v>0</v>
      </c>
      <c r="K354" s="41">
        <f>ABS(K$5-(6-'4JSON'!K348))</f>
        <v>0</v>
      </c>
      <c r="L354" s="41">
        <f>ABS(L$5-(6-'4JSON'!L348))</f>
        <v>0</v>
      </c>
      <c r="M354" s="36">
        <f t="shared" si="1"/>
        <v>2</v>
      </c>
      <c r="N354" s="42">
        <f t="shared" si="2"/>
        <v>0.9444444444</v>
      </c>
      <c r="S354" s="35">
        <f>IFERROR(__xludf.DUMMYFUNCTION("""COMPUTED_VALUE"""),4422.0)</f>
        <v>4422</v>
      </c>
    </row>
    <row r="355">
      <c r="A355" s="35">
        <f>'4JSON'!A349</f>
        <v>3121</v>
      </c>
      <c r="B355" s="25" t="str">
        <f>'4JSON'!B349</f>
        <v>Chiropractors</v>
      </c>
      <c r="C355" s="41" t="str">
        <f>'4JSON'!C349</f>
        <v>Optometrists</v>
      </c>
      <c r="D355" s="41">
        <f>ABS(D$5-(6-'4JSON'!D349))</f>
        <v>2</v>
      </c>
      <c r="E355" s="41">
        <f>ABS(E$5-(6-'4JSON'!E349))</f>
        <v>1</v>
      </c>
      <c r="F355" s="41">
        <f>ABS(F$5-(6-'4JSON'!F349))</f>
        <v>0</v>
      </c>
      <c r="G355" s="41">
        <f>ABS(G$5-(6-'4JSON'!G349))</f>
        <v>1</v>
      </c>
      <c r="H355" s="41">
        <f>ABS(H$5-(6-'4JSON'!H349))</f>
        <v>0</v>
      </c>
      <c r="I355" s="41">
        <f>ABS(I$5-(6-'4JSON'!I349))</f>
        <v>1</v>
      </c>
      <c r="J355" s="41">
        <f>ABS(J$5-(6-'4JSON'!J349))</f>
        <v>1</v>
      </c>
      <c r="K355" s="41">
        <f>ABS(K$5-(6-'4JSON'!K349))</f>
        <v>1</v>
      </c>
      <c r="L355" s="41">
        <f>ABS(L$5-(6-'4JSON'!L349))</f>
        <v>1</v>
      </c>
      <c r="M355" s="36">
        <f t="shared" si="1"/>
        <v>8</v>
      </c>
      <c r="N355" s="42">
        <f t="shared" si="2"/>
        <v>0.7777777778</v>
      </c>
      <c r="S355" s="35">
        <f>IFERROR(__xludf.DUMMYFUNCTION("""COMPUTED_VALUE"""),7532.0)</f>
        <v>7532</v>
      </c>
    </row>
    <row r="356">
      <c r="A356" s="35">
        <f>'4JSON'!A350</f>
        <v>2231</v>
      </c>
      <c r="B356" s="25" t="str">
        <f>'4JSON'!B350</f>
        <v>Civil Engineering Technologists</v>
      </c>
      <c r="C356" s="41" t="str">
        <f>'4JSON'!C350</f>
        <v>Civil engineering technologists and technicians</v>
      </c>
      <c r="D356" s="41">
        <f>ABS(D$5-(6-'4JSON'!D350))</f>
        <v>2</v>
      </c>
      <c r="E356" s="41">
        <f>ABS(E$5-(6-'4JSON'!E350))</f>
        <v>1</v>
      </c>
      <c r="F356" s="41">
        <f>ABS(F$5-(6-'4JSON'!F350))</f>
        <v>1</v>
      </c>
      <c r="G356" s="41">
        <f>ABS(G$5-(6-'4JSON'!G350))</f>
        <v>1</v>
      </c>
      <c r="H356" s="41">
        <f>ABS(H$5-(6-'4JSON'!H350))</f>
        <v>1</v>
      </c>
      <c r="I356" s="41">
        <f>ABS(I$5-(6-'4JSON'!I350))</f>
        <v>0</v>
      </c>
      <c r="J356" s="41">
        <f>ABS(J$5-(6-'4JSON'!J350))</f>
        <v>0</v>
      </c>
      <c r="K356" s="41">
        <f>ABS(K$5-(6-'4JSON'!K350))</f>
        <v>0</v>
      </c>
      <c r="L356" s="41">
        <f>ABS(L$5-(6-'4JSON'!L350))</f>
        <v>0</v>
      </c>
      <c r="M356" s="36">
        <f t="shared" si="1"/>
        <v>6</v>
      </c>
      <c r="N356" s="42">
        <f t="shared" si="2"/>
        <v>0.8333333333</v>
      </c>
      <c r="S356" s="35">
        <f>IFERROR(__xludf.DUMMYFUNCTION("""COMPUTED_VALUE"""),2122.0)</f>
        <v>2122</v>
      </c>
    </row>
    <row r="357">
      <c r="A357" s="35">
        <f>'4JSON'!A351</f>
        <v>9524</v>
      </c>
      <c r="B357" s="25" t="str">
        <f>'4JSON'!B351</f>
        <v>Assemblers, Industrial Electrical Motors and Transformers</v>
      </c>
      <c r="C357" s="41" t="str">
        <f>'4JSON'!C351</f>
        <v>Assemblers and inspectors, electrical appliance, apparatus and equipment manufacturing</v>
      </c>
      <c r="D357" s="41">
        <f>ABS(D$5-(6-'4JSON'!D351))</f>
        <v>1</v>
      </c>
      <c r="E357" s="41">
        <f>ABS(E$5-(6-'4JSON'!E351))</f>
        <v>1</v>
      </c>
      <c r="F357" s="41">
        <f>ABS(F$5-(6-'4JSON'!F351))</f>
        <v>0</v>
      </c>
      <c r="G357" s="41">
        <f>ABS(G$5-(6-'4JSON'!G351))</f>
        <v>0</v>
      </c>
      <c r="H357" s="41">
        <f>ABS(H$5-(6-'4JSON'!H351))</f>
        <v>1</v>
      </c>
      <c r="I357" s="41">
        <f>ABS(I$5-(6-'4JSON'!I351))</f>
        <v>1</v>
      </c>
      <c r="J357" s="41">
        <f>ABS(J$5-(6-'4JSON'!J351))</f>
        <v>0</v>
      </c>
      <c r="K357" s="41">
        <f>ABS(K$5-(6-'4JSON'!K351))</f>
        <v>0</v>
      </c>
      <c r="L357" s="41">
        <f>ABS(L$5-(6-'4JSON'!L351))</f>
        <v>0</v>
      </c>
      <c r="M357" s="36">
        <f t="shared" si="1"/>
        <v>4</v>
      </c>
      <c r="N357" s="42">
        <f t="shared" si="2"/>
        <v>0.8888888889</v>
      </c>
      <c r="S357" s="35">
        <f>IFERROR(__xludf.DUMMYFUNCTION("""COMPUTED_VALUE"""),8441.0)</f>
        <v>8441</v>
      </c>
    </row>
    <row r="358">
      <c r="A358" s="35">
        <f>'4JSON'!A352</f>
        <v>5252</v>
      </c>
      <c r="B358" s="25" t="str">
        <f>'4JSON'!B352</f>
        <v>Coaches</v>
      </c>
      <c r="C358" s="41" t="str">
        <f>'4JSON'!C352</f>
        <v>Coaches</v>
      </c>
      <c r="D358" s="41">
        <f>ABS(D$5-(6-'4JSON'!D352))</f>
        <v>1</v>
      </c>
      <c r="E358" s="41">
        <f>ABS(E$5-(6-'4JSON'!E352))</f>
        <v>0</v>
      </c>
      <c r="F358" s="41">
        <f>ABS(F$5-(6-'4JSON'!F352))</f>
        <v>1</v>
      </c>
      <c r="G358" s="41">
        <f>ABS(G$5-(6-'4JSON'!G352))</f>
        <v>0</v>
      </c>
      <c r="H358" s="41">
        <f>ABS(H$5-(6-'4JSON'!H352))</f>
        <v>1</v>
      </c>
      <c r="I358" s="41">
        <f>ABS(I$5-(6-'4JSON'!I352))</f>
        <v>1</v>
      </c>
      <c r="J358" s="41">
        <f>ABS(J$5-(6-'4JSON'!J352))</f>
        <v>0</v>
      </c>
      <c r="K358" s="41">
        <f>ABS(K$5-(6-'4JSON'!K352))</f>
        <v>0</v>
      </c>
      <c r="L358" s="41">
        <f>ABS(L$5-(6-'4JSON'!L352))</f>
        <v>0</v>
      </c>
      <c r="M358" s="36">
        <f t="shared" si="1"/>
        <v>4</v>
      </c>
      <c r="N358" s="42">
        <f t="shared" si="2"/>
        <v>0.8888888889</v>
      </c>
      <c r="S358" s="35">
        <f>IFERROR(__xludf.DUMMYFUNCTION("""COMPUTED_VALUE"""),8262.0)</f>
        <v>8262</v>
      </c>
    </row>
    <row r="359">
      <c r="A359" s="35">
        <f>'4JSON'!A353</f>
        <v>3012</v>
      </c>
      <c r="B359" s="25" t="str">
        <f>'4JSON'!B353</f>
        <v>Community Health Nurses</v>
      </c>
      <c r="C359" s="41" t="str">
        <f>'4JSON'!C353</f>
        <v>Registered nurses and registered psychiatric nurses</v>
      </c>
      <c r="D359" s="41">
        <f>ABS(D$5-(6-'4JSON'!D353))</f>
        <v>2</v>
      </c>
      <c r="E359" s="41">
        <f>ABS(E$5-(6-'4JSON'!E353))</f>
        <v>1</v>
      </c>
      <c r="F359" s="41">
        <f>ABS(F$5-(6-'4JSON'!F353))</f>
        <v>0</v>
      </c>
      <c r="G359" s="41">
        <f>ABS(G$5-(6-'4JSON'!G353))</f>
        <v>0</v>
      </c>
      <c r="H359" s="41">
        <f>ABS(H$5-(6-'4JSON'!H353))</f>
        <v>1</v>
      </c>
      <c r="I359" s="41">
        <f>ABS(I$5-(6-'4JSON'!I353))</f>
        <v>0</v>
      </c>
      <c r="J359" s="41">
        <f>ABS(J$5-(6-'4JSON'!J353))</f>
        <v>0</v>
      </c>
      <c r="K359" s="41">
        <f>ABS(K$5-(6-'4JSON'!K353))</f>
        <v>0</v>
      </c>
      <c r="L359" s="41">
        <f>ABS(L$5-(6-'4JSON'!L353))</f>
        <v>0</v>
      </c>
      <c r="M359" s="36">
        <f t="shared" si="1"/>
        <v>4</v>
      </c>
      <c r="N359" s="42">
        <f t="shared" si="2"/>
        <v>0.8888888889</v>
      </c>
      <c r="S359" s="35">
        <f>IFERROR(__xludf.DUMMYFUNCTION("""COMPUTED_VALUE"""),9534.0)</f>
        <v>9534</v>
      </c>
    </row>
    <row r="360">
      <c r="A360" s="35">
        <f>'4JSON'!A354</f>
        <v>2281</v>
      </c>
      <c r="B360" s="25" t="str">
        <f>'4JSON'!B354</f>
        <v>Computer and Network Operators</v>
      </c>
      <c r="C360" s="41" t="str">
        <f>'4JSON'!C354</f>
        <v>Computer network technicians</v>
      </c>
      <c r="D360" s="41">
        <f>ABS(D$5-(6-'4JSON'!D354))</f>
        <v>2</v>
      </c>
      <c r="E360" s="41">
        <f>ABS(E$5-(6-'4JSON'!E354))</f>
        <v>0</v>
      </c>
      <c r="F360" s="41">
        <f>ABS(F$5-(6-'4JSON'!F354))</f>
        <v>1</v>
      </c>
      <c r="G360" s="41">
        <f>ABS(G$5-(6-'4JSON'!G354))</f>
        <v>0</v>
      </c>
      <c r="H360" s="41">
        <f>ABS(H$5-(6-'4JSON'!H354))</f>
        <v>1</v>
      </c>
      <c r="I360" s="41">
        <f>ABS(I$5-(6-'4JSON'!I354))</f>
        <v>0</v>
      </c>
      <c r="J360" s="41">
        <f>ABS(J$5-(6-'4JSON'!J354))</f>
        <v>0</v>
      </c>
      <c r="K360" s="41">
        <f>ABS(K$5-(6-'4JSON'!K354))</f>
        <v>0</v>
      </c>
      <c r="L360" s="41">
        <f>ABS(L$5-(6-'4JSON'!L354))</f>
        <v>0</v>
      </c>
      <c r="M360" s="36">
        <f t="shared" si="1"/>
        <v>4</v>
      </c>
      <c r="N360" s="42">
        <f t="shared" si="2"/>
        <v>0.8888888889</v>
      </c>
      <c r="S360" s="35">
        <f>IFERROR(__xludf.DUMMYFUNCTION("""COMPUTED_VALUE"""),1252.0)</f>
        <v>1252</v>
      </c>
    </row>
    <row r="361">
      <c r="A361" s="35">
        <f>'4JSON'!A355</f>
        <v>6331</v>
      </c>
      <c r="B361" s="25" t="str">
        <f>'4JSON'!B355</f>
        <v>Butchers and Meat Cutters - Retail and Wholesale</v>
      </c>
      <c r="C361" s="41" t="str">
        <f>'4JSON'!C355</f>
        <v>Butchers, meat cutters and fishmongers - retail and wholesale</v>
      </c>
      <c r="D361" s="41">
        <f>ABS(D$5-(6-'4JSON'!D355))</f>
        <v>1</v>
      </c>
      <c r="E361" s="41">
        <f>ABS(E$5-(6-'4JSON'!E355))</f>
        <v>1</v>
      </c>
      <c r="F361" s="41">
        <f>ABS(F$5-(6-'4JSON'!F355))</f>
        <v>1</v>
      </c>
      <c r="G361" s="41">
        <f>ABS(G$5-(6-'4JSON'!G355))</f>
        <v>0</v>
      </c>
      <c r="H361" s="41">
        <f>ABS(H$5-(6-'4JSON'!H355))</f>
        <v>1</v>
      </c>
      <c r="I361" s="41">
        <f>ABS(I$5-(6-'4JSON'!I355))</f>
        <v>2</v>
      </c>
      <c r="J361" s="41">
        <f>ABS(J$5-(6-'4JSON'!J355))</f>
        <v>0</v>
      </c>
      <c r="K361" s="41">
        <f>ABS(K$5-(6-'4JSON'!K355))</f>
        <v>0</v>
      </c>
      <c r="L361" s="41">
        <f>ABS(L$5-(6-'4JSON'!L355))</f>
        <v>0</v>
      </c>
      <c r="M361" s="36">
        <f t="shared" si="1"/>
        <v>6</v>
      </c>
      <c r="N361" s="42">
        <f t="shared" si="2"/>
        <v>0.8333333333</v>
      </c>
      <c r="S361" s="35">
        <f>IFERROR(__xludf.DUMMYFUNCTION("""COMPUTED_VALUE"""),8431.0)</f>
        <v>8431</v>
      </c>
    </row>
    <row r="362">
      <c r="A362" s="35">
        <f>'4JSON'!A356</f>
        <v>9414</v>
      </c>
      <c r="B362" s="25" t="str">
        <f>'4JSON'!B356</f>
        <v>Clay Products Forming and Finishing Machine Operators</v>
      </c>
      <c r="C362" s="41" t="str">
        <f>'4JSON'!C356</f>
        <v>Concrete, clay and stone forming operators</v>
      </c>
      <c r="D362" s="41">
        <f>ABS(D$5-(6-'4JSON'!D356))</f>
        <v>1</v>
      </c>
      <c r="E362" s="41">
        <f>ABS(E$5-(6-'4JSON'!E356))</f>
        <v>1</v>
      </c>
      <c r="F362" s="41">
        <f>ABS(F$5-(6-'4JSON'!F356))</f>
        <v>1</v>
      </c>
      <c r="G362" s="41">
        <f>ABS(G$5-(6-'4JSON'!G356))</f>
        <v>0</v>
      </c>
      <c r="H362" s="41">
        <f>ABS(H$5-(6-'4JSON'!H356))</f>
        <v>1</v>
      </c>
      <c r="I362" s="41">
        <f>ABS(I$5-(6-'4JSON'!I356))</f>
        <v>1</v>
      </c>
      <c r="J362" s="41">
        <f>ABS(J$5-(6-'4JSON'!J356))</f>
        <v>0</v>
      </c>
      <c r="K362" s="41">
        <f>ABS(K$5-(6-'4JSON'!K356))</f>
        <v>1</v>
      </c>
      <c r="L362" s="41">
        <f>ABS(L$5-(6-'4JSON'!L356))</f>
        <v>0</v>
      </c>
      <c r="M362" s="36">
        <f t="shared" si="1"/>
        <v>6</v>
      </c>
      <c r="N362" s="42">
        <f t="shared" si="2"/>
        <v>0.8333333333</v>
      </c>
      <c r="S362" s="35">
        <f>IFERROR(__xludf.DUMMYFUNCTION("""COMPUTED_VALUE"""),2263.0)</f>
        <v>2263</v>
      </c>
    </row>
    <row r="363">
      <c r="A363" s="35">
        <f>'4JSON'!A357</f>
        <v>3223</v>
      </c>
      <c r="B363" s="25" t="str">
        <f>'4JSON'!B357</f>
        <v>Dental Technologists and Technicians</v>
      </c>
      <c r="C363" s="41" t="str">
        <f>'4JSON'!C357</f>
        <v>Dental technologists, technicians and laboratory assistants</v>
      </c>
      <c r="D363" s="41">
        <f>ABS(D$5-(6-'4JSON'!D357))</f>
        <v>1</v>
      </c>
      <c r="E363" s="41">
        <f>ABS(E$5-(6-'4JSON'!E357))</f>
        <v>0</v>
      </c>
      <c r="F363" s="41">
        <f>ABS(F$5-(6-'4JSON'!F357))</f>
        <v>0</v>
      </c>
      <c r="G363" s="41">
        <f>ABS(G$5-(6-'4JSON'!G357))</f>
        <v>1</v>
      </c>
      <c r="H363" s="41">
        <f>ABS(H$5-(6-'4JSON'!H357))</f>
        <v>0</v>
      </c>
      <c r="I363" s="41">
        <f>ABS(I$5-(6-'4JSON'!I357))</f>
        <v>0</v>
      </c>
      <c r="J363" s="41">
        <f>ABS(J$5-(6-'4JSON'!J357))</f>
        <v>0</v>
      </c>
      <c r="K363" s="41">
        <f>ABS(K$5-(6-'4JSON'!K357))</f>
        <v>1</v>
      </c>
      <c r="L363" s="41">
        <f>ABS(L$5-(6-'4JSON'!L357))</f>
        <v>1</v>
      </c>
      <c r="M363" s="36">
        <f t="shared" si="1"/>
        <v>4</v>
      </c>
      <c r="N363" s="42">
        <f t="shared" si="2"/>
        <v>0.8888888889</v>
      </c>
      <c r="S363" s="35">
        <f>IFERROR(__xludf.DUMMYFUNCTION("""COMPUTED_VALUE"""),7293.0)</f>
        <v>7293</v>
      </c>
    </row>
    <row r="364">
      <c r="A364" s="35">
        <f>'4JSON'!A358</f>
        <v>2253</v>
      </c>
      <c r="B364" s="25" t="str">
        <f>'4JSON'!B358</f>
        <v>Drafting Technicians</v>
      </c>
      <c r="C364" s="41" t="str">
        <f>'4JSON'!C358</f>
        <v>Drafting technologists and technicians</v>
      </c>
      <c r="D364" s="41">
        <f>ABS(D$5-(6-'4JSON'!D358))</f>
        <v>1</v>
      </c>
      <c r="E364" s="41">
        <f>ABS(E$5-(6-'4JSON'!E358))</f>
        <v>0</v>
      </c>
      <c r="F364" s="41">
        <f>ABS(F$5-(6-'4JSON'!F358))</f>
        <v>0</v>
      </c>
      <c r="G364" s="41">
        <f>ABS(G$5-(6-'4JSON'!G358))</f>
        <v>1</v>
      </c>
      <c r="H364" s="41">
        <f>ABS(H$5-(6-'4JSON'!H358))</f>
        <v>0</v>
      </c>
      <c r="I364" s="41">
        <f>ABS(I$5-(6-'4JSON'!I358))</f>
        <v>0</v>
      </c>
      <c r="J364" s="41">
        <f>ABS(J$5-(6-'4JSON'!J358))</f>
        <v>1</v>
      </c>
      <c r="K364" s="41">
        <f>ABS(K$5-(6-'4JSON'!K358))</f>
        <v>1</v>
      </c>
      <c r="L364" s="41">
        <f>ABS(L$5-(6-'4JSON'!L358))</f>
        <v>0</v>
      </c>
      <c r="M364" s="36">
        <f t="shared" si="1"/>
        <v>4</v>
      </c>
      <c r="N364" s="42">
        <f t="shared" si="2"/>
        <v>0.8888888889</v>
      </c>
      <c r="S364" s="35">
        <f>IFERROR(__xludf.DUMMYFUNCTION("""COMPUTED_VALUE"""),3144.0)</f>
        <v>3144</v>
      </c>
    </row>
    <row r="365">
      <c r="A365" s="35">
        <f>'4JSON'!A359</f>
        <v>9414</v>
      </c>
      <c r="B365" s="25" t="str">
        <f>'4JSON'!B359</f>
        <v>Concrete Products Forming and Finishing Workers</v>
      </c>
      <c r="C365" s="41" t="str">
        <f>'4JSON'!C359</f>
        <v>Concrete, clay and stone forming operators</v>
      </c>
      <c r="D365" s="41">
        <f>ABS(D$5-(6-'4JSON'!D359))</f>
        <v>1</v>
      </c>
      <c r="E365" s="41">
        <f>ABS(E$5-(6-'4JSON'!E359))</f>
        <v>1</v>
      </c>
      <c r="F365" s="41">
        <f>ABS(F$5-(6-'4JSON'!F359))</f>
        <v>1</v>
      </c>
      <c r="G365" s="41">
        <f>ABS(G$5-(6-'4JSON'!G359))</f>
        <v>0</v>
      </c>
      <c r="H365" s="41">
        <f>ABS(H$5-(6-'4JSON'!H359))</f>
        <v>1</v>
      </c>
      <c r="I365" s="41">
        <f>ABS(I$5-(6-'4JSON'!I359))</f>
        <v>1</v>
      </c>
      <c r="J365" s="41">
        <f>ABS(J$5-(6-'4JSON'!J359))</f>
        <v>0</v>
      </c>
      <c r="K365" s="41">
        <f>ABS(K$5-(6-'4JSON'!K359))</f>
        <v>1</v>
      </c>
      <c r="L365" s="41">
        <f>ABS(L$5-(6-'4JSON'!L359))</f>
        <v>0</v>
      </c>
      <c r="M365" s="36">
        <f t="shared" si="1"/>
        <v>6</v>
      </c>
      <c r="N365" s="42">
        <f t="shared" si="2"/>
        <v>0.8333333333</v>
      </c>
      <c r="S365" s="35">
        <f>IFERROR(__xludf.DUMMYFUNCTION("""COMPUTED_VALUE"""),6622.0)</f>
        <v>6622</v>
      </c>
    </row>
    <row r="366">
      <c r="A366" s="35">
        <f>'4JSON'!A360</f>
        <v>9414</v>
      </c>
      <c r="B366" s="25" t="str">
        <f>'4JSON'!B360</f>
        <v>Concrete Products Machine Operators</v>
      </c>
      <c r="C366" s="41" t="str">
        <f>'4JSON'!C360</f>
        <v>Concrete, clay and stone forming operators</v>
      </c>
      <c r="D366" s="41">
        <f>ABS(D$5-(6-'4JSON'!D360))</f>
        <v>1</v>
      </c>
      <c r="E366" s="41">
        <f>ABS(E$5-(6-'4JSON'!E360))</f>
        <v>1</v>
      </c>
      <c r="F366" s="41">
        <f>ABS(F$5-(6-'4JSON'!F360))</f>
        <v>1</v>
      </c>
      <c r="G366" s="41">
        <f>ABS(G$5-(6-'4JSON'!G360))</f>
        <v>0</v>
      </c>
      <c r="H366" s="41">
        <f>ABS(H$5-(6-'4JSON'!H360))</f>
        <v>1</v>
      </c>
      <c r="I366" s="41">
        <f>ABS(I$5-(6-'4JSON'!I360))</f>
        <v>1</v>
      </c>
      <c r="J366" s="41">
        <f>ABS(J$5-(6-'4JSON'!J360))</f>
        <v>0</v>
      </c>
      <c r="K366" s="41">
        <f>ABS(K$5-(6-'4JSON'!K360))</f>
        <v>1</v>
      </c>
      <c r="L366" s="41">
        <f>ABS(L$5-(6-'4JSON'!L360))</f>
        <v>0</v>
      </c>
      <c r="M366" s="36">
        <f t="shared" si="1"/>
        <v>6</v>
      </c>
      <c r="N366" s="42">
        <f t="shared" si="2"/>
        <v>0.8333333333</v>
      </c>
      <c r="S366" s="35">
        <f>IFERROR(__xludf.DUMMYFUNCTION("""COMPUTED_VALUE"""),2275.0)</f>
        <v>2275</v>
      </c>
    </row>
    <row r="367">
      <c r="A367" s="35">
        <f>'4JSON'!A361</f>
        <v>2274</v>
      </c>
      <c r="B367" s="25" t="str">
        <f>'4JSON'!B361</f>
        <v>Engineer Officers, Water Transport</v>
      </c>
      <c r="C367" s="41" t="str">
        <f>'4JSON'!C361</f>
        <v>Engineer officers, water transport</v>
      </c>
      <c r="D367" s="41">
        <f>ABS(D$5-(6-'4JSON'!D361))</f>
        <v>2</v>
      </c>
      <c r="E367" s="41">
        <f>ABS(E$5-(6-'4JSON'!E361))</f>
        <v>0</v>
      </c>
      <c r="F367" s="41">
        <f>ABS(F$5-(6-'4JSON'!F361))</f>
        <v>0</v>
      </c>
      <c r="G367" s="41">
        <f>ABS(G$5-(6-'4JSON'!G361))</f>
        <v>1</v>
      </c>
      <c r="H367" s="41">
        <f>ABS(H$5-(6-'4JSON'!H361))</f>
        <v>1</v>
      </c>
      <c r="I367" s="41">
        <f>ABS(I$5-(6-'4JSON'!I361))</f>
        <v>1</v>
      </c>
      <c r="J367" s="41">
        <f>ABS(J$5-(6-'4JSON'!J361))</f>
        <v>0</v>
      </c>
      <c r="K367" s="41">
        <f>ABS(K$5-(6-'4JSON'!K361))</f>
        <v>1</v>
      </c>
      <c r="L367" s="41">
        <f>ABS(L$5-(6-'4JSON'!L361))</f>
        <v>0</v>
      </c>
      <c r="M367" s="36">
        <f t="shared" si="1"/>
        <v>6</v>
      </c>
      <c r="N367" s="42">
        <f t="shared" si="2"/>
        <v>0.8333333333</v>
      </c>
      <c r="S367" s="35">
        <f>IFERROR(__xludf.DUMMYFUNCTION("""COMPUTED_VALUE"""),7452.0)</f>
        <v>7452</v>
      </c>
    </row>
    <row r="368">
      <c r="A368" s="35">
        <f>'4JSON'!A362</f>
        <v>9525</v>
      </c>
      <c r="B368" s="25" t="str">
        <f>'4JSON'!B362</f>
        <v>Electrical Fitters and Wirers, Industrial Electrical Motors and Transformers</v>
      </c>
      <c r="C368" s="41" t="str">
        <f>'4JSON'!C362</f>
        <v>Assemblers, fabricators and inspectors, industrial electrical motors and transformers</v>
      </c>
      <c r="D368" s="41">
        <f>ABS(D$5-(6-'4JSON'!D362))</f>
        <v>1</v>
      </c>
      <c r="E368" s="41">
        <f>ABS(E$5-(6-'4JSON'!E362))</f>
        <v>1</v>
      </c>
      <c r="F368" s="41">
        <f>ABS(F$5-(6-'4JSON'!F362))</f>
        <v>0</v>
      </c>
      <c r="G368" s="41">
        <f>ABS(G$5-(6-'4JSON'!G362))</f>
        <v>0</v>
      </c>
      <c r="H368" s="41">
        <f>ABS(H$5-(6-'4JSON'!H362))</f>
        <v>1</v>
      </c>
      <c r="I368" s="41">
        <f>ABS(I$5-(6-'4JSON'!I362))</f>
        <v>1</v>
      </c>
      <c r="J368" s="41">
        <f>ABS(J$5-(6-'4JSON'!J362))</f>
        <v>0</v>
      </c>
      <c r="K368" s="41">
        <f>ABS(K$5-(6-'4JSON'!K362))</f>
        <v>0</v>
      </c>
      <c r="L368" s="41">
        <f>ABS(L$5-(6-'4JSON'!L362))</f>
        <v>0</v>
      </c>
      <c r="M368" s="36">
        <f t="shared" si="1"/>
        <v>4</v>
      </c>
      <c r="N368" s="42">
        <f t="shared" si="2"/>
        <v>0.8888888889</v>
      </c>
      <c r="S368" s="35">
        <f>IFERROR(__xludf.DUMMYFUNCTION("""COMPUTED_VALUE"""),9522.0)</f>
        <v>9522</v>
      </c>
    </row>
    <row r="369">
      <c r="A369" s="35">
        <f>'4JSON'!A363</f>
        <v>5243</v>
      </c>
      <c r="B369" s="25" t="str">
        <f>'4JSON'!B363</f>
        <v>Fashion Designers</v>
      </c>
      <c r="C369" s="41" t="str">
        <f>'4JSON'!C363</f>
        <v>Theatre, fashion, exhibit and other creative designers</v>
      </c>
      <c r="D369" s="41">
        <f>ABS(D$5-(6-'4JSON'!D363))</f>
        <v>2</v>
      </c>
      <c r="E369" s="41">
        <f>ABS(E$5-(6-'4JSON'!E363))</f>
        <v>0</v>
      </c>
      <c r="F369" s="41">
        <f>ABS(F$5-(6-'4JSON'!F363))</f>
        <v>0</v>
      </c>
      <c r="G369" s="41">
        <f>ABS(G$5-(6-'4JSON'!G363))</f>
        <v>1</v>
      </c>
      <c r="H369" s="41">
        <f>ABS(H$5-(6-'4JSON'!H363))</f>
        <v>0</v>
      </c>
      <c r="I369" s="41">
        <f>ABS(I$5-(6-'4JSON'!I363))</f>
        <v>1</v>
      </c>
      <c r="J369" s="41">
        <f>ABS(J$5-(6-'4JSON'!J363))</f>
        <v>1</v>
      </c>
      <c r="K369" s="41">
        <f>ABS(K$5-(6-'4JSON'!K363))</f>
        <v>1</v>
      </c>
      <c r="L369" s="41">
        <f>ABS(L$5-(6-'4JSON'!L363))</f>
        <v>0</v>
      </c>
      <c r="M369" s="36">
        <f t="shared" si="1"/>
        <v>6</v>
      </c>
      <c r="N369" s="42">
        <f t="shared" si="2"/>
        <v>0.8333333333</v>
      </c>
      <c r="S369" s="35">
        <f>IFERROR(__xludf.DUMMYFUNCTION("""COMPUTED_VALUE"""),3413.0)</f>
        <v>3413</v>
      </c>
    </row>
    <row r="370">
      <c r="A370" s="35">
        <f>'4JSON'!A364</f>
        <v>5222</v>
      </c>
      <c r="B370" s="25" t="str">
        <f>'4JSON'!B364</f>
        <v>Film and Video Camera Operators</v>
      </c>
      <c r="C370" s="41" t="str">
        <f>'4JSON'!C364</f>
        <v>Film and video camera operators</v>
      </c>
      <c r="D370" s="41">
        <f>ABS(D$5-(6-'4JSON'!D364))</f>
        <v>1</v>
      </c>
      <c r="E370" s="41">
        <f>ABS(E$5-(6-'4JSON'!E364))</f>
        <v>0</v>
      </c>
      <c r="F370" s="41">
        <f>ABS(F$5-(6-'4JSON'!F364))</f>
        <v>1</v>
      </c>
      <c r="G370" s="41">
        <f>ABS(G$5-(6-'4JSON'!G364))</f>
        <v>1</v>
      </c>
      <c r="H370" s="41">
        <f>ABS(H$5-(6-'4JSON'!H364))</f>
        <v>0</v>
      </c>
      <c r="I370" s="41">
        <f>ABS(I$5-(6-'4JSON'!I364))</f>
        <v>1</v>
      </c>
      <c r="J370" s="41">
        <f>ABS(J$5-(6-'4JSON'!J364))</f>
        <v>0</v>
      </c>
      <c r="K370" s="41">
        <f>ABS(K$5-(6-'4JSON'!K364))</f>
        <v>0</v>
      </c>
      <c r="L370" s="41">
        <f>ABS(L$5-(6-'4JSON'!L364))</f>
        <v>0</v>
      </c>
      <c r="M370" s="36">
        <f t="shared" si="1"/>
        <v>4</v>
      </c>
      <c r="N370" s="42">
        <f t="shared" si="2"/>
        <v>0.8888888889</v>
      </c>
      <c r="S370" s="35">
        <f>IFERROR(__xludf.DUMMYFUNCTION("""COMPUTED_VALUE"""),9235.0)</f>
        <v>9235</v>
      </c>
    </row>
    <row r="371">
      <c r="A371" s="35">
        <f>'4JSON'!A365</f>
        <v>7253</v>
      </c>
      <c r="B371" s="25" t="str">
        <f>'4JSON'!B365</f>
        <v>Gas Fitters</v>
      </c>
      <c r="C371" s="41" t="str">
        <f>'4JSON'!C365</f>
        <v>Gas fitters</v>
      </c>
      <c r="D371" s="41">
        <f>ABS(D$5-(6-'4JSON'!D365))</f>
        <v>1</v>
      </c>
      <c r="E371" s="41">
        <f>ABS(E$5-(6-'4JSON'!E365))</f>
        <v>0</v>
      </c>
      <c r="F371" s="41">
        <f>ABS(F$5-(6-'4JSON'!F365))</f>
        <v>0</v>
      </c>
      <c r="G371" s="41">
        <f>ABS(G$5-(6-'4JSON'!G365))</f>
        <v>0</v>
      </c>
      <c r="H371" s="41">
        <f>ABS(H$5-(6-'4JSON'!H365))</f>
        <v>1</v>
      </c>
      <c r="I371" s="41">
        <f>ABS(I$5-(6-'4JSON'!I365))</f>
        <v>0</v>
      </c>
      <c r="J371" s="41">
        <f>ABS(J$5-(6-'4JSON'!J365))</f>
        <v>0</v>
      </c>
      <c r="K371" s="41">
        <f>ABS(K$5-(6-'4JSON'!K365))</f>
        <v>0</v>
      </c>
      <c r="L371" s="41">
        <f>ABS(L$5-(6-'4JSON'!L365))</f>
        <v>0</v>
      </c>
      <c r="M371" s="36">
        <f t="shared" si="1"/>
        <v>2</v>
      </c>
      <c r="N371" s="42">
        <f t="shared" si="2"/>
        <v>0.9444444444</v>
      </c>
      <c r="S371" s="35">
        <f>IFERROR(__xludf.DUMMYFUNCTION("""COMPUTED_VALUE"""),7612.0)</f>
        <v>7612</v>
      </c>
    </row>
    <row r="372">
      <c r="A372" s="35">
        <f>'4JSON'!A366</f>
        <v>3012</v>
      </c>
      <c r="B372" s="25" t="str">
        <f>'4JSON'!B366</f>
        <v>General Duty Registered Nurses</v>
      </c>
      <c r="C372" s="41" t="str">
        <f>'4JSON'!C366</f>
        <v>Registered nurses and registered psychiatric nurses</v>
      </c>
      <c r="D372" s="41">
        <f>ABS(D$5-(6-'4JSON'!D366))</f>
        <v>2</v>
      </c>
      <c r="E372" s="41">
        <f>ABS(E$5-(6-'4JSON'!E366))</f>
        <v>1</v>
      </c>
      <c r="F372" s="41">
        <f>ABS(F$5-(6-'4JSON'!F366))</f>
        <v>0</v>
      </c>
      <c r="G372" s="41">
        <f>ABS(G$5-(6-'4JSON'!G366))</f>
        <v>0</v>
      </c>
      <c r="H372" s="41">
        <f>ABS(H$5-(6-'4JSON'!H366))</f>
        <v>1</v>
      </c>
      <c r="I372" s="41">
        <f>ABS(I$5-(6-'4JSON'!I366))</f>
        <v>0</v>
      </c>
      <c r="J372" s="41">
        <f>ABS(J$5-(6-'4JSON'!J366))</f>
        <v>0</v>
      </c>
      <c r="K372" s="41">
        <f>ABS(K$5-(6-'4JSON'!K366))</f>
        <v>0</v>
      </c>
      <c r="L372" s="41">
        <f>ABS(L$5-(6-'4JSON'!L366))</f>
        <v>0</v>
      </c>
      <c r="M372" s="36">
        <f t="shared" si="1"/>
        <v>4</v>
      </c>
      <c r="N372" s="42">
        <f t="shared" si="2"/>
        <v>0.8888888889</v>
      </c>
      <c r="S372" s="35">
        <f>IFERROR(__xludf.DUMMYFUNCTION("""COMPUTED_VALUE"""),2115.0)</f>
        <v>2115</v>
      </c>
    </row>
    <row r="373">
      <c r="A373" s="35">
        <f>'4JSON'!A367</f>
        <v>2255</v>
      </c>
      <c r="B373" s="25" t="str">
        <f>'4JSON'!B367</f>
        <v>Geographic Information Systems (GIS) Technologists and Technicians</v>
      </c>
      <c r="C373" s="41" t="str">
        <f>'4JSON'!C367</f>
        <v>Technical occupations in geomatics and meteorology</v>
      </c>
      <c r="D373" s="41">
        <f>ABS(D$5-(6-'4JSON'!D367))</f>
        <v>2</v>
      </c>
      <c r="E373" s="41">
        <f>ABS(E$5-(6-'4JSON'!E367))</f>
        <v>0</v>
      </c>
      <c r="F373" s="41">
        <f>ABS(F$5-(6-'4JSON'!F367))</f>
        <v>1</v>
      </c>
      <c r="G373" s="41">
        <f>ABS(G$5-(6-'4JSON'!G367))</f>
        <v>1</v>
      </c>
      <c r="H373" s="41">
        <f>ABS(H$5-(6-'4JSON'!H367))</f>
        <v>0</v>
      </c>
      <c r="I373" s="41">
        <f>ABS(I$5-(6-'4JSON'!I367))</f>
        <v>0</v>
      </c>
      <c r="J373" s="41">
        <f>ABS(J$5-(6-'4JSON'!J367))</f>
        <v>0</v>
      </c>
      <c r="K373" s="41">
        <f>ABS(K$5-(6-'4JSON'!K367))</f>
        <v>0</v>
      </c>
      <c r="L373" s="41">
        <f>ABS(L$5-(6-'4JSON'!L367))</f>
        <v>0</v>
      </c>
      <c r="M373" s="36">
        <f t="shared" si="1"/>
        <v>4</v>
      </c>
      <c r="N373" s="42">
        <f t="shared" si="2"/>
        <v>0.8888888889</v>
      </c>
      <c r="S373" s="35">
        <f>IFERROR(__xludf.DUMMYFUNCTION("""COMPUTED_VALUE"""),7444.0)</f>
        <v>7444</v>
      </c>
    </row>
    <row r="374">
      <c r="A374" s="35">
        <f>'4JSON'!A368</f>
        <v>2212</v>
      </c>
      <c r="B374" s="25" t="str">
        <f>'4JSON'!B368</f>
        <v>Geological and Mineral Technicians</v>
      </c>
      <c r="C374" s="41" t="str">
        <f>'4JSON'!C368</f>
        <v>Geological and mineral technologists and technicians</v>
      </c>
      <c r="D374" s="41">
        <f>ABS(D$5-(6-'4JSON'!D368))</f>
        <v>2</v>
      </c>
      <c r="E374" s="41">
        <f>ABS(E$5-(6-'4JSON'!E368))</f>
        <v>0</v>
      </c>
      <c r="F374" s="41">
        <f>ABS(F$5-(6-'4JSON'!F368))</f>
        <v>1</v>
      </c>
      <c r="G374" s="41">
        <f>ABS(G$5-(6-'4JSON'!G368))</f>
        <v>1</v>
      </c>
      <c r="H374" s="41">
        <f>ABS(H$5-(6-'4JSON'!H368))</f>
        <v>0</v>
      </c>
      <c r="I374" s="41">
        <f>ABS(I$5-(6-'4JSON'!I368))</f>
        <v>0</v>
      </c>
      <c r="J374" s="41">
        <f>ABS(J$5-(6-'4JSON'!J368))</f>
        <v>0</v>
      </c>
      <c r="K374" s="41">
        <f>ABS(K$5-(6-'4JSON'!K368))</f>
        <v>0</v>
      </c>
      <c r="L374" s="41">
        <f>ABS(L$5-(6-'4JSON'!L368))</f>
        <v>0</v>
      </c>
      <c r="M374" s="36">
        <f t="shared" si="1"/>
        <v>4</v>
      </c>
      <c r="N374" s="42">
        <f t="shared" si="2"/>
        <v>0.8888888889</v>
      </c>
      <c r="S374" s="35">
        <f>IFERROR(__xludf.DUMMYFUNCTION("""COMPUTED_VALUE"""),4012.0)</f>
        <v>4012</v>
      </c>
    </row>
    <row r="375">
      <c r="A375" s="35">
        <f>'4JSON'!A369</f>
        <v>5223</v>
      </c>
      <c r="B375" s="25" t="str">
        <f>'4JSON'!B369</f>
        <v>Graphic Arts Technicians</v>
      </c>
      <c r="C375" s="41" t="str">
        <f>'4JSON'!C369</f>
        <v>Graphic arts technicians</v>
      </c>
      <c r="D375" s="41">
        <f>ABS(D$5-(6-'4JSON'!D369))</f>
        <v>1</v>
      </c>
      <c r="E375" s="41">
        <f>ABS(E$5-(6-'4JSON'!E369))</f>
        <v>0</v>
      </c>
      <c r="F375" s="41">
        <f>ABS(F$5-(6-'4JSON'!F369))</f>
        <v>1</v>
      </c>
      <c r="G375" s="41">
        <f>ABS(G$5-(6-'4JSON'!G369))</f>
        <v>0</v>
      </c>
      <c r="H375" s="41">
        <f>ABS(H$5-(6-'4JSON'!H369))</f>
        <v>1</v>
      </c>
      <c r="I375" s="41">
        <f>ABS(I$5-(6-'4JSON'!I369))</f>
        <v>1</v>
      </c>
      <c r="J375" s="41">
        <f>ABS(J$5-(6-'4JSON'!J369))</f>
        <v>0</v>
      </c>
      <c r="K375" s="41">
        <f>ABS(K$5-(6-'4JSON'!K369))</f>
        <v>0</v>
      </c>
      <c r="L375" s="41">
        <f>ABS(L$5-(6-'4JSON'!L369))</f>
        <v>0</v>
      </c>
      <c r="M375" s="36">
        <f t="shared" si="1"/>
        <v>4</v>
      </c>
      <c r="N375" s="42">
        <f t="shared" si="2"/>
        <v>0.8888888889</v>
      </c>
      <c r="S375" s="35">
        <f>IFERROR(__xludf.DUMMYFUNCTION("""COMPUTED_VALUE"""),9535.0)</f>
        <v>9535</v>
      </c>
    </row>
    <row r="376">
      <c r="A376" s="35">
        <f>'4JSON'!A370</f>
        <v>2243</v>
      </c>
      <c r="B376" s="25" t="str">
        <f>'4JSON'!B370</f>
        <v>Industrial Instrument Technicians and Mechanics</v>
      </c>
      <c r="C376" s="41" t="str">
        <f>'4JSON'!C370</f>
        <v>Industrial instrument technicians and mechanics</v>
      </c>
      <c r="D376" s="41">
        <f>ABS(D$5-(6-'4JSON'!D370))</f>
        <v>1</v>
      </c>
      <c r="E376" s="41">
        <f>ABS(E$5-(6-'4JSON'!E370))</f>
        <v>0</v>
      </c>
      <c r="F376" s="41">
        <f>ABS(F$5-(6-'4JSON'!F370))</f>
        <v>0</v>
      </c>
      <c r="G376" s="41">
        <f>ABS(G$5-(6-'4JSON'!G370))</f>
        <v>0</v>
      </c>
      <c r="H376" s="41">
        <f>ABS(H$5-(6-'4JSON'!H370))</f>
        <v>1</v>
      </c>
      <c r="I376" s="41">
        <f>ABS(I$5-(6-'4JSON'!I370))</f>
        <v>1</v>
      </c>
      <c r="J376" s="41">
        <f>ABS(J$5-(6-'4JSON'!J370))</f>
        <v>1</v>
      </c>
      <c r="K376" s="41">
        <f>ABS(K$5-(6-'4JSON'!K370))</f>
        <v>1</v>
      </c>
      <c r="L376" s="41">
        <f>ABS(L$5-(6-'4JSON'!L370))</f>
        <v>1</v>
      </c>
      <c r="M376" s="36">
        <f t="shared" si="1"/>
        <v>6</v>
      </c>
      <c r="N376" s="42">
        <f t="shared" si="2"/>
        <v>0.8333333333</v>
      </c>
      <c r="S376" s="35">
        <f>IFERROR(__xludf.DUMMYFUNCTION("""COMPUTED_VALUE"""),1225.0)</f>
        <v>1225</v>
      </c>
    </row>
    <row r="377">
      <c r="A377" s="35">
        <f>'4JSON'!A371</f>
        <v>5242</v>
      </c>
      <c r="B377" s="25" t="str">
        <f>'4JSON'!B371</f>
        <v>Interior Designers</v>
      </c>
      <c r="C377" s="41" t="str">
        <f>'4JSON'!C371</f>
        <v>Interior designers and interior decorators</v>
      </c>
      <c r="D377" s="41">
        <f>ABS(D$5-(6-'4JSON'!D371))</f>
        <v>2</v>
      </c>
      <c r="E377" s="41">
        <f>ABS(E$5-(6-'4JSON'!E371))</f>
        <v>0</v>
      </c>
      <c r="F377" s="41">
        <f>ABS(F$5-(6-'4JSON'!F371))</f>
        <v>0</v>
      </c>
      <c r="G377" s="41">
        <f>ABS(G$5-(6-'4JSON'!G371))</f>
        <v>1</v>
      </c>
      <c r="H377" s="41">
        <f>ABS(H$5-(6-'4JSON'!H371))</f>
        <v>0</v>
      </c>
      <c r="I377" s="41">
        <f>ABS(I$5-(6-'4JSON'!I371))</f>
        <v>0</v>
      </c>
      <c r="J377" s="41">
        <f>ABS(J$5-(6-'4JSON'!J371))</f>
        <v>0</v>
      </c>
      <c r="K377" s="41">
        <f>ABS(K$5-(6-'4JSON'!K371))</f>
        <v>0</v>
      </c>
      <c r="L377" s="41">
        <f>ABS(L$5-(6-'4JSON'!L371))</f>
        <v>1</v>
      </c>
      <c r="M377" s="36">
        <f t="shared" si="1"/>
        <v>4</v>
      </c>
      <c r="N377" s="42">
        <f t="shared" si="2"/>
        <v>0.8888888889</v>
      </c>
      <c r="S377" s="35">
        <f>IFERROR(__xludf.DUMMYFUNCTION("""COMPUTED_VALUE"""),9432.0)</f>
        <v>9432</v>
      </c>
    </row>
    <row r="378">
      <c r="A378" s="35">
        <f>'4JSON'!A372</f>
        <v>7318</v>
      </c>
      <c r="B378" s="25" t="str">
        <f>'4JSON'!B372</f>
        <v>Elevator Constructors and Mechanics</v>
      </c>
      <c r="C378" s="41" t="str">
        <f>'4JSON'!C372</f>
        <v>Elevator constructors and mechanics</v>
      </c>
      <c r="D378" s="41">
        <f>ABS(D$5-(6-'4JSON'!D372))</f>
        <v>1</v>
      </c>
      <c r="E378" s="41">
        <f>ABS(E$5-(6-'4JSON'!E372))</f>
        <v>1</v>
      </c>
      <c r="F378" s="41">
        <f>ABS(F$5-(6-'4JSON'!F372))</f>
        <v>0</v>
      </c>
      <c r="G378" s="41">
        <f>ABS(G$5-(6-'4JSON'!G372))</f>
        <v>0</v>
      </c>
      <c r="H378" s="41">
        <f>ABS(H$5-(6-'4JSON'!H372))</f>
        <v>1</v>
      </c>
      <c r="I378" s="41">
        <f>ABS(I$5-(6-'4JSON'!I372))</f>
        <v>1</v>
      </c>
      <c r="J378" s="41">
        <f>ABS(J$5-(6-'4JSON'!J372))</f>
        <v>0</v>
      </c>
      <c r="K378" s="41">
        <f>ABS(K$5-(6-'4JSON'!K372))</f>
        <v>0</v>
      </c>
      <c r="L378" s="41">
        <f>ABS(L$5-(6-'4JSON'!L372))</f>
        <v>0</v>
      </c>
      <c r="M378" s="36">
        <f t="shared" si="1"/>
        <v>4</v>
      </c>
      <c r="N378" s="42">
        <f t="shared" si="2"/>
        <v>0.8888888889</v>
      </c>
      <c r="S378" s="35">
        <f>IFERROR(__xludf.DUMMYFUNCTION("""COMPUTED_VALUE"""),1253.0)</f>
        <v>1253</v>
      </c>
    </row>
    <row r="379">
      <c r="A379" s="35">
        <f>'4JSON'!A373</f>
        <v>6344</v>
      </c>
      <c r="B379" s="25" t="str">
        <f>'4JSON'!B373</f>
        <v>Jewellers and Related Workers</v>
      </c>
      <c r="C379" s="41" t="str">
        <f>'4JSON'!C373</f>
        <v>Jewellers, jewellery and watch repairers and related occupations</v>
      </c>
      <c r="D379" s="41">
        <f>ABS(D$5-(6-'4JSON'!D373))</f>
        <v>1</v>
      </c>
      <c r="E379" s="41">
        <f>ABS(E$5-(6-'4JSON'!E373))</f>
        <v>0</v>
      </c>
      <c r="F379" s="41">
        <f>ABS(F$5-(6-'4JSON'!F373))</f>
        <v>0</v>
      </c>
      <c r="G379" s="41">
        <f>ABS(G$5-(6-'4JSON'!G373))</f>
        <v>1</v>
      </c>
      <c r="H379" s="41">
        <f>ABS(H$5-(6-'4JSON'!H373))</f>
        <v>0</v>
      </c>
      <c r="I379" s="41">
        <f>ABS(I$5-(6-'4JSON'!I373))</f>
        <v>1</v>
      </c>
      <c r="J379" s="41">
        <f>ABS(J$5-(6-'4JSON'!J373))</f>
        <v>2</v>
      </c>
      <c r="K379" s="41">
        <f>ABS(K$5-(6-'4JSON'!K373))</f>
        <v>2</v>
      </c>
      <c r="L379" s="41">
        <f>ABS(L$5-(6-'4JSON'!L373))</f>
        <v>1</v>
      </c>
      <c r="M379" s="36">
        <f t="shared" si="1"/>
        <v>8</v>
      </c>
      <c r="N379" s="42">
        <f t="shared" si="2"/>
        <v>0.7777777778</v>
      </c>
      <c r="S379" s="35">
        <f>IFERROR(__xludf.DUMMYFUNCTION("""COMPUTED_VALUE"""),6222.0)</f>
        <v>6222</v>
      </c>
    </row>
    <row r="380">
      <c r="A380" s="35">
        <f>'4JSON'!A374</f>
        <v>2254</v>
      </c>
      <c r="B380" s="25" t="str">
        <f>'4JSON'!B374</f>
        <v>Land Survey Technicians</v>
      </c>
      <c r="C380" s="41" t="str">
        <f>'4JSON'!C374</f>
        <v>Land survey technologists and technicians</v>
      </c>
      <c r="D380" s="41">
        <f>ABS(D$5-(6-'4JSON'!D374))</f>
        <v>1</v>
      </c>
      <c r="E380" s="41">
        <f>ABS(E$5-(6-'4JSON'!E374))</f>
        <v>0</v>
      </c>
      <c r="F380" s="41">
        <f>ABS(F$5-(6-'4JSON'!F374))</f>
        <v>0</v>
      </c>
      <c r="G380" s="41">
        <f>ABS(G$5-(6-'4JSON'!G374))</f>
        <v>0</v>
      </c>
      <c r="H380" s="41">
        <f>ABS(H$5-(6-'4JSON'!H374))</f>
        <v>1</v>
      </c>
      <c r="I380" s="41">
        <f>ABS(I$5-(6-'4JSON'!I374))</f>
        <v>0</v>
      </c>
      <c r="J380" s="41">
        <f>ABS(J$5-(6-'4JSON'!J374))</f>
        <v>0</v>
      </c>
      <c r="K380" s="41">
        <f>ABS(K$5-(6-'4JSON'!K374))</f>
        <v>0</v>
      </c>
      <c r="L380" s="41">
        <f>ABS(L$5-(6-'4JSON'!L374))</f>
        <v>0</v>
      </c>
      <c r="M380" s="36">
        <f t="shared" si="1"/>
        <v>2</v>
      </c>
      <c r="N380" s="42">
        <f t="shared" si="2"/>
        <v>0.9444444444</v>
      </c>
      <c r="S380" s="35">
        <f>IFERROR(__xludf.DUMMYFUNCTION("""COMPUTED_VALUE"""),7531.0)</f>
        <v>7531</v>
      </c>
    </row>
    <row r="381">
      <c r="A381" s="35">
        <f>'4JSON'!A375</f>
        <v>2254</v>
      </c>
      <c r="B381" s="25" t="str">
        <f>'4JSON'!B375</f>
        <v>Land Survey Technologists</v>
      </c>
      <c r="C381" s="41" t="str">
        <f>'4JSON'!C375</f>
        <v>Land survey technologists and technicians</v>
      </c>
      <c r="D381" s="41">
        <f>ABS(D$5-(6-'4JSON'!D375))</f>
        <v>2</v>
      </c>
      <c r="E381" s="41">
        <f>ABS(E$5-(6-'4JSON'!E375))</f>
        <v>0</v>
      </c>
      <c r="F381" s="41">
        <f>ABS(F$5-(6-'4JSON'!F375))</f>
        <v>1</v>
      </c>
      <c r="G381" s="41">
        <f>ABS(G$5-(6-'4JSON'!G375))</f>
        <v>1</v>
      </c>
      <c r="H381" s="41">
        <f>ABS(H$5-(6-'4JSON'!H375))</f>
        <v>0</v>
      </c>
      <c r="I381" s="41">
        <f>ABS(I$5-(6-'4JSON'!I375))</f>
        <v>0</v>
      </c>
      <c r="J381" s="41">
        <f>ABS(J$5-(6-'4JSON'!J375))</f>
        <v>0</v>
      </c>
      <c r="K381" s="41">
        <f>ABS(K$5-(6-'4JSON'!K375))</f>
        <v>0</v>
      </c>
      <c r="L381" s="41">
        <f>ABS(L$5-(6-'4JSON'!L375))</f>
        <v>0</v>
      </c>
      <c r="M381" s="36">
        <f t="shared" si="1"/>
        <v>4</v>
      </c>
      <c r="N381" s="42">
        <f t="shared" si="2"/>
        <v>0.8888888889</v>
      </c>
      <c r="S381" s="35">
        <f>IFERROR(__xludf.DUMMYFUNCTION("""COMPUTED_VALUE"""),1521.0)</f>
        <v>1521</v>
      </c>
    </row>
    <row r="382">
      <c r="A382" s="35">
        <f>'4JSON'!A376</f>
        <v>7384</v>
      </c>
      <c r="B382" s="25" t="str">
        <f>'4JSON'!B376</f>
        <v>Locksmiths</v>
      </c>
      <c r="C382" s="41" t="str">
        <f>'4JSON'!C376</f>
        <v>Other trades and related occupations, n.e.c.</v>
      </c>
      <c r="D382" s="41">
        <f>ABS(D$5-(6-'4JSON'!D376))</f>
        <v>1</v>
      </c>
      <c r="E382" s="41">
        <f>ABS(E$5-(6-'4JSON'!E376))</f>
        <v>0</v>
      </c>
      <c r="F382" s="41">
        <f>ABS(F$5-(6-'4JSON'!F376))</f>
        <v>1</v>
      </c>
      <c r="G382" s="41">
        <f>ABS(G$5-(6-'4JSON'!G376))</f>
        <v>0</v>
      </c>
      <c r="H382" s="41">
        <f>ABS(H$5-(6-'4JSON'!H376))</f>
        <v>1</v>
      </c>
      <c r="I382" s="41">
        <f>ABS(I$5-(6-'4JSON'!I376))</f>
        <v>1</v>
      </c>
      <c r="J382" s="41">
        <f>ABS(J$5-(6-'4JSON'!J376))</f>
        <v>0</v>
      </c>
      <c r="K382" s="41">
        <f>ABS(K$5-(6-'4JSON'!K376))</f>
        <v>0</v>
      </c>
      <c r="L382" s="41">
        <f>ABS(L$5-(6-'4JSON'!L376))</f>
        <v>0</v>
      </c>
      <c r="M382" s="36">
        <f t="shared" si="1"/>
        <v>4</v>
      </c>
      <c r="N382" s="42">
        <f t="shared" si="2"/>
        <v>0.8888888889</v>
      </c>
      <c r="S382" s="35">
        <f>IFERROR(__xludf.DUMMYFUNCTION("""COMPUTED_VALUE"""),3111.0)</f>
        <v>3111</v>
      </c>
    </row>
    <row r="383">
      <c r="A383" s="35">
        <f>'4JSON'!A377</f>
        <v>5232</v>
      </c>
      <c r="B383" s="25" t="str">
        <f>'4JSON'!B377</f>
        <v>Magicians and Illusionists</v>
      </c>
      <c r="C383" s="41" t="str">
        <f>'4JSON'!C377</f>
        <v>Other performers, n.e.c.</v>
      </c>
      <c r="D383" s="41">
        <f>ABS(D$5-(6-'4JSON'!D377))</f>
        <v>1</v>
      </c>
      <c r="E383" s="41">
        <f>ABS(E$5-(6-'4JSON'!E377))</f>
        <v>0</v>
      </c>
      <c r="F383" s="41">
        <f>ABS(F$5-(6-'4JSON'!F377))</f>
        <v>1</v>
      </c>
      <c r="G383" s="41">
        <f>ABS(G$5-(6-'4JSON'!G377))</f>
        <v>0</v>
      </c>
      <c r="H383" s="41">
        <f>ABS(H$5-(6-'4JSON'!H377))</f>
        <v>1</v>
      </c>
      <c r="I383" s="41">
        <f>ABS(I$5-(6-'4JSON'!I377))</f>
        <v>2</v>
      </c>
      <c r="J383" s="41">
        <f>ABS(J$5-(6-'4JSON'!J377))</f>
        <v>1</v>
      </c>
      <c r="K383" s="41">
        <f>ABS(K$5-(6-'4JSON'!K377))</f>
        <v>1</v>
      </c>
      <c r="L383" s="41">
        <f>ABS(L$5-(6-'4JSON'!L377))</f>
        <v>1</v>
      </c>
      <c r="M383" s="36">
        <f t="shared" si="1"/>
        <v>8</v>
      </c>
      <c r="N383" s="42">
        <f t="shared" si="2"/>
        <v>0.7777777778</v>
      </c>
      <c r="S383" s="35">
        <f>IFERROR(__xludf.DUMMYFUNCTION("""COMPUTED_VALUE"""),1454.0)</f>
        <v>1454</v>
      </c>
    </row>
    <row r="384">
      <c r="A384" s="35">
        <f>'4JSON'!A378</f>
        <v>7321</v>
      </c>
      <c r="B384" s="25" t="str">
        <f>'4JSON'!B378</f>
        <v>Mechanical Repairers, Motor Vehicle Manufacturing</v>
      </c>
      <c r="C384" s="41" t="str">
        <f>'4JSON'!C378</f>
        <v>Automotive service technicians, truck and bus mechanics and mechanical repairers</v>
      </c>
      <c r="D384" s="41">
        <f>ABS(D$5-(6-'4JSON'!D378))</f>
        <v>1</v>
      </c>
      <c r="E384" s="41">
        <f>ABS(E$5-(6-'4JSON'!E378))</f>
        <v>0</v>
      </c>
      <c r="F384" s="41">
        <f>ABS(F$5-(6-'4JSON'!F378))</f>
        <v>1</v>
      </c>
      <c r="G384" s="41">
        <f>ABS(G$5-(6-'4JSON'!G378))</f>
        <v>0</v>
      </c>
      <c r="H384" s="41">
        <f>ABS(H$5-(6-'4JSON'!H378))</f>
        <v>1</v>
      </c>
      <c r="I384" s="41">
        <f>ABS(I$5-(6-'4JSON'!I378))</f>
        <v>1</v>
      </c>
      <c r="J384" s="41">
        <f>ABS(J$5-(6-'4JSON'!J378))</f>
        <v>0</v>
      </c>
      <c r="K384" s="41">
        <f>ABS(K$5-(6-'4JSON'!K378))</f>
        <v>0</v>
      </c>
      <c r="L384" s="41">
        <f>ABS(L$5-(6-'4JSON'!L378))</f>
        <v>0</v>
      </c>
      <c r="M384" s="36">
        <f t="shared" si="1"/>
        <v>4</v>
      </c>
      <c r="N384" s="42">
        <f t="shared" si="2"/>
        <v>0.8888888889</v>
      </c>
      <c r="S384" s="35">
        <f>IFERROR(__xludf.DUMMYFUNCTION("""COMPUTED_VALUE"""),8221.0)</f>
        <v>8221</v>
      </c>
    </row>
    <row r="385">
      <c r="A385" s="35">
        <f>'4JSON'!A379</f>
        <v>1251</v>
      </c>
      <c r="B385" s="25" t="str">
        <f>'4JSON'!B379</f>
        <v>Medical Transcriptionists</v>
      </c>
      <c r="C385" s="41" t="str">
        <f>'4JSON'!C379</f>
        <v>Court reporters, medical transcriptionists and related occupations</v>
      </c>
      <c r="D385" s="41">
        <f>ABS(D$5-(6-'4JSON'!D379))</f>
        <v>1</v>
      </c>
      <c r="E385" s="41">
        <f>ABS(E$5-(6-'4JSON'!E379))</f>
        <v>0</v>
      </c>
      <c r="F385" s="41">
        <f>ABS(F$5-(6-'4JSON'!F379))</f>
        <v>1</v>
      </c>
      <c r="G385" s="41">
        <f>ABS(G$5-(6-'4JSON'!G379))</f>
        <v>1</v>
      </c>
      <c r="H385" s="41">
        <f>ABS(H$5-(6-'4JSON'!H379))</f>
        <v>1</v>
      </c>
      <c r="I385" s="41">
        <f>ABS(I$5-(6-'4JSON'!I379))</f>
        <v>0</v>
      </c>
      <c r="J385" s="41">
        <f>ABS(J$5-(6-'4JSON'!J379))</f>
        <v>0</v>
      </c>
      <c r="K385" s="41">
        <f>ABS(K$5-(6-'4JSON'!K379))</f>
        <v>0</v>
      </c>
      <c r="L385" s="41">
        <f>ABS(L$5-(6-'4JSON'!L379))</f>
        <v>0</v>
      </c>
      <c r="M385" s="36">
        <f t="shared" si="1"/>
        <v>4</v>
      </c>
      <c r="N385" s="42">
        <f t="shared" si="2"/>
        <v>0.8888888889</v>
      </c>
      <c r="S385" s="35">
        <f>IFERROR(__xludf.DUMMYFUNCTION("""COMPUTED_VALUE"""),8222.0)</f>
        <v>8222</v>
      </c>
    </row>
    <row r="386">
      <c r="A386" s="35">
        <f>'4JSON'!A380</f>
        <v>8252</v>
      </c>
      <c r="B386" s="25" t="str">
        <f>'4JSON'!B380</f>
        <v>Farm Supervisors</v>
      </c>
      <c r="C386" s="41" t="str">
        <f>'4JSON'!C380</f>
        <v>Agricultural service contractors, farm supervisors and specialized livestock workers</v>
      </c>
      <c r="D386" s="41">
        <f>ABS(D$5-(6-'4JSON'!D380))</f>
        <v>1</v>
      </c>
      <c r="E386" s="41">
        <f>ABS(E$5-(6-'4JSON'!E380))</f>
        <v>1</v>
      </c>
      <c r="F386" s="41">
        <f>ABS(F$5-(6-'4JSON'!F380))</f>
        <v>1</v>
      </c>
      <c r="G386" s="41">
        <f>ABS(G$5-(6-'4JSON'!G380))</f>
        <v>1</v>
      </c>
      <c r="H386" s="41">
        <f>ABS(H$5-(6-'4JSON'!H380))</f>
        <v>1</v>
      </c>
      <c r="I386" s="41">
        <f>ABS(I$5-(6-'4JSON'!I380))</f>
        <v>1</v>
      </c>
      <c r="J386" s="41">
        <f>ABS(J$5-(6-'4JSON'!J380))</f>
        <v>0</v>
      </c>
      <c r="K386" s="41">
        <f>ABS(K$5-(6-'4JSON'!K380))</f>
        <v>0</v>
      </c>
      <c r="L386" s="41">
        <f>ABS(L$5-(6-'4JSON'!L380))</f>
        <v>0</v>
      </c>
      <c r="M386" s="36">
        <f t="shared" si="1"/>
        <v>6</v>
      </c>
      <c r="N386" s="42">
        <f t="shared" si="2"/>
        <v>0.8333333333</v>
      </c>
      <c r="S386" s="35">
        <f>IFERROR(__xludf.DUMMYFUNCTION("""COMPUTED_VALUE"""),9226.0)</f>
        <v>9226</v>
      </c>
    </row>
    <row r="387">
      <c r="A387" s="35">
        <f>'4JSON'!A381</f>
        <v>3124</v>
      </c>
      <c r="B387" s="25" t="str">
        <f>'4JSON'!B381</f>
        <v>Midwives</v>
      </c>
      <c r="C387" s="41" t="str">
        <f>'4JSON'!C381</f>
        <v>Allied primary health practitioners</v>
      </c>
      <c r="D387" s="41">
        <f>ABS(D$5-(6-'4JSON'!D381))</f>
        <v>2</v>
      </c>
      <c r="E387" s="41">
        <f>ABS(E$5-(6-'4JSON'!E381))</f>
        <v>1</v>
      </c>
      <c r="F387" s="41">
        <f>ABS(F$5-(6-'4JSON'!F381))</f>
        <v>0</v>
      </c>
      <c r="G387" s="41">
        <f>ABS(G$5-(6-'4JSON'!G381))</f>
        <v>0</v>
      </c>
      <c r="H387" s="41">
        <f>ABS(H$5-(6-'4JSON'!H381))</f>
        <v>1</v>
      </c>
      <c r="I387" s="41">
        <f>ABS(I$5-(6-'4JSON'!I381))</f>
        <v>1</v>
      </c>
      <c r="J387" s="41">
        <f>ABS(J$5-(6-'4JSON'!J381))</f>
        <v>1</v>
      </c>
      <c r="K387" s="41">
        <f>ABS(K$5-(6-'4JSON'!K381))</f>
        <v>1</v>
      </c>
      <c r="L387" s="41">
        <f>ABS(L$5-(6-'4JSON'!L381))</f>
        <v>1</v>
      </c>
      <c r="M387" s="36">
        <f t="shared" si="1"/>
        <v>8</v>
      </c>
      <c r="N387" s="42">
        <f t="shared" si="2"/>
        <v>0.7777777778</v>
      </c>
      <c r="S387" s="35">
        <f>IFERROR(__xludf.DUMMYFUNCTION("""COMPUTED_VALUE"""),9214.0)</f>
        <v>9214</v>
      </c>
    </row>
    <row r="388">
      <c r="A388" s="35">
        <f>'4JSON'!A382</f>
        <v>4313</v>
      </c>
      <c r="B388" s="25" t="str">
        <f>'4JSON'!B382</f>
        <v>Occupations Unique to the Armed Forces</v>
      </c>
      <c r="C388" s="41" t="str">
        <f>'4JSON'!C382</f>
        <v>Non-commissioned ranks of the Canadian Forces</v>
      </c>
      <c r="D388" s="41">
        <f>ABS(D$5-(6-'4JSON'!D382))</f>
        <v>1</v>
      </c>
      <c r="E388" s="41">
        <f>ABS(E$5-(6-'4JSON'!E382))</f>
        <v>0</v>
      </c>
      <c r="F388" s="41">
        <f>ABS(F$5-(6-'4JSON'!F382))</f>
        <v>1</v>
      </c>
      <c r="G388" s="41">
        <f>ABS(G$5-(6-'4JSON'!G382))</f>
        <v>0</v>
      </c>
      <c r="H388" s="41">
        <f>ABS(H$5-(6-'4JSON'!H382))</f>
        <v>1</v>
      </c>
      <c r="I388" s="41">
        <f>ABS(I$5-(6-'4JSON'!I382))</f>
        <v>1</v>
      </c>
      <c r="J388" s="41">
        <f>ABS(J$5-(6-'4JSON'!J382))</f>
        <v>0</v>
      </c>
      <c r="K388" s="41">
        <f>ABS(K$5-(6-'4JSON'!K382))</f>
        <v>0</v>
      </c>
      <c r="L388" s="41">
        <f>ABS(L$5-(6-'4JSON'!L382))</f>
        <v>0</v>
      </c>
      <c r="M388" s="36">
        <f t="shared" si="1"/>
        <v>4</v>
      </c>
      <c r="N388" s="42">
        <f t="shared" si="2"/>
        <v>0.8888888889</v>
      </c>
      <c r="S388" s="35">
        <f>IFERROR(__xludf.DUMMYFUNCTION("""COMPUTED_VALUE"""),9465.0)</f>
        <v>9465</v>
      </c>
    </row>
    <row r="389">
      <c r="A389" s="35">
        <f>'4JSON'!A383</f>
        <v>5136</v>
      </c>
      <c r="B389" s="25" t="str">
        <f>'4JSON'!B383</f>
        <v>Painters</v>
      </c>
      <c r="C389" s="41" t="str">
        <f>'4JSON'!C383</f>
        <v>Painters, sculptors and other visual artists</v>
      </c>
      <c r="D389" s="41">
        <f>ABS(D$5-(6-'4JSON'!D383))</f>
        <v>2</v>
      </c>
      <c r="E389" s="41">
        <f>ABS(E$5-(6-'4JSON'!E383))</f>
        <v>0</v>
      </c>
      <c r="F389" s="41">
        <f>ABS(F$5-(6-'4JSON'!F383))</f>
        <v>1</v>
      </c>
      <c r="G389" s="41">
        <f>ABS(G$5-(6-'4JSON'!G383))</f>
        <v>1</v>
      </c>
      <c r="H389" s="41">
        <f>ABS(H$5-(6-'4JSON'!H383))</f>
        <v>0</v>
      </c>
      <c r="I389" s="41">
        <f>ABS(I$5-(6-'4JSON'!I383))</f>
        <v>2</v>
      </c>
      <c r="J389" s="41">
        <f>ABS(J$5-(6-'4JSON'!J383))</f>
        <v>1</v>
      </c>
      <c r="K389" s="41">
        <f>ABS(K$5-(6-'4JSON'!K383))</f>
        <v>1</v>
      </c>
      <c r="L389" s="41">
        <f>ABS(L$5-(6-'4JSON'!L383))</f>
        <v>0</v>
      </c>
      <c r="M389" s="36">
        <f t="shared" si="1"/>
        <v>8</v>
      </c>
      <c r="N389" s="42">
        <f t="shared" si="2"/>
        <v>0.7777777778</v>
      </c>
      <c r="S389" s="35">
        <f>IFERROR(__xludf.DUMMYFUNCTION("""COMPUTED_VALUE"""),2282.0)</f>
        <v>2282</v>
      </c>
    </row>
    <row r="390">
      <c r="A390" s="35">
        <f>'4JSON'!A384</f>
        <v>5245</v>
      </c>
      <c r="B390" s="25" t="str">
        <f>'4JSON'!B384</f>
        <v>Patternmakers _x0013_ Textile, Leather and Fur Products</v>
      </c>
      <c r="C390" s="41" t="str">
        <f>'4JSON'!C384</f>
        <v>Patternmakers - textile, leather and fur products</v>
      </c>
      <c r="D390" s="41">
        <f>ABS(D$5-(6-'4JSON'!D384))</f>
        <v>1</v>
      </c>
      <c r="E390" s="41">
        <f>ABS(E$5-(6-'4JSON'!E384))</f>
        <v>0</v>
      </c>
      <c r="F390" s="41">
        <f>ABS(F$5-(6-'4JSON'!F384))</f>
        <v>0</v>
      </c>
      <c r="G390" s="41">
        <f>ABS(G$5-(6-'4JSON'!G384))</f>
        <v>1</v>
      </c>
      <c r="H390" s="41">
        <f>ABS(H$5-(6-'4JSON'!H384))</f>
        <v>0</v>
      </c>
      <c r="I390" s="41">
        <f>ABS(I$5-(6-'4JSON'!I384))</f>
        <v>1</v>
      </c>
      <c r="J390" s="41">
        <f>ABS(J$5-(6-'4JSON'!J384))</f>
        <v>1</v>
      </c>
      <c r="K390" s="41">
        <f>ABS(K$5-(6-'4JSON'!K384))</f>
        <v>1</v>
      </c>
      <c r="L390" s="41">
        <f>ABS(L$5-(6-'4JSON'!L384))</f>
        <v>1</v>
      </c>
      <c r="M390" s="36">
        <f t="shared" si="1"/>
        <v>6</v>
      </c>
      <c r="N390" s="42">
        <f t="shared" si="2"/>
        <v>0.8333333333</v>
      </c>
      <c r="S390" s="35">
        <f>IFERROR(__xludf.DUMMYFUNCTION("""COMPUTED_VALUE"""),2123.0)</f>
        <v>2123</v>
      </c>
    </row>
    <row r="391">
      <c r="A391" s="35">
        <f>'4JSON'!A385</f>
        <v>7236</v>
      </c>
      <c r="B391" s="25" t="str">
        <f>'4JSON'!B385</f>
        <v>Ironworkers</v>
      </c>
      <c r="C391" s="41" t="str">
        <f>'4JSON'!C385</f>
        <v>Ironworkers</v>
      </c>
      <c r="D391" s="41">
        <f>ABS(D$5-(6-'4JSON'!D385))</f>
        <v>1</v>
      </c>
      <c r="E391" s="41">
        <f>ABS(E$5-(6-'4JSON'!E385))</f>
        <v>1</v>
      </c>
      <c r="F391" s="41">
        <f>ABS(F$5-(6-'4JSON'!F385))</f>
        <v>1</v>
      </c>
      <c r="G391" s="41">
        <f>ABS(G$5-(6-'4JSON'!G385))</f>
        <v>1</v>
      </c>
      <c r="H391" s="41">
        <f>ABS(H$5-(6-'4JSON'!H385))</f>
        <v>1</v>
      </c>
      <c r="I391" s="41">
        <f>ABS(I$5-(6-'4JSON'!I385))</f>
        <v>2</v>
      </c>
      <c r="J391" s="41">
        <f>ABS(J$5-(6-'4JSON'!J385))</f>
        <v>0</v>
      </c>
      <c r="K391" s="41">
        <f>ABS(K$5-(6-'4JSON'!K385))</f>
        <v>1</v>
      </c>
      <c r="L391" s="41">
        <f>ABS(L$5-(6-'4JSON'!L385))</f>
        <v>0</v>
      </c>
      <c r="M391" s="36">
        <f t="shared" si="1"/>
        <v>8</v>
      </c>
      <c r="N391" s="42">
        <f t="shared" si="2"/>
        <v>0.7777777778</v>
      </c>
      <c r="S391" s="35">
        <f>IFERROR(__xludf.DUMMYFUNCTION("""COMPUTED_VALUE"""),6512.0)</f>
        <v>6512</v>
      </c>
    </row>
    <row r="392">
      <c r="A392" s="35">
        <f>'4JSON'!A386</f>
        <v>5212</v>
      </c>
      <c r="B392" s="25" t="str">
        <f>'4JSON'!B386</f>
        <v>Preparators and Museology Technicians</v>
      </c>
      <c r="C392" s="41" t="str">
        <f>'4JSON'!C386</f>
        <v>Technical occupations related to museums and art galleries</v>
      </c>
      <c r="D392" s="41">
        <f>ABS(D$5-(6-'4JSON'!D386))</f>
        <v>1</v>
      </c>
      <c r="E392" s="41">
        <f>ABS(E$5-(6-'4JSON'!E386))</f>
        <v>0</v>
      </c>
      <c r="F392" s="41">
        <f>ABS(F$5-(6-'4JSON'!F386))</f>
        <v>0</v>
      </c>
      <c r="G392" s="41">
        <f>ABS(G$5-(6-'4JSON'!G386))</f>
        <v>1</v>
      </c>
      <c r="H392" s="41">
        <f>ABS(H$5-(6-'4JSON'!H386))</f>
        <v>1</v>
      </c>
      <c r="I392" s="41">
        <f>ABS(I$5-(6-'4JSON'!I386))</f>
        <v>1</v>
      </c>
      <c r="J392" s="41">
        <f>ABS(J$5-(6-'4JSON'!J386))</f>
        <v>0</v>
      </c>
      <c r="K392" s="41">
        <f>ABS(K$5-(6-'4JSON'!K386))</f>
        <v>0</v>
      </c>
      <c r="L392" s="41">
        <f>ABS(L$5-(6-'4JSON'!L386))</f>
        <v>0</v>
      </c>
      <c r="M392" s="36">
        <f t="shared" si="1"/>
        <v>4</v>
      </c>
      <c r="N392" s="42">
        <f t="shared" si="2"/>
        <v>0.8888888889</v>
      </c>
      <c r="S392" s="35">
        <f>IFERROR(__xludf.DUMMYFUNCTION("""COMPUTED_VALUE"""),8421.0)</f>
        <v>8421</v>
      </c>
    </row>
    <row r="393">
      <c r="A393" s="35">
        <f>'4JSON'!A387</f>
        <v>5254</v>
      </c>
      <c r="B393" s="25" t="str">
        <f>'4JSON'!B387</f>
        <v>Program Leaders and Instructors in Recreation and Sport</v>
      </c>
      <c r="C393" s="41" t="str">
        <f>'4JSON'!C387</f>
        <v>Program leaders and instructors in recreation, sport and fitness</v>
      </c>
      <c r="D393" s="41">
        <f>ABS(D$5-(6-'4JSON'!D387))</f>
        <v>1</v>
      </c>
      <c r="E393" s="41">
        <f>ABS(E$5-(6-'4JSON'!E387))</f>
        <v>0</v>
      </c>
      <c r="F393" s="41">
        <f>ABS(F$5-(6-'4JSON'!F387))</f>
        <v>1</v>
      </c>
      <c r="G393" s="41">
        <f>ABS(G$5-(6-'4JSON'!G387))</f>
        <v>0</v>
      </c>
      <c r="H393" s="41">
        <f>ABS(H$5-(6-'4JSON'!H387))</f>
        <v>1</v>
      </c>
      <c r="I393" s="41">
        <f>ABS(I$5-(6-'4JSON'!I387))</f>
        <v>1</v>
      </c>
      <c r="J393" s="41">
        <f>ABS(J$5-(6-'4JSON'!J387))</f>
        <v>0</v>
      </c>
      <c r="K393" s="41">
        <f>ABS(K$5-(6-'4JSON'!K387))</f>
        <v>0</v>
      </c>
      <c r="L393" s="41">
        <f>ABS(L$5-(6-'4JSON'!L387))</f>
        <v>0</v>
      </c>
      <c r="M393" s="36">
        <f t="shared" si="1"/>
        <v>4</v>
      </c>
      <c r="N393" s="42">
        <f t="shared" si="2"/>
        <v>0.8888888889</v>
      </c>
      <c r="S393" s="35">
        <f>IFERROR(__xludf.DUMMYFUNCTION("""COMPUTED_VALUE"""),1226.0)</f>
        <v>1226</v>
      </c>
    </row>
    <row r="394">
      <c r="A394" s="35">
        <f>'4JSON'!A388</f>
        <v>5227</v>
      </c>
      <c r="B394" s="25" t="str">
        <f>'4JSON'!B388</f>
        <v>Projectionists</v>
      </c>
      <c r="C394" s="41" t="str">
        <f>'4JSON'!C388</f>
        <v>Support occupations in motion pictures, broadcasting, photography and the performing arts</v>
      </c>
      <c r="D394" s="41">
        <f>ABS(D$5-(6-'4JSON'!D388))</f>
        <v>1</v>
      </c>
      <c r="E394" s="41">
        <f>ABS(E$5-(6-'4JSON'!E388))</f>
        <v>0</v>
      </c>
      <c r="F394" s="41">
        <f>ABS(F$5-(6-'4JSON'!F388))</f>
        <v>1</v>
      </c>
      <c r="G394" s="41">
        <f>ABS(G$5-(6-'4JSON'!G388))</f>
        <v>0</v>
      </c>
      <c r="H394" s="41">
        <f>ABS(H$5-(6-'4JSON'!H388))</f>
        <v>1</v>
      </c>
      <c r="I394" s="41">
        <f>ABS(I$5-(6-'4JSON'!I388))</f>
        <v>1</v>
      </c>
      <c r="J394" s="41">
        <f>ABS(J$5-(6-'4JSON'!J388))</f>
        <v>0</v>
      </c>
      <c r="K394" s="41">
        <f>ABS(K$5-(6-'4JSON'!K388))</f>
        <v>0</v>
      </c>
      <c r="L394" s="41">
        <f>ABS(L$5-(6-'4JSON'!L388))</f>
        <v>0</v>
      </c>
      <c r="M394" s="36">
        <f t="shared" si="1"/>
        <v>4</v>
      </c>
      <c r="N394" s="42">
        <f t="shared" si="2"/>
        <v>0.8888888889</v>
      </c>
      <c r="S394" s="35">
        <f>IFERROR(__xludf.DUMMYFUNCTION("""COMPUTED_VALUE"""),2234.0)</f>
        <v>2234</v>
      </c>
    </row>
    <row r="395">
      <c r="A395" s="35">
        <f>'4JSON'!A389</f>
        <v>5227</v>
      </c>
      <c r="B395" s="25" t="str">
        <f>'4JSON'!B389</f>
        <v>Props Persons and Set Builders</v>
      </c>
      <c r="C395" s="41" t="str">
        <f>'4JSON'!C389</f>
        <v>Support occupations in motion pictures, broadcasting, photography and the performing arts</v>
      </c>
      <c r="D395" s="41">
        <f>ABS(D$5-(6-'4JSON'!D389))</f>
        <v>1</v>
      </c>
      <c r="E395" s="41">
        <f>ABS(E$5-(6-'4JSON'!E389))</f>
        <v>0</v>
      </c>
      <c r="F395" s="41">
        <f>ABS(F$5-(6-'4JSON'!F389))</f>
        <v>0</v>
      </c>
      <c r="G395" s="41">
        <f>ABS(G$5-(6-'4JSON'!G389))</f>
        <v>1</v>
      </c>
      <c r="H395" s="41">
        <f>ABS(H$5-(6-'4JSON'!H389))</f>
        <v>1</v>
      </c>
      <c r="I395" s="41">
        <f>ABS(I$5-(6-'4JSON'!I389))</f>
        <v>1</v>
      </c>
      <c r="J395" s="41">
        <f>ABS(J$5-(6-'4JSON'!J389))</f>
        <v>0</v>
      </c>
      <c r="K395" s="41">
        <f>ABS(K$5-(6-'4JSON'!K389))</f>
        <v>0</v>
      </c>
      <c r="L395" s="41">
        <f>ABS(L$5-(6-'4JSON'!L389))</f>
        <v>0</v>
      </c>
      <c r="M395" s="36">
        <f t="shared" si="1"/>
        <v>4</v>
      </c>
      <c r="N395" s="42">
        <f t="shared" si="2"/>
        <v>0.8888888889</v>
      </c>
      <c r="S395" s="35">
        <f>IFERROR(__xludf.DUMMYFUNCTION("""COMPUTED_VALUE"""),711.0)</f>
        <v>711</v>
      </c>
    </row>
    <row r="396">
      <c r="A396" s="35">
        <f>'4JSON'!A390</f>
        <v>3219</v>
      </c>
      <c r="B396" s="25" t="str">
        <f>'4JSON'!B390</f>
        <v>Prosthetic and Orthotic Technicians</v>
      </c>
      <c r="C396" s="41" t="str">
        <f>'4JSON'!C390</f>
        <v>Other medical technologists and technicians (except dental health)</v>
      </c>
      <c r="D396" s="41">
        <f>ABS(D$5-(6-'4JSON'!D390))</f>
        <v>1</v>
      </c>
      <c r="E396" s="41">
        <f>ABS(E$5-(6-'4JSON'!E390))</f>
        <v>0</v>
      </c>
      <c r="F396" s="41">
        <f>ABS(F$5-(6-'4JSON'!F390))</f>
        <v>0</v>
      </c>
      <c r="G396" s="41">
        <f>ABS(G$5-(6-'4JSON'!G390))</f>
        <v>1</v>
      </c>
      <c r="H396" s="41">
        <f>ABS(H$5-(6-'4JSON'!H390))</f>
        <v>1</v>
      </c>
      <c r="I396" s="41">
        <f>ABS(I$5-(6-'4JSON'!I390))</f>
        <v>1</v>
      </c>
      <c r="J396" s="41">
        <f>ABS(J$5-(6-'4JSON'!J390))</f>
        <v>0</v>
      </c>
      <c r="K396" s="41">
        <f>ABS(K$5-(6-'4JSON'!K390))</f>
        <v>0</v>
      </c>
      <c r="L396" s="41">
        <f>ABS(L$5-(6-'4JSON'!L390))</f>
        <v>0</v>
      </c>
      <c r="M396" s="36">
        <f t="shared" si="1"/>
        <v>4</v>
      </c>
      <c r="N396" s="42">
        <f t="shared" si="2"/>
        <v>0.8888888889</v>
      </c>
      <c r="S396" s="35">
        <f>IFERROR(__xludf.DUMMYFUNCTION("""COMPUTED_VALUE"""),1513.0)</f>
        <v>1513</v>
      </c>
    </row>
    <row r="397">
      <c r="A397" s="35">
        <f>'4JSON'!A391</f>
        <v>7384</v>
      </c>
      <c r="B397" s="25" t="str">
        <f>'4JSON'!B391</f>
        <v>Recreation Vehicle Technicians</v>
      </c>
      <c r="C397" s="41" t="str">
        <f>'4JSON'!C391</f>
        <v>Other trades and related occupations, n.e.c.</v>
      </c>
      <c r="D397" s="41">
        <f>ABS(D$5-(6-'4JSON'!D391))</f>
        <v>1</v>
      </c>
      <c r="E397" s="41">
        <f>ABS(E$5-(6-'4JSON'!E391))</f>
        <v>0</v>
      </c>
      <c r="F397" s="41">
        <f>ABS(F$5-(6-'4JSON'!F391))</f>
        <v>1</v>
      </c>
      <c r="G397" s="41">
        <f>ABS(G$5-(6-'4JSON'!G391))</f>
        <v>0</v>
      </c>
      <c r="H397" s="41">
        <f>ABS(H$5-(6-'4JSON'!H391))</f>
        <v>1</v>
      </c>
      <c r="I397" s="41">
        <f>ABS(I$5-(6-'4JSON'!I391))</f>
        <v>1</v>
      </c>
      <c r="J397" s="41">
        <f>ABS(J$5-(6-'4JSON'!J391))</f>
        <v>0</v>
      </c>
      <c r="K397" s="41">
        <f>ABS(K$5-(6-'4JSON'!K391))</f>
        <v>0</v>
      </c>
      <c r="L397" s="41">
        <f>ABS(L$5-(6-'4JSON'!L391))</f>
        <v>0</v>
      </c>
      <c r="M397" s="36">
        <f t="shared" si="1"/>
        <v>4</v>
      </c>
      <c r="N397" s="42">
        <f t="shared" si="2"/>
        <v>0.8888888889</v>
      </c>
      <c r="S397" s="35">
        <f>IFERROR(__xludf.DUMMYFUNCTION("""COMPUTED_VALUE"""),2172.0)</f>
        <v>2172</v>
      </c>
    </row>
    <row r="398">
      <c r="A398" s="35">
        <f>'4JSON'!A392</f>
        <v>2255</v>
      </c>
      <c r="B398" s="25" t="str">
        <f>'4JSON'!B392</f>
        <v>Remote Sensing Technologists and Technicians</v>
      </c>
      <c r="C398" s="41" t="str">
        <f>'4JSON'!C392</f>
        <v>Technical occupations in geomatics and meteorology</v>
      </c>
      <c r="D398" s="41">
        <f>ABS(D$5-(6-'4JSON'!D392))</f>
        <v>2</v>
      </c>
      <c r="E398" s="41">
        <f>ABS(E$5-(6-'4JSON'!E392))</f>
        <v>0</v>
      </c>
      <c r="F398" s="41">
        <f>ABS(F$5-(6-'4JSON'!F392))</f>
        <v>1</v>
      </c>
      <c r="G398" s="41">
        <f>ABS(G$5-(6-'4JSON'!G392))</f>
        <v>1</v>
      </c>
      <c r="H398" s="41">
        <f>ABS(H$5-(6-'4JSON'!H392))</f>
        <v>0</v>
      </c>
      <c r="I398" s="41">
        <f>ABS(I$5-(6-'4JSON'!I392))</f>
        <v>0</v>
      </c>
      <c r="J398" s="41">
        <f>ABS(J$5-(6-'4JSON'!J392))</f>
        <v>0</v>
      </c>
      <c r="K398" s="41">
        <f>ABS(K$5-(6-'4JSON'!K392))</f>
        <v>0</v>
      </c>
      <c r="L398" s="41">
        <f>ABS(L$5-(6-'4JSON'!L392))</f>
        <v>0</v>
      </c>
      <c r="M398" s="36">
        <f t="shared" si="1"/>
        <v>4</v>
      </c>
      <c r="N398" s="42">
        <f t="shared" si="2"/>
        <v>0.8888888889</v>
      </c>
      <c r="S398" s="35">
        <f>IFERROR(__xludf.DUMMYFUNCTION("""COMPUTED_VALUE"""),432.0)</f>
        <v>432</v>
      </c>
    </row>
    <row r="399">
      <c r="A399" s="35">
        <f>'4JSON'!A393</f>
        <v>9416</v>
      </c>
      <c r="B399" s="25" t="str">
        <f>'4JSON'!B393</f>
        <v>Metalworking Machine Operators</v>
      </c>
      <c r="C399" s="41" t="str">
        <f>'4JSON'!C393</f>
        <v>Metalworking and forging machine operators</v>
      </c>
      <c r="D399" s="41">
        <f>ABS(D$5-(6-'4JSON'!D393))</f>
        <v>1</v>
      </c>
      <c r="E399" s="41">
        <f>ABS(E$5-(6-'4JSON'!E393))</f>
        <v>1</v>
      </c>
      <c r="F399" s="41">
        <f>ABS(F$5-(6-'4JSON'!F393))</f>
        <v>1</v>
      </c>
      <c r="G399" s="41">
        <f>ABS(G$5-(6-'4JSON'!G393))</f>
        <v>0</v>
      </c>
      <c r="H399" s="41">
        <f>ABS(H$5-(6-'4JSON'!H393))</f>
        <v>1</v>
      </c>
      <c r="I399" s="41">
        <f>ABS(I$5-(6-'4JSON'!I393))</f>
        <v>1</v>
      </c>
      <c r="J399" s="41">
        <f>ABS(J$5-(6-'4JSON'!J393))</f>
        <v>0</v>
      </c>
      <c r="K399" s="41">
        <f>ABS(K$5-(6-'4JSON'!K393))</f>
        <v>1</v>
      </c>
      <c r="L399" s="41">
        <f>ABS(L$5-(6-'4JSON'!L393))</f>
        <v>0</v>
      </c>
      <c r="M399" s="36">
        <f t="shared" si="1"/>
        <v>6</v>
      </c>
      <c r="N399" s="42">
        <f t="shared" si="2"/>
        <v>0.8333333333</v>
      </c>
      <c r="S399" s="35">
        <f>IFERROR(__xludf.DUMMYFUNCTION("""COMPUTED_VALUE"""),3112.0)</f>
        <v>3112</v>
      </c>
    </row>
    <row r="400">
      <c r="A400" s="35">
        <f>'4JSON'!A394</f>
        <v>7251</v>
      </c>
      <c r="B400" s="25" t="str">
        <f>'4JSON'!B394</f>
        <v>Plumbers</v>
      </c>
      <c r="C400" s="41" t="str">
        <f>'4JSON'!C394</f>
        <v>Plumbers</v>
      </c>
      <c r="D400" s="41">
        <f>ABS(D$5-(6-'4JSON'!D394))</f>
        <v>1</v>
      </c>
      <c r="E400" s="41">
        <f>ABS(E$5-(6-'4JSON'!E394))</f>
        <v>1</v>
      </c>
      <c r="F400" s="41">
        <f>ABS(F$5-(6-'4JSON'!F394))</f>
        <v>0</v>
      </c>
      <c r="G400" s="41">
        <f>ABS(G$5-(6-'4JSON'!G394))</f>
        <v>0</v>
      </c>
      <c r="H400" s="41">
        <f>ABS(H$5-(6-'4JSON'!H394))</f>
        <v>1</v>
      </c>
      <c r="I400" s="41">
        <f>ABS(I$5-(6-'4JSON'!I394))</f>
        <v>1</v>
      </c>
      <c r="J400" s="41">
        <f>ABS(J$5-(6-'4JSON'!J394))</f>
        <v>0</v>
      </c>
      <c r="K400" s="41">
        <f>ABS(K$5-(6-'4JSON'!K394))</f>
        <v>0</v>
      </c>
      <c r="L400" s="41">
        <f>ABS(L$5-(6-'4JSON'!L394))</f>
        <v>0</v>
      </c>
      <c r="M400" s="36">
        <f t="shared" si="1"/>
        <v>4</v>
      </c>
      <c r="N400" s="42">
        <f t="shared" si="2"/>
        <v>0.8888888889</v>
      </c>
      <c r="S400" s="35">
        <f>IFERROR(__xludf.DUMMYFUNCTION("""COMPUTED_VALUE"""),6742.0)</f>
        <v>6742</v>
      </c>
    </row>
    <row r="401">
      <c r="A401" s="35">
        <f>'4JSON'!A395</f>
        <v>7441</v>
      </c>
      <c r="B401" s="25" t="str">
        <f>'4JSON'!B395</f>
        <v>Residential and Commercial Installers and Servicers</v>
      </c>
      <c r="C401" s="41" t="str">
        <f>'4JSON'!C395</f>
        <v>Residential and commercial installers and servicers</v>
      </c>
      <c r="D401" s="41">
        <f>ABS(D$5-(6-'4JSON'!D395))</f>
        <v>1</v>
      </c>
      <c r="E401" s="41">
        <f>ABS(E$5-(6-'4JSON'!E395))</f>
        <v>1</v>
      </c>
      <c r="F401" s="41">
        <f>ABS(F$5-(6-'4JSON'!F395))</f>
        <v>1</v>
      </c>
      <c r="G401" s="41">
        <f>ABS(G$5-(6-'4JSON'!G395))</f>
        <v>0</v>
      </c>
      <c r="H401" s="41">
        <f>ABS(H$5-(6-'4JSON'!H395))</f>
        <v>1</v>
      </c>
      <c r="I401" s="41">
        <f>ABS(I$5-(6-'4JSON'!I395))</f>
        <v>1</v>
      </c>
      <c r="J401" s="41">
        <f>ABS(J$5-(6-'4JSON'!J395))</f>
        <v>0</v>
      </c>
      <c r="K401" s="41">
        <f>ABS(K$5-(6-'4JSON'!K395))</f>
        <v>1</v>
      </c>
      <c r="L401" s="41">
        <f>ABS(L$5-(6-'4JSON'!L395))</f>
        <v>0</v>
      </c>
      <c r="M401" s="36">
        <f t="shared" si="1"/>
        <v>6</v>
      </c>
      <c r="N401" s="42">
        <f t="shared" si="2"/>
        <v>0.8333333333</v>
      </c>
      <c r="S401" s="35">
        <f>IFERROR(__xludf.DUMMYFUNCTION("""COMPUTED_VALUE"""),4211.0)</f>
        <v>4211</v>
      </c>
    </row>
    <row r="402">
      <c r="A402" s="35">
        <f>'4JSON'!A396</f>
        <v>7291</v>
      </c>
      <c r="B402" s="25" t="str">
        <f>'4JSON'!B396</f>
        <v>Roofers</v>
      </c>
      <c r="C402" s="41" t="str">
        <f>'4JSON'!C396</f>
        <v>Roofers and shinglers</v>
      </c>
      <c r="D402" s="41">
        <f>ABS(D$5-(6-'4JSON'!D396))</f>
        <v>1</v>
      </c>
      <c r="E402" s="41">
        <f>ABS(E$5-(6-'4JSON'!E396))</f>
        <v>1</v>
      </c>
      <c r="F402" s="41">
        <f>ABS(F$5-(6-'4JSON'!F396))</f>
        <v>0</v>
      </c>
      <c r="G402" s="41">
        <f>ABS(G$5-(6-'4JSON'!G396))</f>
        <v>0</v>
      </c>
      <c r="H402" s="41">
        <f>ABS(H$5-(6-'4JSON'!H396))</f>
        <v>1</v>
      </c>
      <c r="I402" s="41">
        <f>ABS(I$5-(6-'4JSON'!I396))</f>
        <v>1</v>
      </c>
      <c r="J402" s="41">
        <f>ABS(J$5-(6-'4JSON'!J396))</f>
        <v>0</v>
      </c>
      <c r="K402" s="41">
        <f>ABS(K$5-(6-'4JSON'!K396))</f>
        <v>0</v>
      </c>
      <c r="L402" s="41">
        <f>ABS(L$5-(6-'4JSON'!L396))</f>
        <v>0</v>
      </c>
      <c r="M402" s="36">
        <f t="shared" si="1"/>
        <v>4</v>
      </c>
      <c r="N402" s="42">
        <f t="shared" si="2"/>
        <v>0.8888888889</v>
      </c>
      <c r="S402" s="35">
        <f>IFERROR(__xludf.DUMMYFUNCTION("""COMPUTED_VALUE"""),11.0)</f>
        <v>11</v>
      </c>
    </row>
    <row r="403">
      <c r="A403" s="35">
        <f>'4JSON'!A397</f>
        <v>5136</v>
      </c>
      <c r="B403" s="25" t="str">
        <f>'4JSON'!B397</f>
        <v>Sculptors</v>
      </c>
      <c r="C403" s="41" t="str">
        <f>'4JSON'!C397</f>
        <v>Painters, sculptors and other visual artists</v>
      </c>
      <c r="D403" s="41">
        <f>ABS(D$5-(6-'4JSON'!D397))</f>
        <v>2</v>
      </c>
      <c r="E403" s="41">
        <f>ABS(E$5-(6-'4JSON'!E397))</f>
        <v>0</v>
      </c>
      <c r="F403" s="41">
        <f>ABS(F$5-(6-'4JSON'!F397))</f>
        <v>1</v>
      </c>
      <c r="G403" s="41">
        <f>ABS(G$5-(6-'4JSON'!G397))</f>
        <v>1</v>
      </c>
      <c r="H403" s="41">
        <f>ABS(H$5-(6-'4JSON'!H397))</f>
        <v>0</v>
      </c>
      <c r="I403" s="41">
        <f>ABS(I$5-(6-'4JSON'!I397))</f>
        <v>2</v>
      </c>
      <c r="J403" s="41">
        <f>ABS(J$5-(6-'4JSON'!J397))</f>
        <v>1</v>
      </c>
      <c r="K403" s="41">
        <f>ABS(K$5-(6-'4JSON'!K397))</f>
        <v>1</v>
      </c>
      <c r="L403" s="41">
        <f>ABS(L$5-(6-'4JSON'!L397))</f>
        <v>0</v>
      </c>
      <c r="M403" s="36">
        <f t="shared" si="1"/>
        <v>8</v>
      </c>
      <c r="N403" s="42">
        <f t="shared" si="2"/>
        <v>0.7777777778</v>
      </c>
      <c r="S403" s="35">
        <f>IFERROR(__xludf.DUMMYFUNCTION("""COMPUTED_VALUE"""),5111.0)</f>
        <v>5111</v>
      </c>
    </row>
    <row r="404">
      <c r="A404" s="35">
        <f>'4JSON'!A398</f>
        <v>7384</v>
      </c>
      <c r="B404" s="25" t="str">
        <f>'4JSON'!B398</f>
        <v>Safe and Vault Servicers</v>
      </c>
      <c r="C404" s="41" t="str">
        <f>'4JSON'!C398</f>
        <v>Other trades and related occupations, n.e.c.</v>
      </c>
      <c r="D404" s="41">
        <f>ABS(D$5-(6-'4JSON'!D398))</f>
        <v>1</v>
      </c>
      <c r="E404" s="41">
        <f>ABS(E$5-(6-'4JSON'!E398))</f>
        <v>1</v>
      </c>
      <c r="F404" s="41">
        <f>ABS(F$5-(6-'4JSON'!F398))</f>
        <v>1</v>
      </c>
      <c r="G404" s="41">
        <f>ABS(G$5-(6-'4JSON'!G398))</f>
        <v>0</v>
      </c>
      <c r="H404" s="41">
        <f>ABS(H$5-(6-'4JSON'!H398))</f>
        <v>2</v>
      </c>
      <c r="I404" s="41">
        <f>ABS(I$5-(6-'4JSON'!I398))</f>
        <v>1</v>
      </c>
      <c r="J404" s="41">
        <f>ABS(J$5-(6-'4JSON'!J398))</f>
        <v>0</v>
      </c>
      <c r="K404" s="41">
        <f>ABS(K$5-(6-'4JSON'!K398))</f>
        <v>0</v>
      </c>
      <c r="L404" s="41">
        <f>ABS(L$5-(6-'4JSON'!L398))</f>
        <v>0</v>
      </c>
      <c r="M404" s="36">
        <f t="shared" si="1"/>
        <v>6</v>
      </c>
      <c r="N404" s="42">
        <f t="shared" si="2"/>
        <v>0.8333333333</v>
      </c>
      <c r="S404" s="35">
        <f>IFERROR(__xludf.DUMMYFUNCTION("""COMPUTED_VALUE"""),6511.0)</f>
        <v>6511</v>
      </c>
    </row>
    <row r="405">
      <c r="A405" s="35">
        <f>'4JSON'!A399</f>
        <v>5252</v>
      </c>
      <c r="B405" s="25" t="str">
        <f>'4JSON'!B399</f>
        <v>Sports Scouts</v>
      </c>
      <c r="C405" s="41" t="str">
        <f>'4JSON'!C399</f>
        <v>Coaches</v>
      </c>
      <c r="D405" s="41">
        <f>ABS(D$5-(6-'4JSON'!D399))</f>
        <v>1</v>
      </c>
      <c r="E405" s="41">
        <f>ABS(E$5-(6-'4JSON'!E399))</f>
        <v>0</v>
      </c>
      <c r="F405" s="41">
        <f>ABS(F$5-(6-'4JSON'!F399))</f>
        <v>1</v>
      </c>
      <c r="G405" s="41">
        <f>ABS(G$5-(6-'4JSON'!G399))</f>
        <v>0</v>
      </c>
      <c r="H405" s="41">
        <f>ABS(H$5-(6-'4JSON'!H399))</f>
        <v>1</v>
      </c>
      <c r="I405" s="41">
        <f>ABS(I$5-(6-'4JSON'!I399))</f>
        <v>1</v>
      </c>
      <c r="J405" s="41">
        <f>ABS(J$5-(6-'4JSON'!J399))</f>
        <v>0</v>
      </c>
      <c r="K405" s="41">
        <f>ABS(K$5-(6-'4JSON'!K399))</f>
        <v>0</v>
      </c>
      <c r="L405" s="41">
        <f>ABS(L$5-(6-'4JSON'!L399))</f>
        <v>0</v>
      </c>
      <c r="M405" s="36">
        <f t="shared" si="1"/>
        <v>4</v>
      </c>
      <c r="N405" s="42">
        <f t="shared" si="2"/>
        <v>0.8888888889</v>
      </c>
      <c r="S405" s="35">
        <f>IFERROR(__xludf.DUMMYFUNCTION("""COMPUTED_VALUE"""),2142.0)</f>
        <v>2142</v>
      </c>
    </row>
    <row r="406">
      <c r="A406" s="35">
        <f>'4JSON'!A400</f>
        <v>7384</v>
      </c>
      <c r="B406" s="25" t="str">
        <f>'4JSON'!B400</f>
        <v>Saw Fitters</v>
      </c>
      <c r="C406" s="41" t="str">
        <f>'4JSON'!C400</f>
        <v>Other trades and related occupations, n.e.c.</v>
      </c>
      <c r="D406" s="41">
        <f>ABS(D$5-(6-'4JSON'!D400))</f>
        <v>1</v>
      </c>
      <c r="E406" s="41">
        <f>ABS(E$5-(6-'4JSON'!E400))</f>
        <v>1</v>
      </c>
      <c r="F406" s="41">
        <f>ABS(F$5-(6-'4JSON'!F400))</f>
        <v>1</v>
      </c>
      <c r="G406" s="41">
        <f>ABS(G$5-(6-'4JSON'!G400))</f>
        <v>0</v>
      </c>
      <c r="H406" s="41">
        <f>ABS(H$5-(6-'4JSON'!H400))</f>
        <v>1</v>
      </c>
      <c r="I406" s="41">
        <f>ABS(I$5-(6-'4JSON'!I400))</f>
        <v>1</v>
      </c>
      <c r="J406" s="41">
        <f>ABS(J$5-(6-'4JSON'!J400))</f>
        <v>0</v>
      </c>
      <c r="K406" s="41">
        <f>ABS(K$5-(6-'4JSON'!K400))</f>
        <v>1</v>
      </c>
      <c r="L406" s="41">
        <f>ABS(L$5-(6-'4JSON'!L400))</f>
        <v>0</v>
      </c>
      <c r="M406" s="36">
        <f t="shared" si="1"/>
        <v>6</v>
      </c>
      <c r="N406" s="42">
        <f t="shared" si="2"/>
        <v>0.8333333333</v>
      </c>
      <c r="S406" s="35">
        <f>IFERROR(__xludf.DUMMYFUNCTION("""COMPUTED_VALUE"""),2114.0)</f>
        <v>2114</v>
      </c>
    </row>
    <row r="407">
      <c r="A407" s="35">
        <f>'4JSON'!A401</f>
        <v>8252</v>
      </c>
      <c r="B407" s="25" t="str">
        <f>'4JSON'!B401</f>
        <v>Specialized Livestock Workers</v>
      </c>
      <c r="C407" s="41" t="str">
        <f>'4JSON'!C401</f>
        <v>Agricultural service contractors, farm supervisors and specialized livestock workers</v>
      </c>
      <c r="D407" s="41">
        <f>ABS(D$5-(6-'4JSON'!D401))</f>
        <v>1</v>
      </c>
      <c r="E407" s="41">
        <f>ABS(E$5-(6-'4JSON'!E401))</f>
        <v>1</v>
      </c>
      <c r="F407" s="41">
        <f>ABS(F$5-(6-'4JSON'!F401))</f>
        <v>1</v>
      </c>
      <c r="G407" s="41">
        <f>ABS(G$5-(6-'4JSON'!G401))</f>
        <v>1</v>
      </c>
      <c r="H407" s="41">
        <f>ABS(H$5-(6-'4JSON'!H401))</f>
        <v>1</v>
      </c>
      <c r="I407" s="41">
        <f>ABS(I$5-(6-'4JSON'!I401))</f>
        <v>1</v>
      </c>
      <c r="J407" s="41">
        <f>ABS(J$5-(6-'4JSON'!J401))</f>
        <v>0</v>
      </c>
      <c r="K407" s="41">
        <f>ABS(K$5-(6-'4JSON'!K401))</f>
        <v>0</v>
      </c>
      <c r="L407" s="41">
        <f>ABS(L$5-(6-'4JSON'!L401))</f>
        <v>0</v>
      </c>
      <c r="M407" s="36">
        <f t="shared" si="1"/>
        <v>6</v>
      </c>
      <c r="N407" s="42">
        <f t="shared" si="2"/>
        <v>0.8333333333</v>
      </c>
      <c r="S407" s="35">
        <f>IFERROR(__xludf.DUMMYFUNCTION("""COMPUTED_VALUE"""),2143.0)</f>
        <v>2143</v>
      </c>
    </row>
    <row r="408">
      <c r="A408" s="35">
        <f>'4JSON'!A402</f>
        <v>7201</v>
      </c>
      <c r="B408" s="25" t="str">
        <f>'4JSON'!B402</f>
        <v>Supervisors, Machinists and Related Occupations</v>
      </c>
      <c r="C408" s="41" t="str">
        <f>'4JSON'!C402</f>
        <v>Contractors and supervisors, machining, metal forming, shaping and erecting trades and related occupations</v>
      </c>
      <c r="D408" s="41">
        <f>ABS(D$5-(6-'4JSON'!D402))</f>
        <v>1</v>
      </c>
      <c r="E408" s="41">
        <f>ABS(E$5-(6-'4JSON'!E402))</f>
        <v>0</v>
      </c>
      <c r="F408" s="41">
        <f>ABS(F$5-(6-'4JSON'!F402))</f>
        <v>0</v>
      </c>
      <c r="G408" s="41">
        <f>ABS(G$5-(6-'4JSON'!G402))</f>
        <v>0</v>
      </c>
      <c r="H408" s="41">
        <f>ABS(H$5-(6-'4JSON'!H402))</f>
        <v>1</v>
      </c>
      <c r="I408" s="41">
        <f>ABS(I$5-(6-'4JSON'!I402))</f>
        <v>0</v>
      </c>
      <c r="J408" s="41">
        <f>ABS(J$5-(6-'4JSON'!J402))</f>
        <v>0</v>
      </c>
      <c r="K408" s="41">
        <f>ABS(K$5-(6-'4JSON'!K402))</f>
        <v>0</v>
      </c>
      <c r="L408" s="41">
        <f>ABS(L$5-(6-'4JSON'!L402))</f>
        <v>0</v>
      </c>
      <c r="M408" s="36">
        <f t="shared" si="1"/>
        <v>2</v>
      </c>
      <c r="N408" s="42">
        <f t="shared" si="2"/>
        <v>0.9444444444</v>
      </c>
      <c r="S408" s="35">
        <f>IFERROR(__xludf.DUMMYFUNCTION("""COMPUTED_VALUE"""),9619.0)</f>
        <v>9619</v>
      </c>
    </row>
    <row r="409">
      <c r="A409" s="35">
        <f>'4JSON'!A403</f>
        <v>7246</v>
      </c>
      <c r="B409" s="25" t="str">
        <f>'4JSON'!B403</f>
        <v>Switch Network Installers and Repairers</v>
      </c>
      <c r="C409" s="41" t="str">
        <f>'4JSON'!C403</f>
        <v>Telecommunications installation and repair workers</v>
      </c>
      <c r="D409" s="41">
        <f>ABS(D$5-(6-'4JSON'!D403))</f>
        <v>1</v>
      </c>
      <c r="E409" s="41">
        <f>ABS(E$5-(6-'4JSON'!E403))</f>
        <v>0</v>
      </c>
      <c r="F409" s="41">
        <f>ABS(F$5-(6-'4JSON'!F403))</f>
        <v>1</v>
      </c>
      <c r="G409" s="41">
        <f>ABS(G$5-(6-'4JSON'!G403))</f>
        <v>0</v>
      </c>
      <c r="H409" s="41">
        <f>ABS(H$5-(6-'4JSON'!H403))</f>
        <v>1</v>
      </c>
      <c r="I409" s="41">
        <f>ABS(I$5-(6-'4JSON'!I403))</f>
        <v>1</v>
      </c>
      <c r="J409" s="41">
        <f>ABS(J$5-(6-'4JSON'!J403))</f>
        <v>0</v>
      </c>
      <c r="K409" s="41">
        <f>ABS(K$5-(6-'4JSON'!K403))</f>
        <v>0</v>
      </c>
      <c r="L409" s="41">
        <f>ABS(L$5-(6-'4JSON'!L403))</f>
        <v>0</v>
      </c>
      <c r="M409" s="36">
        <f t="shared" si="1"/>
        <v>4</v>
      </c>
      <c r="N409" s="42">
        <f t="shared" si="2"/>
        <v>0.8888888889</v>
      </c>
      <c r="S409" s="35">
        <f>IFERROR(__xludf.DUMMYFUNCTION("""COMPUTED_VALUE"""),6316.0)</f>
        <v>6316</v>
      </c>
    </row>
    <row r="410">
      <c r="A410" s="35">
        <f>'4JSON'!A404</f>
        <v>5133</v>
      </c>
      <c r="B410" s="25" t="str">
        <f>'4JSON'!B404</f>
        <v>Teachers of Music or Voice</v>
      </c>
      <c r="C410" s="41" t="str">
        <f>'4JSON'!C404</f>
        <v>Musicians and singers</v>
      </c>
      <c r="D410" s="41">
        <f>ABS(D$5-(6-'4JSON'!D404))</f>
        <v>2</v>
      </c>
      <c r="E410" s="41">
        <f>ABS(E$5-(6-'4JSON'!E404))</f>
        <v>1</v>
      </c>
      <c r="F410" s="41">
        <f>ABS(F$5-(6-'4JSON'!F404))</f>
        <v>0</v>
      </c>
      <c r="G410" s="41">
        <f>ABS(G$5-(6-'4JSON'!G404))</f>
        <v>0</v>
      </c>
      <c r="H410" s="41">
        <f>ABS(H$5-(6-'4JSON'!H404))</f>
        <v>1</v>
      </c>
      <c r="I410" s="41">
        <f>ABS(I$5-(6-'4JSON'!I404))</f>
        <v>0</v>
      </c>
      <c r="J410" s="41">
        <f>ABS(J$5-(6-'4JSON'!J404))</f>
        <v>0</v>
      </c>
      <c r="K410" s="41">
        <f>ABS(K$5-(6-'4JSON'!K404))</f>
        <v>0</v>
      </c>
      <c r="L410" s="41">
        <f>ABS(L$5-(6-'4JSON'!L404))</f>
        <v>0</v>
      </c>
      <c r="M410" s="36">
        <f t="shared" si="1"/>
        <v>4</v>
      </c>
      <c r="N410" s="42">
        <f t="shared" si="2"/>
        <v>0.8888888889</v>
      </c>
      <c r="S410" s="35">
        <f>IFERROR(__xludf.DUMMYFUNCTION("""COMPUTED_VALUE"""),651.0)</f>
        <v>651</v>
      </c>
    </row>
    <row r="411">
      <c r="A411" s="35">
        <f>'4JSON'!A405</f>
        <v>7246</v>
      </c>
      <c r="B411" s="25" t="str">
        <f>'4JSON'!B405</f>
        <v>Telecommunications Equipment Technicians</v>
      </c>
      <c r="C411" s="41" t="str">
        <f>'4JSON'!C405</f>
        <v>Telecommunications installation and repair workers</v>
      </c>
      <c r="D411" s="41">
        <f>ABS(D$5-(6-'4JSON'!D405))</f>
        <v>1</v>
      </c>
      <c r="E411" s="41">
        <f>ABS(E$5-(6-'4JSON'!E405))</f>
        <v>0</v>
      </c>
      <c r="F411" s="41">
        <f>ABS(F$5-(6-'4JSON'!F405))</f>
        <v>1</v>
      </c>
      <c r="G411" s="41">
        <f>ABS(G$5-(6-'4JSON'!G405))</f>
        <v>0</v>
      </c>
      <c r="H411" s="41">
        <f>ABS(H$5-(6-'4JSON'!H405))</f>
        <v>1</v>
      </c>
      <c r="I411" s="41">
        <f>ABS(I$5-(6-'4JSON'!I405))</f>
        <v>1</v>
      </c>
      <c r="J411" s="41">
        <f>ABS(J$5-(6-'4JSON'!J405))</f>
        <v>0</v>
      </c>
      <c r="K411" s="41">
        <f>ABS(K$5-(6-'4JSON'!K405))</f>
        <v>0</v>
      </c>
      <c r="L411" s="41">
        <f>ABS(L$5-(6-'4JSON'!L405))</f>
        <v>0</v>
      </c>
      <c r="M411" s="36">
        <f t="shared" si="1"/>
        <v>4</v>
      </c>
      <c r="N411" s="42">
        <f t="shared" si="2"/>
        <v>0.8888888889</v>
      </c>
      <c r="S411" s="35">
        <f>IFERROR(__xludf.DUMMYFUNCTION("""COMPUTED_VALUE"""),1223.0)</f>
        <v>1223</v>
      </c>
    </row>
    <row r="412">
      <c r="A412" s="35">
        <f>'4JSON'!A406</f>
        <v>7246</v>
      </c>
      <c r="B412" s="25" t="str">
        <f>'4JSON'!B406</f>
        <v>Telecommunications Service Testers</v>
      </c>
      <c r="C412" s="41" t="str">
        <f>'4JSON'!C406</f>
        <v>Telecommunications installation and repair workers</v>
      </c>
      <c r="D412" s="41">
        <f>ABS(D$5-(6-'4JSON'!D406))</f>
        <v>1</v>
      </c>
      <c r="E412" s="41">
        <f>ABS(E$5-(6-'4JSON'!E406))</f>
        <v>0</v>
      </c>
      <c r="F412" s="41">
        <f>ABS(F$5-(6-'4JSON'!F406))</f>
        <v>1</v>
      </c>
      <c r="G412" s="41">
        <f>ABS(G$5-(6-'4JSON'!G406))</f>
        <v>0</v>
      </c>
      <c r="H412" s="41">
        <f>ABS(H$5-(6-'4JSON'!H406))</f>
        <v>1</v>
      </c>
      <c r="I412" s="41">
        <f>ABS(I$5-(6-'4JSON'!I406))</f>
        <v>1</v>
      </c>
      <c r="J412" s="41">
        <f>ABS(J$5-(6-'4JSON'!J406))</f>
        <v>0</v>
      </c>
      <c r="K412" s="41">
        <f>ABS(K$5-(6-'4JSON'!K406))</f>
        <v>0</v>
      </c>
      <c r="L412" s="41">
        <f>ABS(L$5-(6-'4JSON'!L406))</f>
        <v>0</v>
      </c>
      <c r="M412" s="36">
        <f t="shared" si="1"/>
        <v>4</v>
      </c>
      <c r="N412" s="42">
        <f t="shared" si="2"/>
        <v>0.8888888889</v>
      </c>
      <c r="S412" s="35">
        <f>IFERROR(__xludf.DUMMYFUNCTION("""COMPUTED_VALUE"""),1415.0)</f>
        <v>1415</v>
      </c>
    </row>
    <row r="413">
      <c r="A413" s="35">
        <f>'4JSON'!A407</f>
        <v>7246</v>
      </c>
      <c r="B413" s="25" t="str">
        <f>'4JSON'!B407</f>
        <v>Telephone Installers and Repairers</v>
      </c>
      <c r="C413" s="41" t="str">
        <f>'4JSON'!C407</f>
        <v>Telecommunications installation and repair workers</v>
      </c>
      <c r="D413" s="41">
        <f>ABS(D$5-(6-'4JSON'!D407))</f>
        <v>1</v>
      </c>
      <c r="E413" s="41">
        <f>ABS(E$5-(6-'4JSON'!E407))</f>
        <v>0</v>
      </c>
      <c r="F413" s="41">
        <f>ABS(F$5-(6-'4JSON'!F407))</f>
        <v>1</v>
      </c>
      <c r="G413" s="41">
        <f>ABS(G$5-(6-'4JSON'!G407))</f>
        <v>0</v>
      </c>
      <c r="H413" s="41">
        <f>ABS(H$5-(6-'4JSON'!H407))</f>
        <v>1</v>
      </c>
      <c r="I413" s="41">
        <f>ABS(I$5-(6-'4JSON'!I407))</f>
        <v>1</v>
      </c>
      <c r="J413" s="41">
        <f>ABS(J$5-(6-'4JSON'!J407))</f>
        <v>0</v>
      </c>
      <c r="K413" s="41">
        <f>ABS(K$5-(6-'4JSON'!K407))</f>
        <v>0</v>
      </c>
      <c r="L413" s="41">
        <f>ABS(L$5-(6-'4JSON'!L407))</f>
        <v>0</v>
      </c>
      <c r="M413" s="36">
        <f t="shared" si="1"/>
        <v>4</v>
      </c>
      <c r="N413" s="42">
        <f t="shared" si="2"/>
        <v>0.8888888889</v>
      </c>
      <c r="S413" s="35">
        <f>IFERROR(__xludf.DUMMYFUNCTION("""COMPUTED_VALUE"""),2145.0)</f>
        <v>2145</v>
      </c>
    </row>
    <row r="414">
      <c r="A414" s="35">
        <f>'4JSON'!A408</f>
        <v>7321</v>
      </c>
      <c r="B414" s="25" t="str">
        <f>'4JSON'!B408</f>
        <v>Transport Truck and Trailer Mechanics</v>
      </c>
      <c r="C414" s="41" t="str">
        <f>'4JSON'!C408</f>
        <v>Automotive service technicians, truck and bus mechanics and mechanical repairers</v>
      </c>
      <c r="D414" s="41">
        <f>ABS(D$5-(6-'4JSON'!D408))</f>
        <v>1</v>
      </c>
      <c r="E414" s="41">
        <f>ABS(E$5-(6-'4JSON'!E408))</f>
        <v>0</v>
      </c>
      <c r="F414" s="41">
        <f>ABS(F$5-(6-'4JSON'!F408))</f>
        <v>1</v>
      </c>
      <c r="G414" s="41">
        <f>ABS(G$5-(6-'4JSON'!G408))</f>
        <v>0</v>
      </c>
      <c r="H414" s="41">
        <f>ABS(H$5-(6-'4JSON'!H408))</f>
        <v>1</v>
      </c>
      <c r="I414" s="41">
        <f>ABS(I$5-(6-'4JSON'!I408))</f>
        <v>1</v>
      </c>
      <c r="J414" s="41">
        <f>ABS(J$5-(6-'4JSON'!J408))</f>
        <v>0</v>
      </c>
      <c r="K414" s="41">
        <f>ABS(K$5-(6-'4JSON'!K408))</f>
        <v>0</v>
      </c>
      <c r="L414" s="41">
        <f>ABS(L$5-(6-'4JSON'!L408))</f>
        <v>0</v>
      </c>
      <c r="M414" s="36">
        <f t="shared" si="1"/>
        <v>4</v>
      </c>
      <c r="N414" s="42">
        <f t="shared" si="2"/>
        <v>0.8888888889</v>
      </c>
      <c r="S414" s="35">
        <f>IFERROR(__xludf.DUMMYFUNCTION("""COMPUTED_VALUE"""),132.0)</f>
        <v>132</v>
      </c>
    </row>
    <row r="415">
      <c r="A415" s="35">
        <f>'4JSON'!A409</f>
        <v>6345</v>
      </c>
      <c r="B415" s="25" t="str">
        <f>'4JSON'!B409</f>
        <v>Upholsterers</v>
      </c>
      <c r="C415" s="41" t="str">
        <f>'4JSON'!C409</f>
        <v>Upholsterers</v>
      </c>
      <c r="D415" s="41">
        <f>ABS(D$5-(6-'4JSON'!D409))</f>
        <v>1</v>
      </c>
      <c r="E415" s="41">
        <f>ABS(E$5-(6-'4JSON'!E409))</f>
        <v>0</v>
      </c>
      <c r="F415" s="41">
        <f>ABS(F$5-(6-'4JSON'!F409))</f>
        <v>0</v>
      </c>
      <c r="G415" s="41">
        <f>ABS(G$5-(6-'4JSON'!G409))</f>
        <v>1</v>
      </c>
      <c r="H415" s="41">
        <f>ABS(H$5-(6-'4JSON'!H409))</f>
        <v>1</v>
      </c>
      <c r="I415" s="41">
        <f>ABS(I$5-(6-'4JSON'!I409))</f>
        <v>1</v>
      </c>
      <c r="J415" s="41">
        <f>ABS(J$5-(6-'4JSON'!J409))</f>
        <v>0</v>
      </c>
      <c r="K415" s="41">
        <f>ABS(K$5-(6-'4JSON'!K409))</f>
        <v>0</v>
      </c>
      <c r="L415" s="41">
        <f>ABS(L$5-(6-'4JSON'!L409))</f>
        <v>0</v>
      </c>
      <c r="M415" s="36">
        <f t="shared" si="1"/>
        <v>4</v>
      </c>
      <c r="N415" s="42">
        <f t="shared" si="2"/>
        <v>0.8888888889</v>
      </c>
      <c r="S415" s="35">
        <f>IFERROR(__xludf.DUMMYFUNCTION("""COMPUTED_VALUE"""),1523.0)</f>
        <v>1523</v>
      </c>
    </row>
    <row r="416">
      <c r="A416" s="35">
        <f>'4JSON'!A410</f>
        <v>3213</v>
      </c>
      <c r="B416" s="25" t="str">
        <f>'4JSON'!B410</f>
        <v>Veterinary and Animal Health Technologists and Technicians</v>
      </c>
      <c r="C416" s="41" t="str">
        <f>'4JSON'!C410</f>
        <v>Animal health technologists and veterinary technicians</v>
      </c>
      <c r="D416" s="41">
        <f>ABS(D$5-(6-'4JSON'!D410))</f>
        <v>1</v>
      </c>
      <c r="E416" s="41">
        <f>ABS(E$5-(6-'4JSON'!E410))</f>
        <v>0</v>
      </c>
      <c r="F416" s="41">
        <f>ABS(F$5-(6-'4JSON'!F410))</f>
        <v>0</v>
      </c>
      <c r="G416" s="41">
        <f>ABS(G$5-(6-'4JSON'!G410))</f>
        <v>0</v>
      </c>
      <c r="H416" s="41">
        <f>ABS(H$5-(6-'4JSON'!H410))</f>
        <v>1</v>
      </c>
      <c r="I416" s="41">
        <f>ABS(I$5-(6-'4JSON'!I410))</f>
        <v>0</v>
      </c>
      <c r="J416" s="41">
        <f>ABS(J$5-(6-'4JSON'!J410))</f>
        <v>0</v>
      </c>
      <c r="K416" s="41">
        <f>ABS(K$5-(6-'4JSON'!K410))</f>
        <v>0</v>
      </c>
      <c r="L416" s="41">
        <f>ABS(L$5-(6-'4JSON'!L410))</f>
        <v>0</v>
      </c>
      <c r="M416" s="36">
        <f t="shared" si="1"/>
        <v>2</v>
      </c>
      <c r="N416" s="42">
        <f t="shared" si="2"/>
        <v>0.9444444444</v>
      </c>
      <c r="S416" s="35">
        <f>IFERROR(__xludf.DUMMYFUNCTION("""COMPUTED_VALUE"""),4168.0)</f>
        <v>4168</v>
      </c>
    </row>
    <row r="417">
      <c r="A417" s="35">
        <f>'4JSON'!A411</f>
        <v>9414</v>
      </c>
      <c r="B417" s="25" t="str">
        <f>'4JSON'!B411</f>
        <v>Stone Forming and Finishing Workers</v>
      </c>
      <c r="C417" s="41" t="str">
        <f>'4JSON'!C411</f>
        <v>Concrete, clay and stone forming operators</v>
      </c>
      <c r="D417" s="41">
        <f>ABS(D$5-(6-'4JSON'!D411))</f>
        <v>1</v>
      </c>
      <c r="E417" s="41">
        <f>ABS(E$5-(6-'4JSON'!E411))</f>
        <v>1</v>
      </c>
      <c r="F417" s="41">
        <f>ABS(F$5-(6-'4JSON'!F411))</f>
        <v>1</v>
      </c>
      <c r="G417" s="41">
        <f>ABS(G$5-(6-'4JSON'!G411))</f>
        <v>0</v>
      </c>
      <c r="H417" s="41">
        <f>ABS(H$5-(6-'4JSON'!H411))</f>
        <v>1</v>
      </c>
      <c r="I417" s="41">
        <f>ABS(I$5-(6-'4JSON'!I411))</f>
        <v>1</v>
      </c>
      <c r="J417" s="41">
        <f>ABS(J$5-(6-'4JSON'!J411))</f>
        <v>0</v>
      </c>
      <c r="K417" s="41">
        <f>ABS(K$5-(6-'4JSON'!K411))</f>
        <v>1</v>
      </c>
      <c r="L417" s="41">
        <f>ABS(L$5-(6-'4JSON'!L411))</f>
        <v>0</v>
      </c>
      <c r="M417" s="36">
        <f t="shared" si="1"/>
        <v>6</v>
      </c>
      <c r="N417" s="42">
        <f t="shared" si="2"/>
        <v>0.8333333333</v>
      </c>
      <c r="S417" s="35">
        <f>IFERROR(__xludf.DUMMYFUNCTION("""COMPUTED_VALUE"""),1224.0)</f>
        <v>1224</v>
      </c>
    </row>
    <row r="418">
      <c r="A418" s="35">
        <f>'4JSON'!A412</f>
        <v>2281</v>
      </c>
      <c r="B418" s="25" t="str">
        <f>'4JSON'!B412</f>
        <v>Web Technicians</v>
      </c>
      <c r="C418" s="41" t="str">
        <f>'4JSON'!C412</f>
        <v>Computer network technicians</v>
      </c>
      <c r="D418" s="41">
        <f>ABS(D$5-(6-'4JSON'!D412))</f>
        <v>2</v>
      </c>
      <c r="E418" s="41">
        <f>ABS(E$5-(6-'4JSON'!E412))</f>
        <v>0</v>
      </c>
      <c r="F418" s="41">
        <f>ABS(F$5-(6-'4JSON'!F412))</f>
        <v>1</v>
      </c>
      <c r="G418" s="41">
        <f>ABS(G$5-(6-'4JSON'!G412))</f>
        <v>0</v>
      </c>
      <c r="H418" s="41">
        <f>ABS(H$5-(6-'4JSON'!H412))</f>
        <v>1</v>
      </c>
      <c r="I418" s="41">
        <f>ABS(I$5-(6-'4JSON'!I412))</f>
        <v>0</v>
      </c>
      <c r="J418" s="41">
        <f>ABS(J$5-(6-'4JSON'!J412))</f>
        <v>0</v>
      </c>
      <c r="K418" s="41">
        <f>ABS(K$5-(6-'4JSON'!K412))</f>
        <v>0</v>
      </c>
      <c r="L418" s="41">
        <f>ABS(L$5-(6-'4JSON'!L412))</f>
        <v>0</v>
      </c>
      <c r="M418" s="36">
        <f t="shared" si="1"/>
        <v>4</v>
      </c>
      <c r="N418" s="42">
        <f t="shared" si="2"/>
        <v>0.8888888889</v>
      </c>
      <c r="S418" s="35">
        <f>IFERROR(__xludf.DUMMYFUNCTION("""COMPUTED_VALUE"""),6232.0)</f>
        <v>6232</v>
      </c>
    </row>
    <row r="419">
      <c r="A419" s="35">
        <f>'4JSON'!A413</f>
        <v>7235</v>
      </c>
      <c r="B419" s="25" t="str">
        <f>'4JSON'!B413</f>
        <v>Structural Metal and Platework Fabricators and Fitters</v>
      </c>
      <c r="C419" s="41" t="str">
        <f>'4JSON'!C413</f>
        <v>Structural metal and platework fabricators and fitters</v>
      </c>
      <c r="D419" s="41">
        <f>ABS(D$5-(6-'4JSON'!D413))</f>
        <v>1</v>
      </c>
      <c r="E419" s="41">
        <f>ABS(E$5-(6-'4JSON'!E413))</f>
        <v>1</v>
      </c>
      <c r="F419" s="41">
        <f>ABS(F$5-(6-'4JSON'!F413))</f>
        <v>0</v>
      </c>
      <c r="G419" s="41">
        <f>ABS(G$5-(6-'4JSON'!G413))</f>
        <v>0</v>
      </c>
      <c r="H419" s="41">
        <f>ABS(H$5-(6-'4JSON'!H413))</f>
        <v>1</v>
      </c>
      <c r="I419" s="41">
        <f>ABS(I$5-(6-'4JSON'!I413))</f>
        <v>1</v>
      </c>
      <c r="J419" s="41">
        <f>ABS(J$5-(6-'4JSON'!J413))</f>
        <v>0</v>
      </c>
      <c r="K419" s="41">
        <f>ABS(K$5-(6-'4JSON'!K413))</f>
        <v>0</v>
      </c>
      <c r="L419" s="41">
        <f>ABS(L$5-(6-'4JSON'!L413))</f>
        <v>0</v>
      </c>
      <c r="M419" s="36">
        <f t="shared" si="1"/>
        <v>4</v>
      </c>
      <c r="N419" s="42">
        <f t="shared" si="2"/>
        <v>0.8888888889</v>
      </c>
      <c r="S419" s="35">
        <f>IFERROR(__xludf.DUMMYFUNCTION("""COMPUTED_VALUE"""),712.0)</f>
        <v>712</v>
      </c>
    </row>
    <row r="420">
      <c r="A420" s="35">
        <f>'4JSON'!A414</f>
        <v>9442</v>
      </c>
      <c r="B420" s="25" t="str">
        <f>'4JSON'!B414</f>
        <v>Weavers, Knitters and Other Fabric-Making Occupations</v>
      </c>
      <c r="C420" s="41" t="str">
        <f>'4JSON'!C414</f>
        <v>Weavers, knitters and other fabric making occupations</v>
      </c>
      <c r="D420" s="41">
        <f>ABS(D$5-(6-'4JSON'!D414))</f>
        <v>1</v>
      </c>
      <c r="E420" s="41">
        <f>ABS(E$5-(6-'4JSON'!E414))</f>
        <v>1</v>
      </c>
      <c r="F420" s="41">
        <f>ABS(F$5-(6-'4JSON'!F414))</f>
        <v>1</v>
      </c>
      <c r="G420" s="41">
        <f>ABS(G$5-(6-'4JSON'!G414))</f>
        <v>1</v>
      </c>
      <c r="H420" s="41">
        <f>ABS(H$5-(6-'4JSON'!H414))</f>
        <v>1</v>
      </c>
      <c r="I420" s="41">
        <f>ABS(I$5-(6-'4JSON'!I414))</f>
        <v>1</v>
      </c>
      <c r="J420" s="41">
        <f>ABS(J$5-(6-'4JSON'!J414))</f>
        <v>0</v>
      </c>
      <c r="K420" s="41">
        <f>ABS(K$5-(6-'4JSON'!K414))</f>
        <v>0</v>
      </c>
      <c r="L420" s="41">
        <f>ABS(L$5-(6-'4JSON'!L414))</f>
        <v>0</v>
      </c>
      <c r="M420" s="36">
        <f t="shared" si="1"/>
        <v>6</v>
      </c>
      <c r="N420" s="42">
        <f t="shared" si="2"/>
        <v>0.8333333333</v>
      </c>
      <c r="S420" s="35">
        <f>IFERROR(__xludf.DUMMYFUNCTION("""COMPUTED_VALUE"""),631.0)</f>
        <v>631</v>
      </c>
    </row>
    <row r="421">
      <c r="A421" s="35">
        <f>'4JSON'!A415</f>
        <v>9521</v>
      </c>
      <c r="B421" s="25" t="str">
        <f>'4JSON'!B415</f>
        <v>Aircraft Assemblers</v>
      </c>
      <c r="C421" s="41" t="str">
        <f>'4JSON'!C415</f>
        <v>Aircraft assemblers and aircraft assembly inspectors</v>
      </c>
      <c r="D421" s="41">
        <f>ABS(D$5-(6-'4JSON'!D415))</f>
        <v>1</v>
      </c>
      <c r="E421" s="41">
        <f>ABS(E$5-(6-'4JSON'!E415))</f>
        <v>0</v>
      </c>
      <c r="F421" s="41">
        <f>ABS(F$5-(6-'4JSON'!F415))</f>
        <v>0</v>
      </c>
      <c r="G421" s="41">
        <f>ABS(G$5-(6-'4JSON'!G415))</f>
        <v>0</v>
      </c>
      <c r="H421" s="41">
        <f>ABS(H$5-(6-'4JSON'!H415))</f>
        <v>1</v>
      </c>
      <c r="I421" s="41">
        <f>ABS(I$5-(6-'4JSON'!I415))</f>
        <v>1</v>
      </c>
      <c r="J421" s="41">
        <f>ABS(J$5-(6-'4JSON'!J415))</f>
        <v>0</v>
      </c>
      <c r="K421" s="41">
        <f>ABS(K$5-(6-'4JSON'!K415))</f>
        <v>0</v>
      </c>
      <c r="L421" s="41">
        <f>ABS(L$5-(6-'4JSON'!L415))</f>
        <v>0</v>
      </c>
      <c r="M421" s="36">
        <f t="shared" si="1"/>
        <v>3</v>
      </c>
      <c r="N421" s="42">
        <f t="shared" si="2"/>
        <v>0.9166666667</v>
      </c>
      <c r="S421" s="35">
        <f>IFERROR(__xludf.DUMMYFUNCTION("""COMPUTED_VALUE"""),6421.0)</f>
        <v>6421</v>
      </c>
    </row>
    <row r="422">
      <c r="A422" s="35">
        <f>'4JSON'!A416</f>
        <v>7315</v>
      </c>
      <c r="B422" s="25" t="str">
        <f>'4JSON'!B416</f>
        <v>Aircraft Inspectors</v>
      </c>
      <c r="C422" s="41" t="str">
        <f>'4JSON'!C416</f>
        <v>Aircraft mechanics and aircraft inspectors</v>
      </c>
      <c r="D422" s="41">
        <f>ABS(D$5-(6-'4JSON'!D416))</f>
        <v>1</v>
      </c>
      <c r="E422" s="41">
        <f>ABS(E$5-(6-'4JSON'!E416))</f>
        <v>0</v>
      </c>
      <c r="F422" s="41">
        <f>ABS(F$5-(6-'4JSON'!F416))</f>
        <v>0</v>
      </c>
      <c r="G422" s="41">
        <f>ABS(G$5-(6-'4JSON'!G416))</f>
        <v>1</v>
      </c>
      <c r="H422" s="41">
        <f>ABS(H$5-(6-'4JSON'!H416))</f>
        <v>0</v>
      </c>
      <c r="I422" s="41">
        <f>ABS(I$5-(6-'4JSON'!I416))</f>
        <v>1</v>
      </c>
      <c r="J422" s="41">
        <f>ABS(J$5-(6-'4JSON'!J416))</f>
        <v>0</v>
      </c>
      <c r="K422" s="41">
        <f>ABS(K$5-(6-'4JSON'!K416))</f>
        <v>0</v>
      </c>
      <c r="L422" s="41">
        <f>ABS(L$5-(6-'4JSON'!L416))</f>
        <v>0</v>
      </c>
      <c r="M422" s="36">
        <f t="shared" si="1"/>
        <v>3</v>
      </c>
      <c r="N422" s="42">
        <f t="shared" si="2"/>
        <v>0.9166666667</v>
      </c>
      <c r="S422" s="35">
        <f>IFERROR(__xludf.DUMMYFUNCTION("""COMPUTED_VALUE"""),6211.0)</f>
        <v>6211</v>
      </c>
    </row>
    <row r="423">
      <c r="A423" s="35">
        <f>'4JSON'!A417</f>
        <v>6342</v>
      </c>
      <c r="B423" s="25" t="str">
        <f>'4JSON'!B417</f>
        <v>Alterationists</v>
      </c>
      <c r="C423" s="41" t="str">
        <f>'4JSON'!C417</f>
        <v>Tailors, dressmakers, furriers and milliners</v>
      </c>
      <c r="D423" s="41">
        <f>ABS(D$5-(6-'4JSON'!D417))</f>
        <v>1</v>
      </c>
      <c r="E423" s="41">
        <f>ABS(E$5-(6-'4JSON'!E417))</f>
        <v>0</v>
      </c>
      <c r="F423" s="41">
        <f>ABS(F$5-(6-'4JSON'!F417))</f>
        <v>1</v>
      </c>
      <c r="G423" s="41">
        <f>ABS(G$5-(6-'4JSON'!G417))</f>
        <v>0</v>
      </c>
      <c r="H423" s="41">
        <f>ABS(H$5-(6-'4JSON'!H417))</f>
        <v>1</v>
      </c>
      <c r="I423" s="41">
        <f>ABS(I$5-(6-'4JSON'!I417))</f>
        <v>1</v>
      </c>
      <c r="J423" s="41">
        <f>ABS(J$5-(6-'4JSON'!J417))</f>
        <v>0</v>
      </c>
      <c r="K423" s="41">
        <f>ABS(K$5-(6-'4JSON'!K417))</f>
        <v>1</v>
      </c>
      <c r="L423" s="41">
        <f>ABS(L$5-(6-'4JSON'!L417))</f>
        <v>0</v>
      </c>
      <c r="M423" s="36">
        <f t="shared" si="1"/>
        <v>5</v>
      </c>
      <c r="N423" s="42">
        <f t="shared" si="2"/>
        <v>0.8611111111</v>
      </c>
      <c r="S423" s="35">
        <f>IFERROR(__xludf.DUMMYFUNCTION("""COMPUTED_VALUE"""),6411.0)</f>
        <v>6411</v>
      </c>
    </row>
    <row r="424">
      <c r="A424" s="35">
        <f>'4JSON'!A418</f>
        <v>2225</v>
      </c>
      <c r="B424" s="25" t="str">
        <f>'4JSON'!B418</f>
        <v>Arborists and Tree Service Technicians</v>
      </c>
      <c r="C424" s="41" t="str">
        <f>'4JSON'!C418</f>
        <v>Landscape and horticulture technicians and specialists</v>
      </c>
      <c r="D424" s="41">
        <f>ABS(D$5-(6-'4JSON'!D418))</f>
        <v>2</v>
      </c>
      <c r="E424" s="41">
        <f>ABS(E$5-(6-'4JSON'!E418))</f>
        <v>0</v>
      </c>
      <c r="F424" s="41">
        <f>ABS(F$5-(6-'4JSON'!F418))</f>
        <v>0</v>
      </c>
      <c r="G424" s="41">
        <f>ABS(G$5-(6-'4JSON'!G418))</f>
        <v>0</v>
      </c>
      <c r="H424" s="41">
        <f>ABS(H$5-(6-'4JSON'!H418))</f>
        <v>1</v>
      </c>
      <c r="I424" s="41">
        <f>ABS(I$5-(6-'4JSON'!I418))</f>
        <v>1</v>
      </c>
      <c r="J424" s="41">
        <f>ABS(J$5-(6-'4JSON'!J418))</f>
        <v>1</v>
      </c>
      <c r="K424" s="41">
        <f>ABS(K$5-(6-'4JSON'!K418))</f>
        <v>0</v>
      </c>
      <c r="L424" s="41">
        <f>ABS(L$5-(6-'4JSON'!L418))</f>
        <v>0</v>
      </c>
      <c r="M424" s="36">
        <f t="shared" si="1"/>
        <v>5</v>
      </c>
      <c r="N424" s="42">
        <f t="shared" si="2"/>
        <v>0.8611111111</v>
      </c>
      <c r="S424" s="35">
        <f>IFERROR(__xludf.DUMMYFUNCTION("""COMPUTED_VALUE"""),4031.0)</f>
        <v>4031</v>
      </c>
    </row>
    <row r="425">
      <c r="A425" s="35">
        <f>'4JSON'!A419</f>
        <v>2251</v>
      </c>
      <c r="B425" s="25" t="str">
        <f>'4JSON'!B419</f>
        <v>Architectural Technologists and Technicians</v>
      </c>
      <c r="C425" s="41" t="str">
        <f>'4JSON'!C419</f>
        <v>Architectural technologists and technicians</v>
      </c>
      <c r="D425" s="41">
        <f>ABS(D$5-(6-'4JSON'!D419))</f>
        <v>2</v>
      </c>
      <c r="E425" s="41">
        <f>ABS(E$5-(6-'4JSON'!E419))</f>
        <v>1</v>
      </c>
      <c r="F425" s="41">
        <f>ABS(F$5-(6-'4JSON'!F419))</f>
        <v>1</v>
      </c>
      <c r="G425" s="41">
        <f>ABS(G$5-(6-'4JSON'!G419))</f>
        <v>1</v>
      </c>
      <c r="H425" s="41">
        <f>ABS(H$5-(6-'4JSON'!H419))</f>
        <v>0</v>
      </c>
      <c r="I425" s="41">
        <f>ABS(I$5-(6-'4JSON'!I419))</f>
        <v>0</v>
      </c>
      <c r="J425" s="41">
        <f>ABS(J$5-(6-'4JSON'!J419))</f>
        <v>0</v>
      </c>
      <c r="K425" s="41">
        <f>ABS(K$5-(6-'4JSON'!K419))</f>
        <v>0</v>
      </c>
      <c r="L425" s="41">
        <f>ABS(L$5-(6-'4JSON'!L419))</f>
        <v>1</v>
      </c>
      <c r="M425" s="36">
        <f t="shared" si="1"/>
        <v>6</v>
      </c>
      <c r="N425" s="42">
        <f t="shared" si="2"/>
        <v>0.8333333333</v>
      </c>
      <c r="S425" s="35">
        <f>IFERROR(__xludf.DUMMYFUNCTION("""COMPUTED_VALUE"""),6721.0)</f>
        <v>6721</v>
      </c>
    </row>
    <row r="426">
      <c r="A426" s="35">
        <f>'4JSON'!A420</f>
        <v>5132</v>
      </c>
      <c r="B426" s="25" t="str">
        <f>'4JSON'!B420</f>
        <v>Arrangers</v>
      </c>
      <c r="C426" s="41" t="str">
        <f>'4JSON'!C420</f>
        <v>Conductors, composers and arrangers</v>
      </c>
      <c r="D426" s="41">
        <f>ABS(D$5-(6-'4JSON'!D420))</f>
        <v>3</v>
      </c>
      <c r="E426" s="41">
        <f>ABS(E$5-(6-'4JSON'!E420))</f>
        <v>1</v>
      </c>
      <c r="F426" s="41">
        <f>ABS(F$5-(6-'4JSON'!F420))</f>
        <v>0</v>
      </c>
      <c r="G426" s="41">
        <f>ABS(G$5-(6-'4JSON'!G420))</f>
        <v>0</v>
      </c>
      <c r="H426" s="41">
        <f>ABS(H$5-(6-'4JSON'!H420))</f>
        <v>1</v>
      </c>
      <c r="I426" s="41">
        <f>ABS(I$5-(6-'4JSON'!I420))</f>
        <v>1</v>
      </c>
      <c r="J426" s="41">
        <f>ABS(J$5-(6-'4JSON'!J420))</f>
        <v>0</v>
      </c>
      <c r="K426" s="41">
        <f>ABS(K$5-(6-'4JSON'!K420))</f>
        <v>0</v>
      </c>
      <c r="L426" s="41">
        <f>ABS(L$5-(6-'4JSON'!L420))</f>
        <v>0</v>
      </c>
      <c r="M426" s="36">
        <f t="shared" si="1"/>
        <v>6</v>
      </c>
      <c r="N426" s="42">
        <f t="shared" si="2"/>
        <v>0.8333333333</v>
      </c>
      <c r="S426" s="35">
        <f>IFERROR(__xludf.DUMMYFUNCTION("""COMPUTED_VALUE"""),4152.0)</f>
        <v>4152</v>
      </c>
    </row>
    <row r="427">
      <c r="A427" s="35">
        <f>'4JSON'!A421</f>
        <v>5131</v>
      </c>
      <c r="B427" s="25" t="str">
        <f>'4JSON'!B421</f>
        <v>Art Directors</v>
      </c>
      <c r="C427" s="41" t="str">
        <f>'4JSON'!C421</f>
        <v>Producers, directors, choreographers and related occupations</v>
      </c>
      <c r="D427" s="41">
        <f>ABS(D$5-(6-'4JSON'!D421))</f>
        <v>2</v>
      </c>
      <c r="E427" s="41">
        <f>ABS(E$5-(6-'4JSON'!E421))</f>
        <v>1</v>
      </c>
      <c r="F427" s="41">
        <f>ABS(F$5-(6-'4JSON'!F421))</f>
        <v>0</v>
      </c>
      <c r="G427" s="41">
        <f>ABS(G$5-(6-'4JSON'!G421))</f>
        <v>1</v>
      </c>
      <c r="H427" s="41">
        <f>ABS(H$5-(6-'4JSON'!H421))</f>
        <v>1</v>
      </c>
      <c r="I427" s="41">
        <f>ABS(I$5-(6-'4JSON'!I421))</f>
        <v>0</v>
      </c>
      <c r="J427" s="41">
        <f>ABS(J$5-(6-'4JSON'!J421))</f>
        <v>1</v>
      </c>
      <c r="K427" s="41">
        <f>ABS(K$5-(6-'4JSON'!K421))</f>
        <v>1</v>
      </c>
      <c r="L427" s="41">
        <f>ABS(L$5-(6-'4JSON'!L421))</f>
        <v>1</v>
      </c>
      <c r="M427" s="36">
        <f t="shared" si="1"/>
        <v>8</v>
      </c>
      <c r="N427" s="42">
        <f t="shared" si="2"/>
        <v>0.7777777778</v>
      </c>
      <c r="S427" s="35">
        <f>IFERROR(__xludf.DUMMYFUNCTION("""COMPUTED_VALUE"""),2147.0)</f>
        <v>2147</v>
      </c>
    </row>
    <row r="428">
      <c r="A428" s="35">
        <f>'4JSON'!A422</f>
        <v>6562</v>
      </c>
      <c r="B428" s="25" t="str">
        <f>'4JSON'!B422</f>
        <v>Tattoo Artists</v>
      </c>
      <c r="C428" s="41" t="str">
        <f>'4JSON'!C422</f>
        <v>Estheticians, electrologists and related occupations</v>
      </c>
      <c r="D428" s="41">
        <f>ABS(D$5-(6-'4JSON'!D422))</f>
        <v>0</v>
      </c>
      <c r="E428" s="41">
        <f>ABS(E$5-(6-'4JSON'!E422))</f>
        <v>1</v>
      </c>
      <c r="F428" s="41">
        <f>ABS(F$5-(6-'4JSON'!F422))</f>
        <v>1</v>
      </c>
      <c r="G428" s="41">
        <f>ABS(G$5-(6-'4JSON'!G422))</f>
        <v>0</v>
      </c>
      <c r="H428" s="41">
        <f>ABS(H$5-(6-'4JSON'!H422))</f>
        <v>1</v>
      </c>
      <c r="I428" s="41">
        <f>ABS(I$5-(6-'4JSON'!I422))</f>
        <v>1</v>
      </c>
      <c r="J428" s="41">
        <f>ABS(J$5-(6-'4JSON'!J422))</f>
        <v>0</v>
      </c>
      <c r="K428" s="41">
        <f>ABS(K$5-(6-'4JSON'!K422))</f>
        <v>1</v>
      </c>
      <c r="L428" s="41">
        <f>ABS(L$5-(6-'4JSON'!L422))</f>
        <v>0</v>
      </c>
      <c r="M428" s="36">
        <f t="shared" si="1"/>
        <v>5</v>
      </c>
      <c r="N428" s="42">
        <f t="shared" si="2"/>
        <v>0.8611111111</v>
      </c>
      <c r="S428" s="35">
        <f>IFERROR(__xludf.DUMMYFUNCTION("""COMPUTED_VALUE"""),1121.0)</f>
        <v>1121</v>
      </c>
    </row>
    <row r="429">
      <c r="A429" s="35">
        <f>'4JSON'!A423</f>
        <v>3237</v>
      </c>
      <c r="B429" s="25" t="str">
        <f>'4JSON'!B423</f>
        <v>Audio Prosthetists</v>
      </c>
      <c r="C429" s="41" t="str">
        <f>'4JSON'!C423</f>
        <v>Other technical occupations in therapy and assessment</v>
      </c>
      <c r="D429" s="41">
        <f>ABS(D$5-(6-'4JSON'!D423))</f>
        <v>1</v>
      </c>
      <c r="E429" s="41">
        <f>ABS(E$5-(6-'4JSON'!E423))</f>
        <v>0</v>
      </c>
      <c r="F429" s="41">
        <f>ABS(F$5-(6-'4JSON'!F423))</f>
        <v>0</v>
      </c>
      <c r="G429" s="41">
        <f>ABS(G$5-(6-'4JSON'!G423))</f>
        <v>1</v>
      </c>
      <c r="H429" s="41">
        <f>ABS(H$5-(6-'4JSON'!H423))</f>
        <v>2</v>
      </c>
      <c r="I429" s="41">
        <f>ABS(I$5-(6-'4JSON'!I423))</f>
        <v>0</v>
      </c>
      <c r="J429" s="41">
        <f>ABS(J$5-(6-'4JSON'!J423))</f>
        <v>0</v>
      </c>
      <c r="K429" s="41">
        <f>ABS(K$5-(6-'4JSON'!K423))</f>
        <v>0</v>
      </c>
      <c r="L429" s="41">
        <f>ABS(L$5-(6-'4JSON'!L423))</f>
        <v>0</v>
      </c>
      <c r="M429" s="36">
        <f t="shared" si="1"/>
        <v>4</v>
      </c>
      <c r="N429" s="42">
        <f t="shared" si="2"/>
        <v>0.8888888889</v>
      </c>
      <c r="S429" s="35">
        <f>IFERROR(__xludf.DUMMYFUNCTION("""COMPUTED_VALUE"""),6623.0)</f>
        <v>6623</v>
      </c>
    </row>
    <row r="430">
      <c r="A430" s="35">
        <f>'4JSON'!A424</f>
        <v>3237</v>
      </c>
      <c r="B430" s="25" t="str">
        <f>'4JSON'!B424</f>
        <v>Audiometric Assistants</v>
      </c>
      <c r="C430" s="41" t="str">
        <f>'4JSON'!C424</f>
        <v>Other technical occupations in therapy and assessment</v>
      </c>
      <c r="D430" s="41">
        <f>ABS(D$5-(6-'4JSON'!D424))</f>
        <v>1</v>
      </c>
      <c r="E430" s="41">
        <f>ABS(E$5-(6-'4JSON'!E424))</f>
        <v>0</v>
      </c>
      <c r="F430" s="41">
        <f>ABS(F$5-(6-'4JSON'!F424))</f>
        <v>1</v>
      </c>
      <c r="G430" s="41">
        <f>ABS(G$5-(6-'4JSON'!G424))</f>
        <v>1</v>
      </c>
      <c r="H430" s="41">
        <f>ABS(H$5-(6-'4JSON'!H424))</f>
        <v>2</v>
      </c>
      <c r="I430" s="41">
        <f>ABS(I$5-(6-'4JSON'!I424))</f>
        <v>0</v>
      </c>
      <c r="J430" s="41">
        <f>ABS(J$5-(6-'4JSON'!J424))</f>
        <v>1</v>
      </c>
      <c r="K430" s="41">
        <f>ABS(K$5-(6-'4JSON'!K424))</f>
        <v>0</v>
      </c>
      <c r="L430" s="41">
        <f>ABS(L$5-(6-'4JSON'!L424))</f>
        <v>0</v>
      </c>
      <c r="M430" s="36">
        <f t="shared" si="1"/>
        <v>6</v>
      </c>
      <c r="N430" s="42">
        <f t="shared" si="2"/>
        <v>0.8333333333</v>
      </c>
      <c r="S430" s="35">
        <f>IFERROR(__xludf.DUMMYFUNCTION("""COMPUTED_VALUE"""),9213.0)</f>
        <v>9213</v>
      </c>
    </row>
    <row r="431">
      <c r="A431" s="35">
        <f>'4JSON'!A425</f>
        <v>2244</v>
      </c>
      <c r="B431" s="25" t="str">
        <f>'4JSON'!B425</f>
        <v>Avionics Mechanics and Technicians</v>
      </c>
      <c r="C431" s="41" t="str">
        <f>'4JSON'!C425</f>
        <v>Aircraft instrument, electrical and avionics mechanics, technicians and inspectors</v>
      </c>
      <c r="D431" s="41">
        <f>ABS(D$5-(6-'4JSON'!D425))</f>
        <v>1</v>
      </c>
      <c r="E431" s="41">
        <f>ABS(E$5-(6-'4JSON'!E425))</f>
        <v>0</v>
      </c>
      <c r="F431" s="41">
        <f>ABS(F$5-(6-'4JSON'!F425))</f>
        <v>0</v>
      </c>
      <c r="G431" s="41">
        <f>ABS(G$5-(6-'4JSON'!G425))</f>
        <v>1</v>
      </c>
      <c r="H431" s="41">
        <f>ABS(H$5-(6-'4JSON'!H425))</f>
        <v>0</v>
      </c>
      <c r="I431" s="41">
        <f>ABS(I$5-(6-'4JSON'!I425))</f>
        <v>1</v>
      </c>
      <c r="J431" s="41">
        <f>ABS(J$5-(6-'4JSON'!J425))</f>
        <v>1</v>
      </c>
      <c r="K431" s="41">
        <f>ABS(K$5-(6-'4JSON'!K425))</f>
        <v>2</v>
      </c>
      <c r="L431" s="41">
        <f>ABS(L$5-(6-'4JSON'!L425))</f>
        <v>2</v>
      </c>
      <c r="M431" s="36">
        <f t="shared" si="1"/>
        <v>8</v>
      </c>
      <c r="N431" s="42">
        <f t="shared" si="2"/>
        <v>0.7777777778</v>
      </c>
      <c r="S431" s="35">
        <f>IFERROR(__xludf.DUMMYFUNCTION("""COMPUTED_VALUE"""),1211.0)</f>
        <v>1211</v>
      </c>
    </row>
    <row r="432">
      <c r="A432" s="35">
        <f>'4JSON'!A426</f>
        <v>6722</v>
      </c>
      <c r="B432" s="25" t="str">
        <f>'4JSON'!B426</f>
        <v>Amusement Attraction Operators</v>
      </c>
      <c r="C432" s="41" t="str">
        <f>'4JSON'!C426</f>
        <v>Operators and attendants in amusement, recreation and sport</v>
      </c>
      <c r="D432" s="41">
        <f>ABS(D$5-(6-'4JSON'!D426))</f>
        <v>0</v>
      </c>
      <c r="E432" s="41">
        <f>ABS(E$5-(6-'4JSON'!E426))</f>
        <v>1</v>
      </c>
      <c r="F432" s="41">
        <f>ABS(F$5-(6-'4JSON'!F426))</f>
        <v>1</v>
      </c>
      <c r="G432" s="41">
        <f>ABS(G$5-(6-'4JSON'!G426))</f>
        <v>0</v>
      </c>
      <c r="H432" s="41">
        <f>ABS(H$5-(6-'4JSON'!H426))</f>
        <v>2</v>
      </c>
      <c r="I432" s="41">
        <f>ABS(I$5-(6-'4JSON'!I426))</f>
        <v>1</v>
      </c>
      <c r="J432" s="41">
        <f>ABS(J$5-(6-'4JSON'!J426))</f>
        <v>0</v>
      </c>
      <c r="K432" s="41">
        <f>ABS(K$5-(6-'4JSON'!K426))</f>
        <v>1</v>
      </c>
      <c r="L432" s="41">
        <f>ABS(L$5-(6-'4JSON'!L426))</f>
        <v>0</v>
      </c>
      <c r="M432" s="36">
        <f t="shared" si="1"/>
        <v>6</v>
      </c>
      <c r="N432" s="42">
        <f t="shared" si="2"/>
        <v>0.8333333333</v>
      </c>
      <c r="S432" s="35">
        <f>IFERROR(__xludf.DUMMYFUNCTION("""COMPUTED_VALUE"""),131.0)</f>
        <v>131</v>
      </c>
    </row>
    <row r="433">
      <c r="A433" s="35">
        <f>'4JSON'!A427</f>
        <v>6722</v>
      </c>
      <c r="B433" s="25" t="str">
        <f>'4JSON'!B427</f>
        <v>Attendants in Amusement, Recreation and Sport</v>
      </c>
      <c r="C433" s="41" t="str">
        <f>'4JSON'!C427</f>
        <v>Operators and attendants in amusement, recreation and sport</v>
      </c>
      <c r="D433" s="41">
        <f>ABS(D$5-(6-'4JSON'!D427))</f>
        <v>0</v>
      </c>
      <c r="E433" s="41">
        <f>ABS(E$5-(6-'4JSON'!E427))</f>
        <v>1</v>
      </c>
      <c r="F433" s="41">
        <f>ABS(F$5-(6-'4JSON'!F427))</f>
        <v>0</v>
      </c>
      <c r="G433" s="41">
        <f>ABS(G$5-(6-'4JSON'!G427))</f>
        <v>0</v>
      </c>
      <c r="H433" s="41">
        <f>ABS(H$5-(6-'4JSON'!H427))</f>
        <v>2</v>
      </c>
      <c r="I433" s="41">
        <f>ABS(I$5-(6-'4JSON'!I427))</f>
        <v>0</v>
      </c>
      <c r="J433" s="41">
        <f>ABS(J$5-(6-'4JSON'!J427))</f>
        <v>0</v>
      </c>
      <c r="K433" s="41">
        <f>ABS(K$5-(6-'4JSON'!K427))</f>
        <v>1</v>
      </c>
      <c r="L433" s="41">
        <f>ABS(L$5-(6-'4JSON'!L427))</f>
        <v>0</v>
      </c>
      <c r="M433" s="36">
        <f t="shared" si="1"/>
        <v>4</v>
      </c>
      <c r="N433" s="42">
        <f t="shared" si="2"/>
        <v>0.8888888889</v>
      </c>
      <c r="S433" s="35">
        <f>IFERROR(__xludf.DUMMYFUNCTION("""COMPUTED_VALUE"""),2148.0)</f>
        <v>2148</v>
      </c>
    </row>
    <row r="434">
      <c r="A434" s="35">
        <f>'4JSON'!A428</f>
        <v>7281</v>
      </c>
      <c r="B434" s="25" t="str">
        <f>'4JSON'!B428</f>
        <v>Bricklayers</v>
      </c>
      <c r="C434" s="41" t="str">
        <f>'4JSON'!C428</f>
        <v>Bricklayers</v>
      </c>
      <c r="D434" s="41">
        <f>ABS(D$5-(6-'4JSON'!D428))</f>
        <v>1</v>
      </c>
      <c r="E434" s="41">
        <f>ABS(E$5-(6-'4JSON'!E428))</f>
        <v>1</v>
      </c>
      <c r="F434" s="41">
        <f>ABS(F$5-(6-'4JSON'!F428))</f>
        <v>0</v>
      </c>
      <c r="G434" s="41">
        <f>ABS(G$5-(6-'4JSON'!G428))</f>
        <v>0</v>
      </c>
      <c r="H434" s="41">
        <f>ABS(H$5-(6-'4JSON'!H428))</f>
        <v>2</v>
      </c>
      <c r="I434" s="41">
        <f>ABS(I$5-(6-'4JSON'!I428))</f>
        <v>1</v>
      </c>
      <c r="J434" s="41">
        <f>ABS(J$5-(6-'4JSON'!J428))</f>
        <v>0</v>
      </c>
      <c r="K434" s="41">
        <f>ABS(K$5-(6-'4JSON'!K428))</f>
        <v>1</v>
      </c>
      <c r="L434" s="41">
        <f>ABS(L$5-(6-'4JSON'!L428))</f>
        <v>0</v>
      </c>
      <c r="M434" s="36">
        <f t="shared" si="1"/>
        <v>6</v>
      </c>
      <c r="N434" s="42">
        <f t="shared" si="2"/>
        <v>0.8333333333</v>
      </c>
      <c r="S434" s="35">
        <f>IFERROR(__xludf.DUMMYFUNCTION("""COMPUTED_VALUE"""),6531.0)</f>
        <v>6531</v>
      </c>
    </row>
    <row r="435">
      <c r="A435" s="35">
        <f>'4JSON'!A429</f>
        <v>6321</v>
      </c>
      <c r="B435" s="25" t="str">
        <f>'4JSON'!B429</f>
        <v>Chefs and Specialist Chefs</v>
      </c>
      <c r="C435" s="41" t="str">
        <f>'4JSON'!C429</f>
        <v>Chefs</v>
      </c>
      <c r="D435" s="41">
        <f>ABS(D$5-(6-'4JSON'!D429))</f>
        <v>1</v>
      </c>
      <c r="E435" s="41">
        <f>ABS(E$5-(6-'4JSON'!E429))</f>
        <v>0</v>
      </c>
      <c r="F435" s="41">
        <f>ABS(F$5-(6-'4JSON'!F429))</f>
        <v>0</v>
      </c>
      <c r="G435" s="41">
        <f>ABS(G$5-(6-'4JSON'!G429))</f>
        <v>1</v>
      </c>
      <c r="H435" s="41">
        <f>ABS(H$5-(6-'4JSON'!H429))</f>
        <v>1</v>
      </c>
      <c r="I435" s="41">
        <f>ABS(I$5-(6-'4JSON'!I429))</f>
        <v>1</v>
      </c>
      <c r="J435" s="41">
        <f>ABS(J$5-(6-'4JSON'!J429))</f>
        <v>0</v>
      </c>
      <c r="K435" s="41">
        <f>ABS(K$5-(6-'4JSON'!K429))</f>
        <v>0</v>
      </c>
      <c r="L435" s="41">
        <f>ABS(L$5-(6-'4JSON'!L429))</f>
        <v>0</v>
      </c>
      <c r="M435" s="36">
        <f t="shared" si="1"/>
        <v>4</v>
      </c>
      <c r="N435" s="42">
        <f t="shared" si="2"/>
        <v>0.8888888889</v>
      </c>
      <c r="S435" s="35">
        <f>IFERROR(__xludf.DUMMYFUNCTION("""COMPUTED_VALUE"""),1526.0)</f>
        <v>1526</v>
      </c>
    </row>
    <row r="436">
      <c r="A436" s="35">
        <f>'4JSON'!A430</f>
        <v>7533</v>
      </c>
      <c r="B436" s="25" t="str">
        <f>'4JSON'!B430</f>
        <v>Cable Ferry Operators</v>
      </c>
      <c r="C436" s="41" t="str">
        <f>'4JSON'!C430</f>
        <v>Boat and cable ferry operators and related occupations</v>
      </c>
      <c r="D436" s="41">
        <f>ABS(D$5-(6-'4JSON'!D430))</f>
        <v>1</v>
      </c>
      <c r="E436" s="41">
        <f>ABS(E$5-(6-'4JSON'!E430))</f>
        <v>1</v>
      </c>
      <c r="F436" s="41">
        <f>ABS(F$5-(6-'4JSON'!F430))</f>
        <v>1</v>
      </c>
      <c r="G436" s="41">
        <f>ABS(G$5-(6-'4JSON'!G430))</f>
        <v>0</v>
      </c>
      <c r="H436" s="41">
        <f>ABS(H$5-(6-'4JSON'!H430))</f>
        <v>1</v>
      </c>
      <c r="I436" s="41">
        <f>ABS(I$5-(6-'4JSON'!I430))</f>
        <v>2</v>
      </c>
      <c r="J436" s="41">
        <f>ABS(J$5-(6-'4JSON'!J430))</f>
        <v>1</v>
      </c>
      <c r="K436" s="41">
        <f>ABS(K$5-(6-'4JSON'!K430))</f>
        <v>1</v>
      </c>
      <c r="L436" s="41">
        <f>ABS(L$5-(6-'4JSON'!L430))</f>
        <v>0</v>
      </c>
      <c r="M436" s="36">
        <f t="shared" si="1"/>
        <v>8</v>
      </c>
      <c r="N436" s="42">
        <f t="shared" si="2"/>
        <v>0.7777777778</v>
      </c>
      <c r="S436" s="35">
        <f>IFERROR(__xludf.DUMMYFUNCTION("""COMPUTED_VALUE"""),1221.0)</f>
        <v>1221</v>
      </c>
    </row>
    <row r="437">
      <c r="A437" s="35">
        <f>'4JSON'!A431</f>
        <v>2211</v>
      </c>
      <c r="B437" s="25" t="str">
        <f>'4JSON'!B431</f>
        <v>Chemical Technologists</v>
      </c>
      <c r="C437" s="41" t="str">
        <f>'4JSON'!C431</f>
        <v>Chemical technologists and technicians</v>
      </c>
      <c r="D437" s="41">
        <f>ABS(D$5-(6-'4JSON'!D431))</f>
        <v>2</v>
      </c>
      <c r="E437" s="41">
        <f>ABS(E$5-(6-'4JSON'!E431))</f>
        <v>1</v>
      </c>
      <c r="F437" s="41">
        <f>ABS(F$5-(6-'4JSON'!F431))</f>
        <v>1</v>
      </c>
      <c r="G437" s="41">
        <f>ABS(G$5-(6-'4JSON'!G431))</f>
        <v>0</v>
      </c>
      <c r="H437" s="41">
        <f>ABS(H$5-(6-'4JSON'!H431))</f>
        <v>0</v>
      </c>
      <c r="I437" s="41">
        <f>ABS(I$5-(6-'4JSON'!I431))</f>
        <v>0</v>
      </c>
      <c r="J437" s="41">
        <f>ABS(J$5-(6-'4JSON'!J431))</f>
        <v>0</v>
      </c>
      <c r="K437" s="41">
        <f>ABS(K$5-(6-'4JSON'!K431))</f>
        <v>0</v>
      </c>
      <c r="L437" s="41">
        <f>ABS(L$5-(6-'4JSON'!L431))</f>
        <v>0</v>
      </c>
      <c r="M437" s="36">
        <f t="shared" si="1"/>
        <v>4</v>
      </c>
      <c r="N437" s="42">
        <f t="shared" si="2"/>
        <v>0.8888888889</v>
      </c>
      <c r="S437" s="35">
        <f>IFERROR(__xludf.DUMMYFUNCTION("""COMPUTED_VALUE"""),124.0)</f>
        <v>124</v>
      </c>
    </row>
    <row r="438">
      <c r="A438" s="35">
        <f>'4JSON'!A432</f>
        <v>3232</v>
      </c>
      <c r="B438" s="25" t="str">
        <f>'4JSON'!B432</f>
        <v>Chinese Medical Practitioners</v>
      </c>
      <c r="C438" s="41" t="str">
        <f>'4JSON'!C432</f>
        <v>Practitioners of natural healing</v>
      </c>
      <c r="D438" s="41">
        <f>ABS(D$5-(6-'4JSON'!D432))</f>
        <v>1</v>
      </c>
      <c r="E438" s="41">
        <f>ABS(E$5-(6-'4JSON'!E432))</f>
        <v>0</v>
      </c>
      <c r="F438" s="41">
        <f>ABS(F$5-(6-'4JSON'!F432))</f>
        <v>1</v>
      </c>
      <c r="G438" s="41">
        <f>ABS(G$5-(6-'4JSON'!G432))</f>
        <v>1</v>
      </c>
      <c r="H438" s="41">
        <f>ABS(H$5-(6-'4JSON'!H432))</f>
        <v>2</v>
      </c>
      <c r="I438" s="41">
        <f>ABS(I$5-(6-'4JSON'!I432))</f>
        <v>0</v>
      </c>
      <c r="J438" s="41">
        <f>ABS(J$5-(6-'4JSON'!J432))</f>
        <v>0</v>
      </c>
      <c r="K438" s="41">
        <f>ABS(K$5-(6-'4JSON'!K432))</f>
        <v>1</v>
      </c>
      <c r="L438" s="41">
        <f>ABS(L$5-(6-'4JSON'!L432))</f>
        <v>0</v>
      </c>
      <c r="M438" s="36">
        <f t="shared" si="1"/>
        <v>6</v>
      </c>
      <c r="N438" s="42">
        <f t="shared" si="2"/>
        <v>0.8333333333</v>
      </c>
      <c r="S438" s="35">
        <f>IFERROR(__xludf.DUMMYFUNCTION("""COMPUTED_VALUE"""),6523.0)</f>
        <v>6523</v>
      </c>
    </row>
    <row r="439">
      <c r="A439" s="35">
        <f>'4JSON'!A433</f>
        <v>5131</v>
      </c>
      <c r="B439" s="25" t="str">
        <f>'4JSON'!B433</f>
        <v>Choreographers</v>
      </c>
      <c r="C439" s="41" t="str">
        <f>'4JSON'!C433</f>
        <v>Producers, directors, choreographers and related occupations</v>
      </c>
      <c r="D439" s="41">
        <f>ABS(D$5-(6-'4JSON'!D433))</f>
        <v>2</v>
      </c>
      <c r="E439" s="41">
        <f>ABS(E$5-(6-'4JSON'!E433))</f>
        <v>1</v>
      </c>
      <c r="F439" s="41">
        <f>ABS(F$5-(6-'4JSON'!F433))</f>
        <v>0</v>
      </c>
      <c r="G439" s="41">
        <f>ABS(G$5-(6-'4JSON'!G433))</f>
        <v>1</v>
      </c>
      <c r="H439" s="41">
        <f>ABS(H$5-(6-'4JSON'!H433))</f>
        <v>1</v>
      </c>
      <c r="I439" s="41">
        <f>ABS(I$5-(6-'4JSON'!I433))</f>
        <v>1</v>
      </c>
      <c r="J439" s="41">
        <f>ABS(J$5-(6-'4JSON'!J433))</f>
        <v>0</v>
      </c>
      <c r="K439" s="41">
        <f>ABS(K$5-(6-'4JSON'!K433))</f>
        <v>1</v>
      </c>
      <c r="L439" s="41">
        <f>ABS(L$5-(6-'4JSON'!L433))</f>
        <v>1</v>
      </c>
      <c r="M439" s="36">
        <f t="shared" si="1"/>
        <v>8</v>
      </c>
      <c r="N439" s="42">
        <f t="shared" si="2"/>
        <v>0.7777777778</v>
      </c>
      <c r="S439" s="35">
        <f>IFERROR(__xludf.DUMMYFUNCTION("""COMPUTED_VALUE"""),5231.0)</f>
        <v>5231</v>
      </c>
    </row>
    <row r="440">
      <c r="A440" s="35">
        <f>'4JSON'!A434</f>
        <v>1452</v>
      </c>
      <c r="B440" s="25" t="str">
        <f>'4JSON'!B434</f>
        <v>Classified Advertising Clerks</v>
      </c>
      <c r="C440" s="41" t="str">
        <f>'4JSON'!C434</f>
        <v>Correspondence, publication and regulatory clerks</v>
      </c>
      <c r="D440" s="41">
        <f>ABS(D$5-(6-'4JSON'!D434))</f>
        <v>1</v>
      </c>
      <c r="E440" s="41">
        <f>ABS(E$5-(6-'4JSON'!E434))</f>
        <v>0</v>
      </c>
      <c r="F440" s="41">
        <f>ABS(F$5-(6-'4JSON'!F434))</f>
        <v>0</v>
      </c>
      <c r="G440" s="41">
        <f>ABS(G$5-(6-'4JSON'!G434))</f>
        <v>1</v>
      </c>
      <c r="H440" s="41">
        <f>ABS(H$5-(6-'4JSON'!H434))</f>
        <v>1</v>
      </c>
      <c r="I440" s="41">
        <f>ABS(I$5-(6-'4JSON'!I434))</f>
        <v>0</v>
      </c>
      <c r="J440" s="41">
        <f>ABS(J$5-(6-'4JSON'!J434))</f>
        <v>0</v>
      </c>
      <c r="K440" s="41">
        <f>ABS(K$5-(6-'4JSON'!K434))</f>
        <v>0</v>
      </c>
      <c r="L440" s="41">
        <f>ABS(L$5-(6-'4JSON'!L434))</f>
        <v>1</v>
      </c>
      <c r="M440" s="36">
        <f t="shared" si="1"/>
        <v>4</v>
      </c>
      <c r="N440" s="42">
        <f t="shared" si="2"/>
        <v>0.8888888889</v>
      </c>
      <c r="S440" s="35">
        <f>IFERROR(__xludf.DUMMYFUNCTION("""COMPUTED_VALUE"""),1113.0)</f>
        <v>1113</v>
      </c>
    </row>
    <row r="441">
      <c r="A441" s="35">
        <f>'4JSON'!A435</f>
        <v>3131</v>
      </c>
      <c r="B441" s="25" t="str">
        <f>'4JSON'!B435</f>
        <v>Community Pharmacists and Hospital Pharmacists</v>
      </c>
      <c r="C441" s="41" t="str">
        <f>'4JSON'!C435</f>
        <v>Pharmacists</v>
      </c>
      <c r="D441" s="41">
        <f>ABS(D$5-(6-'4JSON'!D435))</f>
        <v>2</v>
      </c>
      <c r="E441" s="41">
        <f>ABS(E$5-(6-'4JSON'!E435))</f>
        <v>1</v>
      </c>
      <c r="F441" s="41">
        <f>ABS(F$5-(6-'4JSON'!F435))</f>
        <v>1</v>
      </c>
      <c r="G441" s="41">
        <f>ABS(G$5-(6-'4JSON'!G435))</f>
        <v>0</v>
      </c>
      <c r="H441" s="41">
        <f>ABS(H$5-(6-'4JSON'!H435))</f>
        <v>0</v>
      </c>
      <c r="I441" s="41">
        <f>ABS(I$5-(6-'4JSON'!I435))</f>
        <v>0</v>
      </c>
      <c r="J441" s="41">
        <f>ABS(J$5-(6-'4JSON'!J435))</f>
        <v>0</v>
      </c>
      <c r="K441" s="41">
        <f>ABS(K$5-(6-'4JSON'!K435))</f>
        <v>0</v>
      </c>
      <c r="L441" s="41">
        <f>ABS(L$5-(6-'4JSON'!L435))</f>
        <v>0</v>
      </c>
      <c r="M441" s="36">
        <f t="shared" si="1"/>
        <v>4</v>
      </c>
      <c r="N441" s="42">
        <f t="shared" si="2"/>
        <v>0.8888888889</v>
      </c>
      <c r="S441" s="35">
        <f>IFERROR(__xludf.DUMMYFUNCTION("""COMPUTED_VALUE"""),4163.0)</f>
        <v>4163</v>
      </c>
    </row>
    <row r="442">
      <c r="A442" s="35">
        <f>'4JSON'!A436</f>
        <v>5132</v>
      </c>
      <c r="B442" s="25" t="str">
        <f>'4JSON'!B436</f>
        <v>Composers</v>
      </c>
      <c r="C442" s="41" t="str">
        <f>'4JSON'!C436</f>
        <v>Conductors, composers and arrangers</v>
      </c>
      <c r="D442" s="41">
        <f>ABS(D$5-(6-'4JSON'!D436))</f>
        <v>3</v>
      </c>
      <c r="E442" s="41">
        <f>ABS(E$5-(6-'4JSON'!E436))</f>
        <v>1</v>
      </c>
      <c r="F442" s="41">
        <f>ABS(F$5-(6-'4JSON'!F436))</f>
        <v>0</v>
      </c>
      <c r="G442" s="41">
        <f>ABS(G$5-(6-'4JSON'!G436))</f>
        <v>0</v>
      </c>
      <c r="H442" s="41">
        <f>ABS(H$5-(6-'4JSON'!H436))</f>
        <v>1</v>
      </c>
      <c r="I442" s="41">
        <f>ABS(I$5-(6-'4JSON'!I436))</f>
        <v>1</v>
      </c>
      <c r="J442" s="41">
        <f>ABS(J$5-(6-'4JSON'!J436))</f>
        <v>0</v>
      </c>
      <c r="K442" s="41">
        <f>ABS(K$5-(6-'4JSON'!K436))</f>
        <v>0</v>
      </c>
      <c r="L442" s="41">
        <f>ABS(L$5-(6-'4JSON'!L436))</f>
        <v>0</v>
      </c>
      <c r="M442" s="36">
        <f t="shared" si="1"/>
        <v>6</v>
      </c>
      <c r="N442" s="42">
        <f t="shared" si="2"/>
        <v>0.8333333333</v>
      </c>
      <c r="S442" s="35">
        <f>IFERROR(__xludf.DUMMYFUNCTION("""COMPUTED_VALUE"""),2134.0)</f>
        <v>2134</v>
      </c>
    </row>
    <row r="443">
      <c r="A443" s="35">
        <f>'4JSON'!A437</f>
        <v>2224</v>
      </c>
      <c r="B443" s="25" t="str">
        <f>'4JSON'!B437</f>
        <v>Conservation and Fishery Officers</v>
      </c>
      <c r="C443" s="41" t="str">
        <f>'4JSON'!C437</f>
        <v>Conservation and fishery officers</v>
      </c>
      <c r="D443" s="41">
        <f>ABS(D$5-(6-'4JSON'!D437))</f>
        <v>2</v>
      </c>
      <c r="E443" s="41">
        <f>ABS(E$5-(6-'4JSON'!E437))</f>
        <v>0</v>
      </c>
      <c r="F443" s="41">
        <f>ABS(F$5-(6-'4JSON'!F437))</f>
        <v>0</v>
      </c>
      <c r="G443" s="41">
        <f>ABS(G$5-(6-'4JSON'!G437))</f>
        <v>0</v>
      </c>
      <c r="H443" s="41">
        <f>ABS(H$5-(6-'4JSON'!H437))</f>
        <v>1</v>
      </c>
      <c r="I443" s="41">
        <f>ABS(I$5-(6-'4JSON'!I437))</f>
        <v>0</v>
      </c>
      <c r="J443" s="41">
        <f>ABS(J$5-(6-'4JSON'!J437))</f>
        <v>1</v>
      </c>
      <c r="K443" s="41">
        <f>ABS(K$5-(6-'4JSON'!K437))</f>
        <v>1</v>
      </c>
      <c r="L443" s="41">
        <f>ABS(L$5-(6-'4JSON'!L437))</f>
        <v>1</v>
      </c>
      <c r="M443" s="36">
        <f t="shared" si="1"/>
        <v>6</v>
      </c>
      <c r="N443" s="42">
        <f t="shared" si="2"/>
        <v>0.8333333333</v>
      </c>
      <c r="S443" s="35">
        <f>IFERROR(__xludf.DUMMYFUNCTION("""COMPUTED_VALUE"""),2112.0)</f>
        <v>2112</v>
      </c>
    </row>
    <row r="444">
      <c r="A444" s="35">
        <f>'4JSON'!A438</f>
        <v>1452</v>
      </c>
      <c r="B444" s="25" t="str">
        <f>'4JSON'!B438</f>
        <v>Correspondence Clerks</v>
      </c>
      <c r="C444" s="41" t="str">
        <f>'4JSON'!C438</f>
        <v>Correspondence, publication and regulatory clerks</v>
      </c>
      <c r="D444" s="41">
        <f>ABS(D$5-(6-'4JSON'!D438))</f>
        <v>1</v>
      </c>
      <c r="E444" s="41">
        <f>ABS(E$5-(6-'4JSON'!E438))</f>
        <v>0</v>
      </c>
      <c r="F444" s="41">
        <f>ABS(F$5-(6-'4JSON'!F438))</f>
        <v>1</v>
      </c>
      <c r="G444" s="41">
        <f>ABS(G$5-(6-'4JSON'!G438))</f>
        <v>1</v>
      </c>
      <c r="H444" s="41">
        <f>ABS(H$5-(6-'4JSON'!H438))</f>
        <v>2</v>
      </c>
      <c r="I444" s="41">
        <f>ABS(I$5-(6-'4JSON'!I438))</f>
        <v>0</v>
      </c>
      <c r="J444" s="41">
        <f>ABS(J$5-(6-'4JSON'!J438))</f>
        <v>0</v>
      </c>
      <c r="K444" s="41">
        <f>ABS(K$5-(6-'4JSON'!K438))</f>
        <v>0</v>
      </c>
      <c r="L444" s="41">
        <f>ABS(L$5-(6-'4JSON'!L438))</f>
        <v>1</v>
      </c>
      <c r="M444" s="36">
        <f t="shared" si="1"/>
        <v>6</v>
      </c>
      <c r="N444" s="42">
        <f t="shared" si="2"/>
        <v>0.8333333333</v>
      </c>
      <c r="S444" s="35">
        <f>IFERROR(__xludf.DUMMYFUNCTION("""COMPUTED_VALUE"""),431.0)</f>
        <v>431</v>
      </c>
    </row>
    <row r="445">
      <c r="A445" s="35">
        <f>'4JSON'!A439</f>
        <v>6562</v>
      </c>
      <c r="B445" s="25" t="str">
        <f>'4JSON'!B439</f>
        <v>Cosmeticians</v>
      </c>
      <c r="C445" s="41" t="str">
        <f>'4JSON'!C439</f>
        <v>Estheticians, electrologists and related occupations</v>
      </c>
      <c r="D445" s="41">
        <f>ABS(D$5-(6-'4JSON'!D439))</f>
        <v>1</v>
      </c>
      <c r="E445" s="41">
        <f>ABS(E$5-(6-'4JSON'!E439))</f>
        <v>0</v>
      </c>
      <c r="F445" s="41">
        <f>ABS(F$5-(6-'4JSON'!F439))</f>
        <v>1</v>
      </c>
      <c r="G445" s="41">
        <f>ABS(G$5-(6-'4JSON'!G439))</f>
        <v>1</v>
      </c>
      <c r="H445" s="41">
        <f>ABS(H$5-(6-'4JSON'!H439))</f>
        <v>1</v>
      </c>
      <c r="I445" s="41">
        <f>ABS(I$5-(6-'4JSON'!I439))</f>
        <v>1</v>
      </c>
      <c r="J445" s="41">
        <f>ABS(J$5-(6-'4JSON'!J439))</f>
        <v>0</v>
      </c>
      <c r="K445" s="41">
        <f>ABS(K$5-(6-'4JSON'!K439))</f>
        <v>1</v>
      </c>
      <c r="L445" s="41">
        <f>ABS(L$5-(6-'4JSON'!L439))</f>
        <v>0</v>
      </c>
      <c r="M445" s="36">
        <f t="shared" si="1"/>
        <v>6</v>
      </c>
      <c r="N445" s="42">
        <f t="shared" si="2"/>
        <v>0.8333333333</v>
      </c>
      <c r="S445" s="35">
        <f>IFERROR(__xludf.DUMMYFUNCTION("""COMPUTED_VALUE"""),2173.0)</f>
        <v>2173</v>
      </c>
    </row>
    <row r="446">
      <c r="A446" s="35">
        <f>'4JSON'!A440</f>
        <v>1251</v>
      </c>
      <c r="B446" s="25" t="str">
        <f>'4JSON'!B440</f>
        <v>Court Recorders</v>
      </c>
      <c r="C446" s="41" t="str">
        <f>'4JSON'!C440</f>
        <v>Court reporters, medical transcriptionists and related occupations</v>
      </c>
      <c r="D446" s="41">
        <f>ABS(D$5-(6-'4JSON'!D440))</f>
        <v>1</v>
      </c>
      <c r="E446" s="41">
        <f>ABS(E$5-(6-'4JSON'!E440))</f>
        <v>1</v>
      </c>
      <c r="F446" s="41">
        <f>ABS(F$5-(6-'4JSON'!F440))</f>
        <v>1</v>
      </c>
      <c r="G446" s="41">
        <f>ABS(G$5-(6-'4JSON'!G440))</f>
        <v>1</v>
      </c>
      <c r="H446" s="41">
        <f>ABS(H$5-(6-'4JSON'!H440))</f>
        <v>2</v>
      </c>
      <c r="I446" s="41">
        <f>ABS(I$5-(6-'4JSON'!I440))</f>
        <v>0</v>
      </c>
      <c r="J446" s="41">
        <f>ABS(J$5-(6-'4JSON'!J440))</f>
        <v>0</v>
      </c>
      <c r="K446" s="41">
        <f>ABS(K$5-(6-'4JSON'!K440))</f>
        <v>0</v>
      </c>
      <c r="L446" s="41">
        <f>ABS(L$5-(6-'4JSON'!L440))</f>
        <v>0</v>
      </c>
      <c r="M446" s="36">
        <f t="shared" si="1"/>
        <v>6</v>
      </c>
      <c r="N446" s="42">
        <f t="shared" si="2"/>
        <v>0.8333333333</v>
      </c>
      <c r="S446" s="35">
        <f>IFERROR(__xludf.DUMMYFUNCTION("""COMPUTED_VALUE"""),7611.0)</f>
        <v>7611</v>
      </c>
    </row>
    <row r="447">
      <c r="A447" s="35">
        <f>'4JSON'!A441</f>
        <v>7513</v>
      </c>
      <c r="B447" s="25" t="str">
        <f>'4JSON'!B441</f>
        <v>Chauffeurs</v>
      </c>
      <c r="C447" s="41" t="str">
        <f>'4JSON'!C441</f>
        <v>Taxi and limousine drivers and chauffeurs</v>
      </c>
      <c r="D447" s="41">
        <f>ABS(D$5-(6-'4JSON'!D441))</f>
        <v>0</v>
      </c>
      <c r="E447" s="41">
        <f>ABS(E$5-(6-'4JSON'!E441))</f>
        <v>1</v>
      </c>
      <c r="F447" s="41">
        <f>ABS(F$5-(6-'4JSON'!F441))</f>
        <v>1</v>
      </c>
      <c r="G447" s="41">
        <f>ABS(G$5-(6-'4JSON'!G441))</f>
        <v>0</v>
      </c>
      <c r="H447" s="41">
        <f>ABS(H$5-(6-'4JSON'!H441))</f>
        <v>2</v>
      </c>
      <c r="I447" s="41">
        <f>ABS(I$5-(6-'4JSON'!I441))</f>
        <v>1</v>
      </c>
      <c r="J447" s="41">
        <f>ABS(J$5-(6-'4JSON'!J441))</f>
        <v>0</v>
      </c>
      <c r="K447" s="41">
        <f>ABS(K$5-(6-'4JSON'!K441))</f>
        <v>1</v>
      </c>
      <c r="L447" s="41">
        <f>ABS(L$5-(6-'4JSON'!L441))</f>
        <v>0</v>
      </c>
      <c r="M447" s="36">
        <f t="shared" si="1"/>
        <v>6</v>
      </c>
      <c r="N447" s="42">
        <f t="shared" si="2"/>
        <v>0.8333333333</v>
      </c>
      <c r="S447" s="35">
        <f>IFERROR(__xludf.DUMMYFUNCTION("""COMPUTED_VALUE"""),4033.0)</f>
        <v>4033</v>
      </c>
    </row>
    <row r="448">
      <c r="A448" s="35">
        <f>'4JSON'!A442</f>
        <v>5212</v>
      </c>
      <c r="B448" s="25" t="str">
        <f>'4JSON'!B442</f>
        <v>Curatorial Assistants</v>
      </c>
      <c r="C448" s="41" t="str">
        <f>'4JSON'!C442</f>
        <v>Technical occupations related to museums and art galleries</v>
      </c>
      <c r="D448" s="41">
        <f>ABS(D$5-(6-'4JSON'!D442))</f>
        <v>1</v>
      </c>
      <c r="E448" s="41">
        <f>ABS(E$5-(6-'4JSON'!E442))</f>
        <v>0</v>
      </c>
      <c r="F448" s="41">
        <f>ABS(F$5-(6-'4JSON'!F442))</f>
        <v>0</v>
      </c>
      <c r="G448" s="41">
        <f>ABS(G$5-(6-'4JSON'!G442))</f>
        <v>1</v>
      </c>
      <c r="H448" s="41">
        <f>ABS(H$5-(6-'4JSON'!H442))</f>
        <v>2</v>
      </c>
      <c r="I448" s="41">
        <f>ABS(I$5-(6-'4JSON'!I442))</f>
        <v>0</v>
      </c>
      <c r="J448" s="41">
        <f>ABS(J$5-(6-'4JSON'!J442))</f>
        <v>0</v>
      </c>
      <c r="K448" s="41">
        <f>ABS(K$5-(6-'4JSON'!K442))</f>
        <v>0</v>
      </c>
      <c r="L448" s="41">
        <f>ABS(L$5-(6-'4JSON'!L442))</f>
        <v>0</v>
      </c>
      <c r="M448" s="36">
        <f t="shared" si="1"/>
        <v>4</v>
      </c>
      <c r="N448" s="42">
        <f t="shared" si="2"/>
        <v>0.8888888889</v>
      </c>
      <c r="S448" s="35">
        <f>IFERROR(__xludf.DUMMYFUNCTION("""COMPUTED_VALUE"""),4156.0)</f>
        <v>4156</v>
      </c>
    </row>
    <row r="449">
      <c r="A449" s="35">
        <f>'4JSON'!A443</f>
        <v>5112</v>
      </c>
      <c r="B449" s="25" t="str">
        <f>'4JSON'!B443</f>
        <v>Curators</v>
      </c>
      <c r="C449" s="41" t="str">
        <f>'4JSON'!C443</f>
        <v>Conservators and curators</v>
      </c>
      <c r="D449" s="41">
        <f>ABS(D$5-(6-'4JSON'!D443))</f>
        <v>2</v>
      </c>
      <c r="E449" s="41">
        <f>ABS(E$5-(6-'4JSON'!E443))</f>
        <v>1</v>
      </c>
      <c r="F449" s="41">
        <f>ABS(F$5-(6-'4JSON'!F443))</f>
        <v>0</v>
      </c>
      <c r="G449" s="41">
        <f>ABS(G$5-(6-'4JSON'!G443))</f>
        <v>0</v>
      </c>
      <c r="H449" s="41">
        <f>ABS(H$5-(6-'4JSON'!H443))</f>
        <v>0</v>
      </c>
      <c r="I449" s="41">
        <f>ABS(I$5-(6-'4JSON'!I443))</f>
        <v>1</v>
      </c>
      <c r="J449" s="41">
        <f>ABS(J$5-(6-'4JSON'!J443))</f>
        <v>0</v>
      </c>
      <c r="K449" s="41">
        <f>ABS(K$5-(6-'4JSON'!K443))</f>
        <v>0</v>
      </c>
      <c r="L449" s="41">
        <f>ABS(L$5-(6-'4JSON'!L443))</f>
        <v>0</v>
      </c>
      <c r="M449" s="36">
        <f t="shared" si="1"/>
        <v>4</v>
      </c>
      <c r="N449" s="42">
        <f t="shared" si="2"/>
        <v>0.8888888889</v>
      </c>
      <c r="S449" s="35">
        <f>IFERROR(__xludf.DUMMYFUNCTION("""COMPUTED_VALUE"""),4153.0)</f>
        <v>4153</v>
      </c>
    </row>
    <row r="450">
      <c r="A450" s="35">
        <f>'4JSON'!A444</f>
        <v>9472</v>
      </c>
      <c r="B450" s="25" t="str">
        <f>'4JSON'!B444</f>
        <v>Cylinder Preparers</v>
      </c>
      <c r="C450" s="41" t="str">
        <f>'4JSON'!C444</f>
        <v>Camera, platemaking and other prepress occupations</v>
      </c>
      <c r="D450" s="41">
        <f>ABS(D$5-(6-'4JSON'!D444))</f>
        <v>1</v>
      </c>
      <c r="E450" s="41">
        <f>ABS(E$5-(6-'4JSON'!E444))</f>
        <v>0</v>
      </c>
      <c r="F450" s="41">
        <f>ABS(F$5-(6-'4JSON'!F444))</f>
        <v>0</v>
      </c>
      <c r="G450" s="41">
        <f>ABS(G$5-(6-'4JSON'!G444))</f>
        <v>0</v>
      </c>
      <c r="H450" s="41">
        <f>ABS(H$5-(6-'4JSON'!H444))</f>
        <v>0</v>
      </c>
      <c r="I450" s="41">
        <f>ABS(I$5-(6-'4JSON'!I444))</f>
        <v>1</v>
      </c>
      <c r="J450" s="41">
        <f>ABS(J$5-(6-'4JSON'!J444))</f>
        <v>0</v>
      </c>
      <c r="K450" s="41">
        <f>ABS(K$5-(6-'4JSON'!K444))</f>
        <v>0</v>
      </c>
      <c r="L450" s="41">
        <f>ABS(L$5-(6-'4JSON'!L444))</f>
        <v>0</v>
      </c>
      <c r="M450" s="36">
        <f t="shared" si="1"/>
        <v>2</v>
      </c>
      <c r="N450" s="42">
        <f t="shared" si="2"/>
        <v>0.9444444444</v>
      </c>
      <c r="S450" s="35">
        <f>IFERROR(__xludf.DUMMYFUNCTION("""COMPUTED_VALUE"""),1114.0)</f>
        <v>1114</v>
      </c>
    </row>
    <row r="451">
      <c r="A451" s="35">
        <f>'4JSON'!A445</f>
        <v>2273</v>
      </c>
      <c r="B451" s="25" t="str">
        <f>'4JSON'!B445</f>
        <v>Deck Officers, Water Transport</v>
      </c>
      <c r="C451" s="41" t="str">
        <f>'4JSON'!C445</f>
        <v>Deck officers, water transport</v>
      </c>
      <c r="D451" s="41">
        <f>ABS(D$5-(6-'4JSON'!D445))</f>
        <v>1</v>
      </c>
      <c r="E451" s="41">
        <f>ABS(E$5-(6-'4JSON'!E445))</f>
        <v>1</v>
      </c>
      <c r="F451" s="41">
        <f>ABS(F$5-(6-'4JSON'!F445))</f>
        <v>0</v>
      </c>
      <c r="G451" s="41">
        <f>ABS(G$5-(6-'4JSON'!G445))</f>
        <v>1</v>
      </c>
      <c r="H451" s="41">
        <f>ABS(H$5-(6-'4JSON'!H445))</f>
        <v>0</v>
      </c>
      <c r="I451" s="41">
        <f>ABS(I$5-(6-'4JSON'!I445))</f>
        <v>0</v>
      </c>
      <c r="J451" s="41">
        <f>ABS(J$5-(6-'4JSON'!J445))</f>
        <v>0</v>
      </c>
      <c r="K451" s="41">
        <f>ABS(K$5-(6-'4JSON'!K445))</f>
        <v>1</v>
      </c>
      <c r="L451" s="41">
        <f>ABS(L$5-(6-'4JSON'!L445))</f>
        <v>0</v>
      </c>
      <c r="M451" s="36">
        <f t="shared" si="1"/>
        <v>4</v>
      </c>
      <c r="N451" s="42">
        <f t="shared" si="2"/>
        <v>0.8888888889</v>
      </c>
      <c r="S451" s="35">
        <f>IFERROR(__xludf.DUMMYFUNCTION("""COMPUTED_VALUE"""),121.0)</f>
        <v>121</v>
      </c>
    </row>
    <row r="452">
      <c r="A452" s="35">
        <f>'4JSON'!A446</f>
        <v>9421</v>
      </c>
      <c r="B452" s="25" t="str">
        <f>'4JSON'!B446</f>
        <v>Chemical Plant Machine Operators</v>
      </c>
      <c r="C452" s="41" t="str">
        <f>'4JSON'!C446</f>
        <v>Chemical plant machine operators</v>
      </c>
      <c r="D452" s="41">
        <f>ABS(D$5-(6-'4JSON'!D446))</f>
        <v>1</v>
      </c>
      <c r="E452" s="41">
        <f>ABS(E$5-(6-'4JSON'!E446))</f>
        <v>1</v>
      </c>
      <c r="F452" s="41">
        <f>ABS(F$5-(6-'4JSON'!F446))</f>
        <v>1</v>
      </c>
      <c r="G452" s="41">
        <f>ABS(G$5-(6-'4JSON'!G446))</f>
        <v>1</v>
      </c>
      <c r="H452" s="41">
        <f>ABS(H$5-(6-'4JSON'!H446))</f>
        <v>2</v>
      </c>
      <c r="I452" s="41">
        <f>ABS(I$5-(6-'4JSON'!I446))</f>
        <v>1</v>
      </c>
      <c r="J452" s="41">
        <f>ABS(J$5-(6-'4JSON'!J446))</f>
        <v>0</v>
      </c>
      <c r="K452" s="41">
        <f>ABS(K$5-(6-'4JSON'!K446))</f>
        <v>1</v>
      </c>
      <c r="L452" s="41">
        <f>ABS(L$5-(6-'4JSON'!L446))</f>
        <v>0</v>
      </c>
      <c r="M452" s="36">
        <f t="shared" si="1"/>
        <v>8</v>
      </c>
      <c r="N452" s="42">
        <f t="shared" si="2"/>
        <v>0.7777777778</v>
      </c>
      <c r="S452" s="35">
        <f>IFERROR(__xludf.DUMMYFUNCTION("""COMPUTED_VALUE"""),1313.0)</f>
        <v>1313</v>
      </c>
    </row>
    <row r="453">
      <c r="A453" s="35">
        <f>'4JSON'!A447</f>
        <v>3411</v>
      </c>
      <c r="B453" s="25" t="str">
        <f>'4JSON'!B447</f>
        <v>Dental Assistants</v>
      </c>
      <c r="C453" s="41" t="str">
        <f>'4JSON'!C447</f>
        <v>Dental assistants</v>
      </c>
      <c r="D453" s="41">
        <f>ABS(D$5-(6-'4JSON'!D447))</f>
        <v>1</v>
      </c>
      <c r="E453" s="41">
        <f>ABS(E$5-(6-'4JSON'!E447))</f>
        <v>0</v>
      </c>
      <c r="F453" s="41">
        <f>ABS(F$5-(6-'4JSON'!F447))</f>
        <v>0</v>
      </c>
      <c r="G453" s="41">
        <f>ABS(G$5-(6-'4JSON'!G447))</f>
        <v>1</v>
      </c>
      <c r="H453" s="41">
        <f>ABS(H$5-(6-'4JSON'!H447))</f>
        <v>1</v>
      </c>
      <c r="I453" s="41">
        <f>ABS(I$5-(6-'4JSON'!I447))</f>
        <v>1</v>
      </c>
      <c r="J453" s="41">
        <f>ABS(J$5-(6-'4JSON'!J447))</f>
        <v>0</v>
      </c>
      <c r="K453" s="41">
        <f>ABS(K$5-(6-'4JSON'!K447))</f>
        <v>0</v>
      </c>
      <c r="L453" s="41">
        <f>ABS(L$5-(6-'4JSON'!L447))</f>
        <v>0</v>
      </c>
      <c r="M453" s="36">
        <f t="shared" si="1"/>
        <v>4</v>
      </c>
      <c r="N453" s="42">
        <f t="shared" si="2"/>
        <v>0.8888888889</v>
      </c>
      <c r="S453" s="35">
        <f>IFERROR(__xludf.DUMMYFUNCTION("""COMPUTED_VALUE"""),5123.0)</f>
        <v>5123</v>
      </c>
    </row>
    <row r="454">
      <c r="A454" s="35">
        <f>'4JSON'!A448</f>
        <v>3113</v>
      </c>
      <c r="B454" s="25" t="str">
        <f>'4JSON'!B448</f>
        <v>Dentists</v>
      </c>
      <c r="C454" s="41" t="str">
        <f>'4JSON'!C448</f>
        <v>Dentists</v>
      </c>
      <c r="D454" s="41">
        <f>ABS(D$5-(6-'4JSON'!D448))</f>
        <v>3</v>
      </c>
      <c r="E454" s="41">
        <f>ABS(E$5-(6-'4JSON'!E448))</f>
        <v>2</v>
      </c>
      <c r="F454" s="41">
        <f>ABS(F$5-(6-'4JSON'!F448))</f>
        <v>1</v>
      </c>
      <c r="G454" s="41">
        <f>ABS(G$5-(6-'4JSON'!G448))</f>
        <v>2</v>
      </c>
      <c r="H454" s="41">
        <f>ABS(H$5-(6-'4JSON'!H448))</f>
        <v>0</v>
      </c>
      <c r="I454" s="41">
        <f>ABS(I$5-(6-'4JSON'!I448))</f>
        <v>0</v>
      </c>
      <c r="J454" s="41">
        <f>ABS(J$5-(6-'4JSON'!J448))</f>
        <v>2</v>
      </c>
      <c r="K454" s="41">
        <f>ABS(K$5-(6-'4JSON'!K448))</f>
        <v>2</v>
      </c>
      <c r="L454" s="41">
        <f>ABS(L$5-(6-'4JSON'!L448))</f>
        <v>2</v>
      </c>
      <c r="M454" s="36">
        <f t="shared" si="1"/>
        <v>14</v>
      </c>
      <c r="N454" s="42">
        <f t="shared" si="2"/>
        <v>0.6111111111</v>
      </c>
      <c r="S454" s="35">
        <f>IFERROR(__xludf.DUMMYFUNCTION("""COMPUTED_VALUE"""),9615.0)</f>
        <v>9615</v>
      </c>
    </row>
    <row r="455">
      <c r="A455" s="35">
        <f>'4JSON'!A449</f>
        <v>513</v>
      </c>
      <c r="B455" s="25" t="str">
        <f>'4JSON'!B449</f>
        <v>Directors</v>
      </c>
      <c r="C455" s="41" t="str">
        <f>'4JSON'!C449</f>
        <v>Recreation, sports and fitness program and service directors</v>
      </c>
      <c r="D455" s="41">
        <f>ABS(D$5-(6-'4JSON'!D449))</f>
        <v>2</v>
      </c>
      <c r="E455" s="41">
        <f>ABS(E$5-(6-'4JSON'!E449))</f>
        <v>1</v>
      </c>
      <c r="F455" s="41">
        <f>ABS(F$5-(6-'4JSON'!F449))</f>
        <v>0</v>
      </c>
      <c r="G455" s="41">
        <f>ABS(G$5-(6-'4JSON'!G449))</f>
        <v>1</v>
      </c>
      <c r="H455" s="41">
        <f>ABS(H$5-(6-'4JSON'!H449))</f>
        <v>1</v>
      </c>
      <c r="I455" s="41">
        <f>ABS(I$5-(6-'4JSON'!I449))</f>
        <v>0</v>
      </c>
      <c r="J455" s="41">
        <f>ABS(J$5-(6-'4JSON'!J449))</f>
        <v>1</v>
      </c>
      <c r="K455" s="41">
        <f>ABS(K$5-(6-'4JSON'!K449))</f>
        <v>1</v>
      </c>
      <c r="L455" s="41">
        <f>ABS(L$5-(6-'4JSON'!L449))</f>
        <v>1</v>
      </c>
      <c r="M455" s="36">
        <f t="shared" si="1"/>
        <v>8</v>
      </c>
      <c r="N455" s="42">
        <f t="shared" si="2"/>
        <v>0.7777777778</v>
      </c>
      <c r="S455" s="35">
        <f>IFERROR(__xludf.DUMMYFUNCTION("""COMPUTED_VALUE"""),9614.0)</f>
        <v>9614</v>
      </c>
    </row>
    <row r="456">
      <c r="A456" s="35">
        <f>'4JSON'!A450</f>
        <v>5131</v>
      </c>
      <c r="B456" s="25" t="str">
        <f>'4JSON'!B450</f>
        <v>Directors of Photography</v>
      </c>
      <c r="C456" s="41" t="str">
        <f>'4JSON'!C450</f>
        <v>Producers, directors, choreographers and related occupations</v>
      </c>
      <c r="D456" s="41">
        <f>ABS(D$5-(6-'4JSON'!D450))</f>
        <v>2</v>
      </c>
      <c r="E456" s="41">
        <f>ABS(E$5-(6-'4JSON'!E450))</f>
        <v>1</v>
      </c>
      <c r="F456" s="41">
        <f>ABS(F$5-(6-'4JSON'!F450))</f>
        <v>0</v>
      </c>
      <c r="G456" s="41">
        <f>ABS(G$5-(6-'4JSON'!G450))</f>
        <v>1</v>
      </c>
      <c r="H456" s="41">
        <f>ABS(H$5-(6-'4JSON'!H450))</f>
        <v>1</v>
      </c>
      <c r="I456" s="41">
        <f>ABS(I$5-(6-'4JSON'!I450))</f>
        <v>0</v>
      </c>
      <c r="J456" s="41">
        <f>ABS(J$5-(6-'4JSON'!J450))</f>
        <v>1</v>
      </c>
      <c r="K456" s="41">
        <f>ABS(K$5-(6-'4JSON'!K450))</f>
        <v>1</v>
      </c>
      <c r="L456" s="41">
        <f>ABS(L$5-(6-'4JSON'!L450))</f>
        <v>1</v>
      </c>
      <c r="M456" s="36">
        <f t="shared" si="1"/>
        <v>8</v>
      </c>
      <c r="N456" s="42">
        <f t="shared" si="2"/>
        <v>0.7777777778</v>
      </c>
      <c r="S456" s="35">
        <f>IFERROR(__xludf.DUMMYFUNCTION("""COMPUTED_VALUE"""),6731.0)</f>
        <v>6731</v>
      </c>
    </row>
    <row r="457">
      <c r="A457" s="35">
        <f>'4JSON'!A451</f>
        <v>4216</v>
      </c>
      <c r="B457" s="25" t="str">
        <f>'4JSON'!B451</f>
        <v>Driving Instructors</v>
      </c>
      <c r="C457" s="41" t="str">
        <f>'4JSON'!C451</f>
        <v>Other instructors</v>
      </c>
      <c r="D457" s="41">
        <f>ABS(D$5-(6-'4JSON'!D451))</f>
        <v>1</v>
      </c>
      <c r="E457" s="41">
        <f>ABS(E$5-(6-'4JSON'!E451))</f>
        <v>0</v>
      </c>
      <c r="F457" s="41">
        <f>ABS(F$5-(6-'4JSON'!F451))</f>
        <v>1</v>
      </c>
      <c r="G457" s="41">
        <f>ABS(G$5-(6-'4JSON'!G451))</f>
        <v>0</v>
      </c>
      <c r="H457" s="41">
        <f>ABS(H$5-(6-'4JSON'!H451))</f>
        <v>2</v>
      </c>
      <c r="I457" s="41">
        <f>ABS(I$5-(6-'4JSON'!I451))</f>
        <v>1</v>
      </c>
      <c r="J457" s="41">
        <f>ABS(J$5-(6-'4JSON'!J451))</f>
        <v>0</v>
      </c>
      <c r="K457" s="41">
        <f>ABS(K$5-(6-'4JSON'!K451))</f>
        <v>1</v>
      </c>
      <c r="L457" s="41">
        <f>ABS(L$5-(6-'4JSON'!L451))</f>
        <v>0</v>
      </c>
      <c r="M457" s="36">
        <f t="shared" si="1"/>
        <v>6</v>
      </c>
      <c r="N457" s="42">
        <f t="shared" si="2"/>
        <v>0.8333333333</v>
      </c>
      <c r="S457" s="35">
        <f>IFERROR(__xludf.DUMMYFUNCTION("""COMPUTED_VALUE"""),6235.0)</f>
        <v>6235</v>
      </c>
    </row>
    <row r="458">
      <c r="A458" s="35">
        <f>'4JSON'!A452</f>
        <v>7371</v>
      </c>
      <c r="B458" s="25" t="str">
        <f>'4JSON'!B452</f>
        <v>Crane Operators</v>
      </c>
      <c r="C458" s="41" t="str">
        <f>'4JSON'!C452</f>
        <v>Crane operators</v>
      </c>
      <c r="D458" s="41">
        <f>ABS(D$5-(6-'4JSON'!D452))</f>
        <v>1</v>
      </c>
      <c r="E458" s="41">
        <f>ABS(E$5-(6-'4JSON'!E452))</f>
        <v>1</v>
      </c>
      <c r="F458" s="41">
        <f>ABS(F$5-(6-'4JSON'!F452))</f>
        <v>2</v>
      </c>
      <c r="G458" s="41">
        <f>ABS(G$5-(6-'4JSON'!G452))</f>
        <v>0</v>
      </c>
      <c r="H458" s="41">
        <f>ABS(H$5-(6-'4JSON'!H452))</f>
        <v>2</v>
      </c>
      <c r="I458" s="41">
        <f>ABS(I$5-(6-'4JSON'!I452))</f>
        <v>1</v>
      </c>
      <c r="J458" s="41">
        <f>ABS(J$5-(6-'4JSON'!J452))</f>
        <v>0</v>
      </c>
      <c r="K458" s="41">
        <f>ABS(K$5-(6-'4JSON'!K452))</f>
        <v>1</v>
      </c>
      <c r="L458" s="41">
        <f>ABS(L$5-(6-'4JSON'!L452))</f>
        <v>0</v>
      </c>
      <c r="M458" s="36">
        <f t="shared" si="1"/>
        <v>8</v>
      </c>
      <c r="N458" s="42">
        <f t="shared" si="2"/>
        <v>0.7777777778</v>
      </c>
      <c r="S458" s="35">
        <f>IFERROR(__xludf.DUMMYFUNCTION("""COMPUTED_VALUE"""),8616.0)</f>
        <v>8616</v>
      </c>
    </row>
    <row r="459">
      <c r="A459" s="35">
        <f>'4JSON'!A453</f>
        <v>9523</v>
      </c>
      <c r="B459" s="25" t="str">
        <f>'4JSON'!B453</f>
        <v>Electronics Inspectors</v>
      </c>
      <c r="C459" s="41" t="str">
        <f>'4JSON'!C453</f>
        <v>Electronics assemblers, fabricators, inspectors and testers</v>
      </c>
      <c r="D459" s="41">
        <f>ABS(D$5-(6-'4JSON'!D453))</f>
        <v>1</v>
      </c>
      <c r="E459" s="41">
        <f>ABS(E$5-(6-'4JSON'!E453))</f>
        <v>0</v>
      </c>
      <c r="F459" s="41">
        <f>ABS(F$5-(6-'4JSON'!F453))</f>
        <v>0</v>
      </c>
      <c r="G459" s="41">
        <f>ABS(G$5-(6-'4JSON'!G453))</f>
        <v>1</v>
      </c>
      <c r="H459" s="41">
        <f>ABS(H$5-(6-'4JSON'!H453))</f>
        <v>1</v>
      </c>
      <c r="I459" s="41">
        <f>ABS(I$5-(6-'4JSON'!I453))</f>
        <v>1</v>
      </c>
      <c r="J459" s="41">
        <f>ABS(J$5-(6-'4JSON'!J453))</f>
        <v>0</v>
      </c>
      <c r="K459" s="41">
        <f>ABS(K$5-(6-'4JSON'!K453))</f>
        <v>0</v>
      </c>
      <c r="L459" s="41">
        <f>ABS(L$5-(6-'4JSON'!L453))</f>
        <v>0</v>
      </c>
      <c r="M459" s="36">
        <f t="shared" si="1"/>
        <v>4</v>
      </c>
      <c r="N459" s="42">
        <f t="shared" si="2"/>
        <v>0.8888888889</v>
      </c>
      <c r="S459" s="35">
        <f>IFERROR(__xludf.DUMMYFUNCTION("""COMPUTED_VALUE"""),1122.0)</f>
        <v>1122</v>
      </c>
    </row>
    <row r="460">
      <c r="A460" s="35">
        <f>'4JSON'!A454</f>
        <v>7514</v>
      </c>
      <c r="B460" s="25" t="str">
        <f>'4JSON'!B454</f>
        <v>Delivery and Courier Service Drivers</v>
      </c>
      <c r="C460" s="41" t="str">
        <f>'4JSON'!C454</f>
        <v>Delivery and courier service drivers</v>
      </c>
      <c r="D460" s="41">
        <f>ABS(D$5-(6-'4JSON'!D454))</f>
        <v>0</v>
      </c>
      <c r="E460" s="41">
        <f>ABS(E$5-(6-'4JSON'!E454))</f>
        <v>1</v>
      </c>
      <c r="F460" s="41">
        <f>ABS(F$5-(6-'4JSON'!F454))</f>
        <v>1</v>
      </c>
      <c r="G460" s="41">
        <f>ABS(G$5-(6-'4JSON'!G454))</f>
        <v>0</v>
      </c>
      <c r="H460" s="41">
        <f>ABS(H$5-(6-'4JSON'!H454))</f>
        <v>2</v>
      </c>
      <c r="I460" s="41">
        <f>ABS(I$5-(6-'4JSON'!I454))</f>
        <v>1</v>
      </c>
      <c r="J460" s="41">
        <f>ABS(J$5-(6-'4JSON'!J454))</f>
        <v>0</v>
      </c>
      <c r="K460" s="41">
        <f>ABS(K$5-(6-'4JSON'!K454))</f>
        <v>1</v>
      </c>
      <c r="L460" s="41">
        <f>ABS(L$5-(6-'4JSON'!L454))</f>
        <v>0</v>
      </c>
      <c r="M460" s="36">
        <f t="shared" si="1"/>
        <v>6</v>
      </c>
      <c r="N460" s="42">
        <f t="shared" si="2"/>
        <v>0.8333333333</v>
      </c>
      <c r="S460" s="35">
        <f>IFERROR(__xludf.DUMMYFUNCTION("""COMPUTED_VALUE"""),512.0)</f>
        <v>512</v>
      </c>
    </row>
    <row r="461">
      <c r="A461" s="35">
        <f>'4JSON'!A455</f>
        <v>5131</v>
      </c>
      <c r="B461" s="25" t="str">
        <f>'4JSON'!B455</f>
        <v>Film Editors</v>
      </c>
      <c r="C461" s="41" t="str">
        <f>'4JSON'!C455</f>
        <v>Producers, directors, choreographers and related occupations</v>
      </c>
      <c r="D461" s="41">
        <f>ABS(D$5-(6-'4JSON'!D455))</f>
        <v>2</v>
      </c>
      <c r="E461" s="41">
        <f>ABS(E$5-(6-'4JSON'!E455))</f>
        <v>1</v>
      </c>
      <c r="F461" s="41">
        <f>ABS(F$5-(6-'4JSON'!F455))</f>
        <v>0</v>
      </c>
      <c r="G461" s="41">
        <f>ABS(G$5-(6-'4JSON'!G455))</f>
        <v>1</v>
      </c>
      <c r="H461" s="41">
        <f>ABS(H$5-(6-'4JSON'!H455))</f>
        <v>1</v>
      </c>
      <c r="I461" s="41">
        <f>ABS(I$5-(6-'4JSON'!I455))</f>
        <v>0</v>
      </c>
      <c r="J461" s="41">
        <f>ABS(J$5-(6-'4JSON'!J455))</f>
        <v>1</v>
      </c>
      <c r="K461" s="41">
        <f>ABS(K$5-(6-'4JSON'!K455))</f>
        <v>1</v>
      </c>
      <c r="L461" s="41">
        <f>ABS(L$5-(6-'4JSON'!L455))</f>
        <v>1</v>
      </c>
      <c r="M461" s="36">
        <f t="shared" si="1"/>
        <v>8</v>
      </c>
      <c r="N461" s="42">
        <f t="shared" si="2"/>
        <v>0.7777777778</v>
      </c>
      <c r="S461" s="35">
        <f>IFERROR(__xludf.DUMMYFUNCTION("""COMPUTED_VALUE"""),2132.0)</f>
        <v>2132</v>
      </c>
    </row>
    <row r="462">
      <c r="A462" s="35">
        <f>'4JSON'!A456</f>
        <v>5227</v>
      </c>
      <c r="B462" s="25" t="str">
        <f>'4JSON'!B456</f>
        <v>Film, Radio and Television Producers</v>
      </c>
      <c r="C462" s="41" t="str">
        <f>'4JSON'!C456</f>
        <v>Support occupations in motion pictures, broadcasting, photography and the performing arts</v>
      </c>
      <c r="D462" s="41">
        <f>ABS(D$5-(6-'4JSON'!D456))</f>
        <v>2</v>
      </c>
      <c r="E462" s="41">
        <f>ABS(E$5-(6-'4JSON'!E456))</f>
        <v>1</v>
      </c>
      <c r="F462" s="41">
        <f>ABS(F$5-(6-'4JSON'!F456))</f>
        <v>0</v>
      </c>
      <c r="G462" s="41">
        <f>ABS(G$5-(6-'4JSON'!G456))</f>
        <v>1</v>
      </c>
      <c r="H462" s="41">
        <f>ABS(H$5-(6-'4JSON'!H456))</f>
        <v>1</v>
      </c>
      <c r="I462" s="41">
        <f>ABS(I$5-(6-'4JSON'!I456))</f>
        <v>0</v>
      </c>
      <c r="J462" s="41">
        <f>ABS(J$5-(6-'4JSON'!J456))</f>
        <v>1</v>
      </c>
      <c r="K462" s="41">
        <f>ABS(K$5-(6-'4JSON'!K456))</f>
        <v>1</v>
      </c>
      <c r="L462" s="41">
        <f>ABS(L$5-(6-'4JSON'!L456))</f>
        <v>1</v>
      </c>
      <c r="M462" s="36">
        <f t="shared" si="1"/>
        <v>8</v>
      </c>
      <c r="N462" s="42">
        <f t="shared" si="2"/>
        <v>0.7777777778</v>
      </c>
      <c r="S462" s="35">
        <f>IFERROR(__xludf.DUMMYFUNCTION("""COMPUTED_VALUE"""),8614.0)</f>
        <v>8614</v>
      </c>
    </row>
    <row r="463">
      <c r="A463" s="35">
        <f>'4JSON'!A457</f>
        <v>4312</v>
      </c>
      <c r="B463" s="25" t="str">
        <f>'4JSON'!B457</f>
        <v>Firefighters</v>
      </c>
      <c r="C463" s="41" t="str">
        <f>'4JSON'!C457</f>
        <v>Firefighters</v>
      </c>
      <c r="D463" s="41">
        <f>ABS(D$5-(6-'4JSON'!D457))</f>
        <v>1</v>
      </c>
      <c r="E463" s="41">
        <f>ABS(E$5-(6-'4JSON'!E457))</f>
        <v>0</v>
      </c>
      <c r="F463" s="41">
        <f>ABS(F$5-(6-'4JSON'!F457))</f>
        <v>1</v>
      </c>
      <c r="G463" s="41">
        <f>ABS(G$5-(6-'4JSON'!G457))</f>
        <v>0</v>
      </c>
      <c r="H463" s="41">
        <f>ABS(H$5-(6-'4JSON'!H457))</f>
        <v>1</v>
      </c>
      <c r="I463" s="41">
        <f>ABS(I$5-(6-'4JSON'!I457))</f>
        <v>2</v>
      </c>
      <c r="J463" s="41">
        <f>ABS(J$5-(6-'4JSON'!J457))</f>
        <v>0</v>
      </c>
      <c r="K463" s="41">
        <f>ABS(K$5-(6-'4JSON'!K457))</f>
        <v>1</v>
      </c>
      <c r="L463" s="41">
        <f>ABS(L$5-(6-'4JSON'!L457))</f>
        <v>0</v>
      </c>
      <c r="M463" s="36">
        <f t="shared" si="1"/>
        <v>6</v>
      </c>
      <c r="N463" s="42">
        <f t="shared" si="2"/>
        <v>0.8333333333</v>
      </c>
      <c r="S463" s="35">
        <f>IFERROR(__xludf.DUMMYFUNCTION("""COMPUTED_VALUE"""),4154.0)</f>
        <v>4154</v>
      </c>
    </row>
    <row r="464">
      <c r="A464" s="35">
        <f>'4JSON'!A458</f>
        <v>1414</v>
      </c>
      <c r="B464" s="25" t="str">
        <f>'4JSON'!B458</f>
        <v>Front Desk Clerks (Except Hotel)</v>
      </c>
      <c r="C464" s="41" t="str">
        <f>'4JSON'!C458</f>
        <v>Receptionists</v>
      </c>
      <c r="D464" s="41">
        <f>ABS(D$5-(6-'4JSON'!D458))</f>
        <v>1</v>
      </c>
      <c r="E464" s="41">
        <f>ABS(E$5-(6-'4JSON'!E458))</f>
        <v>0</v>
      </c>
      <c r="F464" s="41">
        <f>ABS(F$5-(6-'4JSON'!F458))</f>
        <v>1</v>
      </c>
      <c r="G464" s="41">
        <f>ABS(G$5-(6-'4JSON'!G458))</f>
        <v>1</v>
      </c>
      <c r="H464" s="41">
        <f>ABS(H$5-(6-'4JSON'!H458))</f>
        <v>2</v>
      </c>
      <c r="I464" s="41">
        <f>ABS(I$5-(6-'4JSON'!I458))</f>
        <v>0</v>
      </c>
      <c r="J464" s="41">
        <f>ABS(J$5-(6-'4JSON'!J458))</f>
        <v>0</v>
      </c>
      <c r="K464" s="41">
        <f>ABS(K$5-(6-'4JSON'!K458))</f>
        <v>0</v>
      </c>
      <c r="L464" s="41">
        <f>ABS(L$5-(6-'4JSON'!L458))</f>
        <v>1</v>
      </c>
      <c r="M464" s="36">
        <f t="shared" si="1"/>
        <v>6</v>
      </c>
      <c r="N464" s="42">
        <f t="shared" si="2"/>
        <v>0.8333333333</v>
      </c>
      <c r="S464" s="35">
        <f>IFERROR(__xludf.DUMMYFUNCTION("""COMPUTED_VALUE"""),114.0)</f>
        <v>114</v>
      </c>
    </row>
    <row r="465">
      <c r="A465" s="35">
        <f>'4JSON'!A459</f>
        <v>7284</v>
      </c>
      <c r="B465" s="25" t="str">
        <f>'4JSON'!B459</f>
        <v>Drywall Installers and Finishers</v>
      </c>
      <c r="C465" s="41" t="str">
        <f>'4JSON'!C459</f>
        <v>Plasterers, drywall installers and finishers and lathers</v>
      </c>
      <c r="D465" s="41">
        <f>ABS(D$5-(6-'4JSON'!D459))</f>
        <v>1</v>
      </c>
      <c r="E465" s="41">
        <f>ABS(E$5-(6-'4JSON'!E459))</f>
        <v>1</v>
      </c>
      <c r="F465" s="41">
        <f>ABS(F$5-(6-'4JSON'!F459))</f>
        <v>1</v>
      </c>
      <c r="G465" s="41">
        <f>ABS(G$5-(6-'4JSON'!G459))</f>
        <v>0</v>
      </c>
      <c r="H465" s="41">
        <f>ABS(H$5-(6-'4JSON'!H459))</f>
        <v>2</v>
      </c>
      <c r="I465" s="41">
        <f>ABS(I$5-(6-'4JSON'!I459))</f>
        <v>2</v>
      </c>
      <c r="J465" s="41">
        <f>ABS(J$5-(6-'4JSON'!J459))</f>
        <v>0</v>
      </c>
      <c r="K465" s="41">
        <f>ABS(K$5-(6-'4JSON'!K459))</f>
        <v>1</v>
      </c>
      <c r="L465" s="41">
        <f>ABS(L$5-(6-'4JSON'!L459))</f>
        <v>0</v>
      </c>
      <c r="M465" s="36">
        <f t="shared" si="1"/>
        <v>8</v>
      </c>
      <c r="N465" s="42">
        <f t="shared" si="2"/>
        <v>0.7777777778</v>
      </c>
      <c r="S465" s="35">
        <f>IFERROR(__xludf.DUMMYFUNCTION("""COMPUTED_VALUE"""),125.0)</f>
        <v>125</v>
      </c>
    </row>
    <row r="466">
      <c r="A466" s="35">
        <f>'4JSON'!A460</f>
        <v>9445</v>
      </c>
      <c r="B466" s="25" t="str">
        <f>'4JSON'!B460</f>
        <v>Fabric Cutters</v>
      </c>
      <c r="C466" s="41" t="str">
        <f>'4JSON'!C460</f>
        <v>Fabric, fur and leather cutters</v>
      </c>
      <c r="D466" s="41">
        <f>ABS(D$5-(6-'4JSON'!D460))</f>
        <v>1</v>
      </c>
      <c r="E466" s="41">
        <f>ABS(E$5-(6-'4JSON'!E460))</f>
        <v>1</v>
      </c>
      <c r="F466" s="41">
        <f>ABS(F$5-(6-'4JSON'!F460))</f>
        <v>1</v>
      </c>
      <c r="G466" s="41">
        <f>ABS(G$5-(6-'4JSON'!G460))</f>
        <v>1</v>
      </c>
      <c r="H466" s="41">
        <f>ABS(H$5-(6-'4JSON'!H460))</f>
        <v>2</v>
      </c>
      <c r="I466" s="41">
        <f>ABS(I$5-(6-'4JSON'!I460))</f>
        <v>1</v>
      </c>
      <c r="J466" s="41">
        <f>ABS(J$5-(6-'4JSON'!J460))</f>
        <v>0</v>
      </c>
      <c r="K466" s="41">
        <f>ABS(K$5-(6-'4JSON'!K460))</f>
        <v>1</v>
      </c>
      <c r="L466" s="41">
        <f>ABS(L$5-(6-'4JSON'!L460))</f>
        <v>0</v>
      </c>
      <c r="M466" s="36">
        <f t="shared" si="1"/>
        <v>8</v>
      </c>
      <c r="N466" s="42">
        <f t="shared" si="2"/>
        <v>0.7777777778</v>
      </c>
      <c r="S466" s="35">
        <f>IFERROR(__xludf.DUMMYFUNCTION("""COMPUTED_VALUE"""),414.0)</f>
        <v>414</v>
      </c>
    </row>
    <row r="467">
      <c r="A467" s="35">
        <f>'4JSON'!A461</f>
        <v>1411</v>
      </c>
      <c r="B467" s="25" t="str">
        <f>'4JSON'!B461</f>
        <v>General Office Clerks</v>
      </c>
      <c r="C467" s="41" t="str">
        <f>'4JSON'!C461</f>
        <v>General office support workers</v>
      </c>
      <c r="D467" s="41">
        <f>ABS(D$5-(6-'4JSON'!D461))</f>
        <v>1</v>
      </c>
      <c r="E467" s="41">
        <f>ABS(E$5-(6-'4JSON'!E461))</f>
        <v>0</v>
      </c>
      <c r="F467" s="41">
        <f>ABS(F$5-(6-'4JSON'!F461))</f>
        <v>1</v>
      </c>
      <c r="G467" s="41">
        <f>ABS(G$5-(6-'4JSON'!G461))</f>
        <v>1</v>
      </c>
      <c r="H467" s="41">
        <f>ABS(H$5-(6-'4JSON'!H461))</f>
        <v>2</v>
      </c>
      <c r="I467" s="41">
        <f>ABS(I$5-(6-'4JSON'!I461))</f>
        <v>0</v>
      </c>
      <c r="J467" s="41">
        <f>ABS(J$5-(6-'4JSON'!J461))</f>
        <v>0</v>
      </c>
      <c r="K467" s="41">
        <f>ABS(K$5-(6-'4JSON'!K461))</f>
        <v>0</v>
      </c>
      <c r="L467" s="41">
        <f>ABS(L$5-(6-'4JSON'!L461))</f>
        <v>1</v>
      </c>
      <c r="M467" s="36">
        <f t="shared" si="1"/>
        <v>6</v>
      </c>
      <c r="N467" s="42">
        <f t="shared" si="2"/>
        <v>0.8333333333</v>
      </c>
      <c r="S467" s="35">
        <f>IFERROR(__xludf.DUMMYFUNCTION("""COMPUTED_VALUE"""),4217.0)</f>
        <v>4217</v>
      </c>
    </row>
    <row r="468">
      <c r="A468" s="35">
        <f>'4JSON'!A462</f>
        <v>9445</v>
      </c>
      <c r="B468" s="25" t="str">
        <f>'4JSON'!B462</f>
        <v>Fur Cutters</v>
      </c>
      <c r="C468" s="41" t="str">
        <f>'4JSON'!C462</f>
        <v>Fabric, fur and leather cutters</v>
      </c>
      <c r="D468" s="41">
        <f>ABS(D$5-(6-'4JSON'!D462))</f>
        <v>1</v>
      </c>
      <c r="E468" s="41">
        <f>ABS(E$5-(6-'4JSON'!E462))</f>
        <v>1</v>
      </c>
      <c r="F468" s="41">
        <f>ABS(F$5-(6-'4JSON'!F462))</f>
        <v>1</v>
      </c>
      <c r="G468" s="41">
        <f>ABS(G$5-(6-'4JSON'!G462))</f>
        <v>1</v>
      </c>
      <c r="H468" s="41">
        <f>ABS(H$5-(6-'4JSON'!H462))</f>
        <v>2</v>
      </c>
      <c r="I468" s="41">
        <f>ABS(I$5-(6-'4JSON'!I462))</f>
        <v>1</v>
      </c>
      <c r="J468" s="41">
        <f>ABS(J$5-(6-'4JSON'!J462))</f>
        <v>0</v>
      </c>
      <c r="K468" s="41">
        <f>ABS(K$5-(6-'4JSON'!K462))</f>
        <v>1</v>
      </c>
      <c r="L468" s="41">
        <f>ABS(L$5-(6-'4JSON'!L462))</f>
        <v>0</v>
      </c>
      <c r="M468" s="36">
        <f t="shared" si="1"/>
        <v>8</v>
      </c>
      <c r="N468" s="42">
        <f t="shared" si="2"/>
        <v>0.7777777778</v>
      </c>
      <c r="S468" s="35">
        <f>IFERROR(__xludf.DUMMYFUNCTION("""COMPUTED_VALUE"""),113.0)</f>
        <v>113</v>
      </c>
    </row>
    <row r="469">
      <c r="A469" s="35">
        <f>'4JSON'!A463</f>
        <v>9532</v>
      </c>
      <c r="B469" s="25" t="str">
        <f>'4JSON'!B463</f>
        <v>Furniture and Fixture Inspectors</v>
      </c>
      <c r="C469" s="41" t="str">
        <f>'4JSON'!C463</f>
        <v>Furniture and fixture assemblers and inspectors</v>
      </c>
      <c r="D469" s="41">
        <f>ABS(D$5-(6-'4JSON'!D463))</f>
        <v>0</v>
      </c>
      <c r="E469" s="41">
        <f>ABS(E$5-(6-'4JSON'!E463))</f>
        <v>1</v>
      </c>
      <c r="F469" s="41">
        <f>ABS(F$5-(6-'4JSON'!F463))</f>
        <v>1</v>
      </c>
      <c r="G469" s="41">
        <f>ABS(G$5-(6-'4JSON'!G463))</f>
        <v>0</v>
      </c>
      <c r="H469" s="41">
        <f>ABS(H$5-(6-'4JSON'!H463))</f>
        <v>2</v>
      </c>
      <c r="I469" s="41">
        <f>ABS(I$5-(6-'4JSON'!I463))</f>
        <v>1</v>
      </c>
      <c r="J469" s="41">
        <f>ABS(J$5-(6-'4JSON'!J463))</f>
        <v>0</v>
      </c>
      <c r="K469" s="41">
        <f>ABS(K$5-(6-'4JSON'!K463))</f>
        <v>1</v>
      </c>
      <c r="L469" s="41">
        <f>ABS(L$5-(6-'4JSON'!L463))</f>
        <v>0</v>
      </c>
      <c r="M469" s="36">
        <f t="shared" si="1"/>
        <v>6</v>
      </c>
      <c r="N469" s="42">
        <f t="shared" si="2"/>
        <v>0.8333333333</v>
      </c>
      <c r="S469" s="35">
        <f>IFERROR(__xludf.DUMMYFUNCTION("""COMPUTED_VALUE"""),601.0)</f>
        <v>601</v>
      </c>
    </row>
    <row r="470">
      <c r="A470" s="35">
        <f>'4JSON'!A464</f>
        <v>9413</v>
      </c>
      <c r="B470" s="25" t="str">
        <f>'4JSON'!B464</f>
        <v>Glass Cutters</v>
      </c>
      <c r="C470" s="41" t="str">
        <f>'4JSON'!C464</f>
        <v>Glass forming and finishing machine operators and glass cutters</v>
      </c>
      <c r="D470" s="41">
        <f>ABS(D$5-(6-'4JSON'!D464))</f>
        <v>1</v>
      </c>
      <c r="E470" s="41">
        <f>ABS(E$5-(6-'4JSON'!E464))</f>
        <v>1</v>
      </c>
      <c r="F470" s="41">
        <f>ABS(F$5-(6-'4JSON'!F464))</f>
        <v>1</v>
      </c>
      <c r="G470" s="41">
        <f>ABS(G$5-(6-'4JSON'!G464))</f>
        <v>1</v>
      </c>
      <c r="H470" s="41">
        <f>ABS(H$5-(6-'4JSON'!H464))</f>
        <v>2</v>
      </c>
      <c r="I470" s="41">
        <f>ABS(I$5-(6-'4JSON'!I464))</f>
        <v>1</v>
      </c>
      <c r="J470" s="41">
        <f>ABS(J$5-(6-'4JSON'!J464))</f>
        <v>0</v>
      </c>
      <c r="K470" s="41">
        <f>ABS(K$5-(6-'4JSON'!K464))</f>
        <v>1</v>
      </c>
      <c r="L470" s="41">
        <f>ABS(L$5-(6-'4JSON'!L464))</f>
        <v>0</v>
      </c>
      <c r="M470" s="36">
        <f t="shared" si="1"/>
        <v>8</v>
      </c>
      <c r="N470" s="42">
        <f t="shared" si="2"/>
        <v>0.7777777778</v>
      </c>
      <c r="S470" s="35">
        <f>IFERROR(__xludf.DUMMYFUNCTION("""COMPUTED_VALUE"""),1213.0)</f>
        <v>1213</v>
      </c>
    </row>
    <row r="471">
      <c r="A471" s="35">
        <f>'4JSON'!A465</f>
        <v>6562</v>
      </c>
      <c r="B471" s="25" t="str">
        <f>'4JSON'!B465</f>
        <v>Hair Replacement Technicians (Non-Medical)</v>
      </c>
      <c r="C471" s="41" t="str">
        <f>'4JSON'!C465</f>
        <v>Estheticians, electrologists and related occupations</v>
      </c>
      <c r="D471" s="41">
        <f>ABS(D$5-(6-'4JSON'!D465))</f>
        <v>1</v>
      </c>
      <c r="E471" s="41">
        <f>ABS(E$5-(6-'4JSON'!E465))</f>
        <v>0</v>
      </c>
      <c r="F471" s="41">
        <f>ABS(F$5-(6-'4JSON'!F465))</f>
        <v>1</v>
      </c>
      <c r="G471" s="41">
        <f>ABS(G$5-(6-'4JSON'!G465))</f>
        <v>1</v>
      </c>
      <c r="H471" s="41">
        <f>ABS(H$5-(6-'4JSON'!H465))</f>
        <v>1</v>
      </c>
      <c r="I471" s="41">
        <f>ABS(I$5-(6-'4JSON'!I465))</f>
        <v>1</v>
      </c>
      <c r="J471" s="41">
        <f>ABS(J$5-(6-'4JSON'!J465))</f>
        <v>0</v>
      </c>
      <c r="K471" s="41">
        <f>ABS(K$5-(6-'4JSON'!K465))</f>
        <v>1</v>
      </c>
      <c r="L471" s="41">
        <f>ABS(L$5-(6-'4JSON'!L465))</f>
        <v>0</v>
      </c>
      <c r="M471" s="36">
        <f t="shared" si="1"/>
        <v>6</v>
      </c>
      <c r="N471" s="42">
        <f t="shared" si="2"/>
        <v>0.8333333333</v>
      </c>
      <c r="S471" s="35">
        <f>IFERROR(__xludf.DUMMYFUNCTION("""COMPUTED_VALUE"""),1214.0)</f>
        <v>1214</v>
      </c>
    </row>
    <row r="472">
      <c r="A472" s="35">
        <f>'4JSON'!A466</f>
        <v>6341</v>
      </c>
      <c r="B472" s="25" t="str">
        <f>'4JSON'!B466</f>
        <v>Hairstylists</v>
      </c>
      <c r="C472" s="41" t="str">
        <f>'4JSON'!C466</f>
        <v>Hairstylists and barbers</v>
      </c>
      <c r="D472" s="41">
        <f>ABS(D$5-(6-'4JSON'!D466))</f>
        <v>1</v>
      </c>
      <c r="E472" s="41">
        <f>ABS(E$5-(6-'4JSON'!E466))</f>
        <v>0</v>
      </c>
      <c r="F472" s="41">
        <f>ABS(F$5-(6-'4JSON'!F466))</f>
        <v>1</v>
      </c>
      <c r="G472" s="41">
        <f>ABS(G$5-(6-'4JSON'!G466))</f>
        <v>1</v>
      </c>
      <c r="H472" s="41">
        <f>ABS(H$5-(6-'4JSON'!H466))</f>
        <v>1</v>
      </c>
      <c r="I472" s="41">
        <f>ABS(I$5-(6-'4JSON'!I466))</f>
        <v>1</v>
      </c>
      <c r="J472" s="41">
        <f>ABS(J$5-(6-'4JSON'!J466))</f>
        <v>0</v>
      </c>
      <c r="K472" s="41">
        <f>ABS(K$5-(6-'4JSON'!K466))</f>
        <v>1</v>
      </c>
      <c r="L472" s="41">
        <f>ABS(L$5-(6-'4JSON'!L466))</f>
        <v>0</v>
      </c>
      <c r="M472" s="36">
        <f t="shared" si="1"/>
        <v>6</v>
      </c>
      <c r="N472" s="42">
        <f t="shared" si="2"/>
        <v>0.8333333333</v>
      </c>
      <c r="S472" s="35">
        <f>IFERROR(__xludf.DUMMYFUNCTION("""COMPUTED_VALUE"""),4011.0)</f>
        <v>4011</v>
      </c>
    </row>
    <row r="473">
      <c r="A473" s="35">
        <f>'4JSON'!A467</f>
        <v>9413</v>
      </c>
      <c r="B473" s="25" t="str">
        <f>'4JSON'!B467</f>
        <v>Glass Forming Machine Operators</v>
      </c>
      <c r="C473" s="41" t="str">
        <f>'4JSON'!C467</f>
        <v>Glass forming and finishing machine operators and glass cutters</v>
      </c>
      <c r="D473" s="41">
        <f>ABS(D$5-(6-'4JSON'!D467))</f>
        <v>1</v>
      </c>
      <c r="E473" s="41">
        <f>ABS(E$5-(6-'4JSON'!E467))</f>
        <v>1</v>
      </c>
      <c r="F473" s="41">
        <f>ABS(F$5-(6-'4JSON'!F467))</f>
        <v>1</v>
      </c>
      <c r="G473" s="41">
        <f>ABS(G$5-(6-'4JSON'!G467))</f>
        <v>1</v>
      </c>
      <c r="H473" s="41">
        <f>ABS(H$5-(6-'4JSON'!H467))</f>
        <v>2</v>
      </c>
      <c r="I473" s="41">
        <f>ABS(I$5-(6-'4JSON'!I467))</f>
        <v>1</v>
      </c>
      <c r="J473" s="41">
        <f>ABS(J$5-(6-'4JSON'!J467))</f>
        <v>0</v>
      </c>
      <c r="K473" s="41">
        <f>ABS(K$5-(6-'4JSON'!K467))</f>
        <v>1</v>
      </c>
      <c r="L473" s="41">
        <f>ABS(L$5-(6-'4JSON'!L467))</f>
        <v>0</v>
      </c>
      <c r="M473" s="36">
        <f t="shared" si="1"/>
        <v>8</v>
      </c>
      <c r="N473" s="42">
        <f t="shared" si="2"/>
        <v>0.7777777778</v>
      </c>
      <c r="S473" s="35">
        <f>IFERROR(__xludf.DUMMYFUNCTION("""COMPUTED_VALUE"""),2175.0)</f>
        <v>2175</v>
      </c>
    </row>
    <row r="474">
      <c r="A474" s="35">
        <f>'4JSON'!A468</f>
        <v>9413</v>
      </c>
      <c r="B474" s="25" t="str">
        <f>'4JSON'!B468</f>
        <v>Glass Process Control Operators</v>
      </c>
      <c r="C474" s="41" t="str">
        <f>'4JSON'!C468</f>
        <v>Glass forming and finishing machine operators and glass cutters</v>
      </c>
      <c r="D474" s="41">
        <f>ABS(D$5-(6-'4JSON'!D468))</f>
        <v>1</v>
      </c>
      <c r="E474" s="41">
        <f>ABS(E$5-(6-'4JSON'!E468))</f>
        <v>1</v>
      </c>
      <c r="F474" s="41">
        <f>ABS(F$5-(6-'4JSON'!F468))</f>
        <v>1</v>
      </c>
      <c r="G474" s="41">
        <f>ABS(G$5-(6-'4JSON'!G468))</f>
        <v>1</v>
      </c>
      <c r="H474" s="41">
        <f>ABS(H$5-(6-'4JSON'!H468))</f>
        <v>2</v>
      </c>
      <c r="I474" s="41">
        <f>ABS(I$5-(6-'4JSON'!I468))</f>
        <v>1</v>
      </c>
      <c r="J474" s="41">
        <f>ABS(J$5-(6-'4JSON'!J468))</f>
        <v>0</v>
      </c>
      <c r="K474" s="41">
        <f>ABS(K$5-(6-'4JSON'!K468))</f>
        <v>1</v>
      </c>
      <c r="L474" s="41">
        <f>ABS(L$5-(6-'4JSON'!L468))</f>
        <v>0</v>
      </c>
      <c r="M474" s="36">
        <f t="shared" si="1"/>
        <v>8</v>
      </c>
      <c r="N474" s="42">
        <f t="shared" si="2"/>
        <v>0.7777777778</v>
      </c>
      <c r="S474" s="35">
        <f>IFERROR(__xludf.DUMMYFUNCTION("""COMPUTED_VALUE"""),2161.0)</f>
        <v>2161</v>
      </c>
    </row>
    <row r="475">
      <c r="A475" s="35">
        <f>'4JSON'!A469</f>
        <v>1414</v>
      </c>
      <c r="B475" s="25" t="str">
        <f>'4JSON'!B469</f>
        <v>Hospital Admitting Clerks</v>
      </c>
      <c r="C475" s="41" t="str">
        <f>'4JSON'!C469</f>
        <v>Receptionists</v>
      </c>
      <c r="D475" s="41">
        <f>ABS(D$5-(6-'4JSON'!D469))</f>
        <v>1</v>
      </c>
      <c r="E475" s="41">
        <f>ABS(E$5-(6-'4JSON'!E469))</f>
        <v>0</v>
      </c>
      <c r="F475" s="41">
        <f>ABS(F$5-(6-'4JSON'!F469))</f>
        <v>1</v>
      </c>
      <c r="G475" s="41">
        <f>ABS(G$5-(6-'4JSON'!G469))</f>
        <v>1</v>
      </c>
      <c r="H475" s="41">
        <f>ABS(H$5-(6-'4JSON'!H469))</f>
        <v>2</v>
      </c>
      <c r="I475" s="41">
        <f>ABS(I$5-(6-'4JSON'!I469))</f>
        <v>0</v>
      </c>
      <c r="J475" s="41">
        <f>ABS(J$5-(6-'4JSON'!J469))</f>
        <v>0</v>
      </c>
      <c r="K475" s="41">
        <f>ABS(K$5-(6-'4JSON'!K469))</f>
        <v>0</v>
      </c>
      <c r="L475" s="41">
        <f>ABS(L$5-(6-'4JSON'!L469))</f>
        <v>1</v>
      </c>
      <c r="M475" s="36">
        <f t="shared" si="1"/>
        <v>6</v>
      </c>
      <c r="N475" s="42">
        <f t="shared" si="2"/>
        <v>0.8333333333</v>
      </c>
      <c r="S475" s="35">
        <f>IFERROR(__xludf.DUMMYFUNCTION("""COMPUTED_VALUE"""),422.0)</f>
        <v>422</v>
      </c>
    </row>
    <row r="476">
      <c r="A476" s="35">
        <f>'4JSON'!A470</f>
        <v>7521</v>
      </c>
      <c r="B476" s="25" t="str">
        <f>'4JSON'!B470</f>
        <v>Heavy Equipment Operators (Except Crane)</v>
      </c>
      <c r="C476" s="41" t="str">
        <f>'4JSON'!C470</f>
        <v>Heavy equipment operators (except crane)</v>
      </c>
      <c r="D476" s="41">
        <f>ABS(D$5-(6-'4JSON'!D470))</f>
        <v>1</v>
      </c>
      <c r="E476" s="41">
        <f>ABS(E$5-(6-'4JSON'!E470))</f>
        <v>1</v>
      </c>
      <c r="F476" s="41">
        <f>ABS(F$5-(6-'4JSON'!F470))</f>
        <v>1</v>
      </c>
      <c r="G476" s="41">
        <f>ABS(G$5-(6-'4JSON'!G470))</f>
        <v>0</v>
      </c>
      <c r="H476" s="41">
        <f>ABS(H$5-(6-'4JSON'!H470))</f>
        <v>2</v>
      </c>
      <c r="I476" s="41">
        <f>ABS(I$5-(6-'4JSON'!I470))</f>
        <v>2</v>
      </c>
      <c r="J476" s="41">
        <f>ABS(J$5-(6-'4JSON'!J470))</f>
        <v>0</v>
      </c>
      <c r="K476" s="41">
        <f>ABS(K$5-(6-'4JSON'!K470))</f>
        <v>1</v>
      </c>
      <c r="L476" s="41">
        <f>ABS(L$5-(6-'4JSON'!L470))</f>
        <v>0</v>
      </c>
      <c r="M476" s="36">
        <f t="shared" si="1"/>
        <v>8</v>
      </c>
      <c r="N476" s="42">
        <f t="shared" si="2"/>
        <v>0.7777777778</v>
      </c>
      <c r="S476" s="35">
        <f>IFERROR(__xludf.DUMMYFUNCTION("""COMPUTED_VALUE"""),421.0)</f>
        <v>421</v>
      </c>
    </row>
    <row r="477">
      <c r="A477" s="35">
        <f>'4JSON'!A471</f>
        <v>2233</v>
      </c>
      <c r="B477" s="25" t="str">
        <f>'4JSON'!B471</f>
        <v>Industrial Engineering and Manufacturing Technologists</v>
      </c>
      <c r="C477" s="41" t="str">
        <f>'4JSON'!C471</f>
        <v>Industrial engineering and manufacturing technologists and technicians</v>
      </c>
      <c r="D477" s="41">
        <f>ABS(D$5-(6-'4JSON'!D471))</f>
        <v>2</v>
      </c>
      <c r="E477" s="41">
        <f>ABS(E$5-(6-'4JSON'!E471))</f>
        <v>1</v>
      </c>
      <c r="F477" s="41">
        <f>ABS(F$5-(6-'4JSON'!F471))</f>
        <v>1</v>
      </c>
      <c r="G477" s="41">
        <f>ABS(G$5-(6-'4JSON'!G471))</f>
        <v>1</v>
      </c>
      <c r="H477" s="41">
        <f>ABS(H$5-(6-'4JSON'!H471))</f>
        <v>1</v>
      </c>
      <c r="I477" s="41">
        <f>ABS(I$5-(6-'4JSON'!I471))</f>
        <v>0</v>
      </c>
      <c r="J477" s="41">
        <f>ABS(J$5-(6-'4JSON'!J471))</f>
        <v>1</v>
      </c>
      <c r="K477" s="41">
        <f>ABS(K$5-(6-'4JSON'!K471))</f>
        <v>1</v>
      </c>
      <c r="L477" s="41">
        <f>ABS(L$5-(6-'4JSON'!L471))</f>
        <v>0</v>
      </c>
      <c r="M477" s="36">
        <f t="shared" si="1"/>
        <v>8</v>
      </c>
      <c r="N477" s="42">
        <f t="shared" si="2"/>
        <v>0.7777777778</v>
      </c>
      <c r="S477" s="35">
        <f>IFERROR(__xludf.DUMMYFUNCTION("""COMPUTED_VALUE"""),4169.0)</f>
        <v>4169</v>
      </c>
    </row>
    <row r="478">
      <c r="A478" s="35">
        <f>'4JSON'!A472</f>
        <v>3131</v>
      </c>
      <c r="B478" s="25" t="str">
        <f>'4JSON'!B472</f>
        <v>Industrial Pharmacists</v>
      </c>
      <c r="C478" s="41" t="str">
        <f>'4JSON'!C472</f>
        <v>Pharmacists</v>
      </c>
      <c r="D478" s="41">
        <f>ABS(D$5-(6-'4JSON'!D472))</f>
        <v>2</v>
      </c>
      <c r="E478" s="41">
        <f>ABS(E$5-(6-'4JSON'!E472))</f>
        <v>1</v>
      </c>
      <c r="F478" s="41">
        <f>ABS(F$5-(6-'4JSON'!F472))</f>
        <v>1</v>
      </c>
      <c r="G478" s="41">
        <f>ABS(G$5-(6-'4JSON'!G472))</f>
        <v>0</v>
      </c>
      <c r="H478" s="41">
        <f>ABS(H$5-(6-'4JSON'!H472))</f>
        <v>0</v>
      </c>
      <c r="I478" s="41">
        <f>ABS(I$5-(6-'4JSON'!I472))</f>
        <v>0</v>
      </c>
      <c r="J478" s="41">
        <f>ABS(J$5-(6-'4JSON'!J472))</f>
        <v>0</v>
      </c>
      <c r="K478" s="41">
        <f>ABS(K$5-(6-'4JSON'!K472))</f>
        <v>0</v>
      </c>
      <c r="L478" s="41">
        <f>ABS(L$5-(6-'4JSON'!L472))</f>
        <v>0</v>
      </c>
      <c r="M478" s="36">
        <f t="shared" si="1"/>
        <v>4</v>
      </c>
      <c r="N478" s="42">
        <f t="shared" si="2"/>
        <v>0.8888888889</v>
      </c>
      <c r="S478" s="35">
        <f>IFERROR(__xludf.DUMMYFUNCTION("""COMPUTED_VALUE"""),2131.0)</f>
        <v>2131</v>
      </c>
    </row>
    <row r="479">
      <c r="A479" s="35">
        <f>'4JSON'!A473</f>
        <v>9441</v>
      </c>
      <c r="B479" s="25" t="str">
        <f>'4JSON'!B473</f>
        <v>Hide and Pelt Processing Workers</v>
      </c>
      <c r="C479" s="41" t="str">
        <f>'4JSON'!C473</f>
        <v>Textile fibre and yarn, hide and pelt processing machine operators and workers</v>
      </c>
      <c r="D479" s="41">
        <f>ABS(D$5-(6-'4JSON'!D473))</f>
        <v>0</v>
      </c>
      <c r="E479" s="41">
        <f>ABS(E$5-(6-'4JSON'!E473))</f>
        <v>1</v>
      </c>
      <c r="F479" s="41">
        <f>ABS(F$5-(6-'4JSON'!F473))</f>
        <v>1</v>
      </c>
      <c r="G479" s="41">
        <f>ABS(G$5-(6-'4JSON'!G473))</f>
        <v>1</v>
      </c>
      <c r="H479" s="41">
        <f>ABS(H$5-(6-'4JSON'!H473))</f>
        <v>1</v>
      </c>
      <c r="I479" s="41">
        <f>ABS(I$5-(6-'4JSON'!I473))</f>
        <v>1</v>
      </c>
      <c r="J479" s="41">
        <f>ABS(J$5-(6-'4JSON'!J473))</f>
        <v>0</v>
      </c>
      <c r="K479" s="41">
        <f>ABS(K$5-(6-'4JSON'!K473))</f>
        <v>1</v>
      </c>
      <c r="L479" s="41">
        <f>ABS(L$5-(6-'4JSON'!L473))</f>
        <v>0</v>
      </c>
      <c r="M479" s="36">
        <f t="shared" si="1"/>
        <v>6</v>
      </c>
      <c r="N479" s="42">
        <f t="shared" si="2"/>
        <v>0.8333333333</v>
      </c>
      <c r="S479" s="35">
        <f>IFERROR(__xludf.DUMMYFUNCTION("""COMPUTED_VALUE"""),2174.0)</f>
        <v>2174</v>
      </c>
    </row>
    <row r="480">
      <c r="A480" s="35">
        <f>'4JSON'!A474</f>
        <v>2262</v>
      </c>
      <c r="B480" s="25" t="str">
        <f>'4JSON'!B474</f>
        <v>Inspectors, Weights and Measures</v>
      </c>
      <c r="C480" s="41" t="str">
        <f>'4JSON'!C474</f>
        <v>Engineering inspectors and regulatory officers</v>
      </c>
      <c r="D480" s="41">
        <f>ABS(D$5-(6-'4JSON'!D474))</f>
        <v>2</v>
      </c>
      <c r="E480" s="41">
        <f>ABS(E$5-(6-'4JSON'!E474))</f>
        <v>0</v>
      </c>
      <c r="F480" s="41">
        <f>ABS(F$5-(6-'4JSON'!F474))</f>
        <v>0</v>
      </c>
      <c r="G480" s="41">
        <f>ABS(G$5-(6-'4JSON'!G474))</f>
        <v>0</v>
      </c>
      <c r="H480" s="41">
        <f>ABS(H$5-(6-'4JSON'!H474))</f>
        <v>1</v>
      </c>
      <c r="I480" s="41">
        <f>ABS(I$5-(6-'4JSON'!I474))</f>
        <v>0</v>
      </c>
      <c r="J480" s="41">
        <f>ABS(J$5-(6-'4JSON'!J474))</f>
        <v>1</v>
      </c>
      <c r="K480" s="41">
        <f>ABS(K$5-(6-'4JSON'!K474))</f>
        <v>1</v>
      </c>
      <c r="L480" s="41">
        <f>ABS(L$5-(6-'4JSON'!L474))</f>
        <v>1</v>
      </c>
      <c r="M480" s="36">
        <f t="shared" si="1"/>
        <v>6</v>
      </c>
      <c r="N480" s="42">
        <f t="shared" si="2"/>
        <v>0.8333333333</v>
      </c>
      <c r="S480" s="35">
        <f>IFERROR(__xludf.DUMMYFUNCTION("""COMPUTED_VALUE"""),2133.0)</f>
        <v>2133</v>
      </c>
    </row>
    <row r="481">
      <c r="A481" s="35">
        <f>'4JSON'!A475</f>
        <v>4215</v>
      </c>
      <c r="B481" s="25" t="str">
        <f>'4JSON'!B475</f>
        <v>Instructors and Teachers of Persons with Disabilities</v>
      </c>
      <c r="C481" s="41" t="str">
        <f>'4JSON'!C475</f>
        <v>Instructors of persons with disabilities</v>
      </c>
      <c r="D481" s="41">
        <f>ABS(D$5-(6-'4JSON'!D475))</f>
        <v>2</v>
      </c>
      <c r="E481" s="41">
        <f>ABS(E$5-(6-'4JSON'!E475))</f>
        <v>1</v>
      </c>
      <c r="F481" s="41">
        <f>ABS(F$5-(6-'4JSON'!F475))</f>
        <v>0</v>
      </c>
      <c r="G481" s="41">
        <f>ABS(G$5-(6-'4JSON'!G475))</f>
        <v>1</v>
      </c>
      <c r="H481" s="41">
        <f>ABS(H$5-(6-'4JSON'!H475))</f>
        <v>2</v>
      </c>
      <c r="I481" s="41">
        <f>ABS(I$5-(6-'4JSON'!I475))</f>
        <v>0</v>
      </c>
      <c r="J481" s="41">
        <f>ABS(J$5-(6-'4JSON'!J475))</f>
        <v>0</v>
      </c>
      <c r="K481" s="41">
        <f>ABS(K$5-(6-'4JSON'!K475))</f>
        <v>0</v>
      </c>
      <c r="L481" s="41">
        <f>ABS(L$5-(6-'4JSON'!L475))</f>
        <v>0</v>
      </c>
      <c r="M481" s="36">
        <f t="shared" si="1"/>
        <v>6</v>
      </c>
      <c r="N481" s="42">
        <f t="shared" si="2"/>
        <v>0.8333333333</v>
      </c>
      <c r="S481" s="35">
        <f>IFERROR(__xludf.DUMMYFUNCTION("""COMPUTED_VALUE"""),412.0)</f>
        <v>412</v>
      </c>
    </row>
    <row r="482">
      <c r="A482" s="35">
        <f>'4JSON'!A476</f>
        <v>2225</v>
      </c>
      <c r="B482" s="25" t="str">
        <f>'4JSON'!B476</f>
        <v>Landscape Gardeners</v>
      </c>
      <c r="C482" s="41" t="str">
        <f>'4JSON'!C476</f>
        <v>Landscape and horticulture technicians and specialists</v>
      </c>
      <c r="D482" s="41">
        <f>ABS(D$5-(6-'4JSON'!D476))</f>
        <v>1</v>
      </c>
      <c r="E482" s="41">
        <f>ABS(E$5-(6-'4JSON'!E476))</f>
        <v>0</v>
      </c>
      <c r="F482" s="41">
        <f>ABS(F$5-(6-'4JSON'!F476))</f>
        <v>0</v>
      </c>
      <c r="G482" s="41">
        <f>ABS(G$5-(6-'4JSON'!G476))</f>
        <v>0</v>
      </c>
      <c r="H482" s="41">
        <f>ABS(H$5-(6-'4JSON'!H476))</f>
        <v>1</v>
      </c>
      <c r="I482" s="41">
        <f>ABS(I$5-(6-'4JSON'!I476))</f>
        <v>1</v>
      </c>
      <c r="J482" s="41">
        <f>ABS(J$5-(6-'4JSON'!J476))</f>
        <v>0</v>
      </c>
      <c r="K482" s="41">
        <f>ABS(K$5-(6-'4JSON'!K476))</f>
        <v>1</v>
      </c>
      <c r="L482" s="41">
        <f>ABS(L$5-(6-'4JSON'!L476))</f>
        <v>0</v>
      </c>
      <c r="M482" s="36">
        <f t="shared" si="1"/>
        <v>4</v>
      </c>
      <c r="N482" s="42">
        <f t="shared" si="2"/>
        <v>0.8888888889</v>
      </c>
      <c r="S482" s="35">
        <f>IFERROR(__xludf.DUMMYFUNCTION("""COMPUTED_VALUE"""),413.0)</f>
        <v>413</v>
      </c>
    </row>
    <row r="483">
      <c r="A483" s="35">
        <f>'4JSON'!A477</f>
        <v>8255</v>
      </c>
      <c r="B483" s="25" t="str">
        <f>'4JSON'!B477</f>
        <v>Landscaping and Grounds Maintenance Contractors and Managers</v>
      </c>
      <c r="C483" s="41" t="str">
        <f>'4JSON'!C477</f>
        <v>Contractors and supervisors, landscaping, grounds maintenance and horticulture services</v>
      </c>
      <c r="D483" s="41">
        <f>ABS(D$5-(6-'4JSON'!D477))</f>
        <v>2</v>
      </c>
      <c r="E483" s="41">
        <f>ABS(E$5-(6-'4JSON'!E477))</f>
        <v>0</v>
      </c>
      <c r="F483" s="41">
        <f>ABS(F$5-(6-'4JSON'!F477))</f>
        <v>0</v>
      </c>
      <c r="G483" s="41">
        <f>ABS(G$5-(6-'4JSON'!G477))</f>
        <v>1</v>
      </c>
      <c r="H483" s="41">
        <f>ABS(H$5-(6-'4JSON'!H477))</f>
        <v>1</v>
      </c>
      <c r="I483" s="41">
        <f>ABS(I$5-(6-'4JSON'!I477))</f>
        <v>1</v>
      </c>
      <c r="J483" s="41">
        <f>ABS(J$5-(6-'4JSON'!J477))</f>
        <v>1</v>
      </c>
      <c r="K483" s="41">
        <f>ABS(K$5-(6-'4JSON'!K477))</f>
        <v>1</v>
      </c>
      <c r="L483" s="41">
        <f>ABS(L$5-(6-'4JSON'!L477))</f>
        <v>1</v>
      </c>
      <c r="M483" s="36">
        <f t="shared" si="1"/>
        <v>8</v>
      </c>
      <c r="N483" s="42">
        <f t="shared" si="2"/>
        <v>0.7777777778</v>
      </c>
      <c r="S483" s="35">
        <f>IFERROR(__xludf.DUMMYFUNCTION("""COMPUTED_VALUE"""),411.0)</f>
        <v>411</v>
      </c>
    </row>
    <row r="484">
      <c r="A484" s="35">
        <f>'4JSON'!A478</f>
        <v>4412</v>
      </c>
      <c r="B484" s="25" t="str">
        <f>'4JSON'!B478</f>
        <v>Housekeepers</v>
      </c>
      <c r="C484" s="41" t="str">
        <f>'4JSON'!C478</f>
        <v>Home support workers, housekeepers and related occupations</v>
      </c>
      <c r="D484" s="41">
        <f>ABS(D$5-(6-'4JSON'!D478))</f>
        <v>1</v>
      </c>
      <c r="E484" s="41">
        <f>ABS(E$5-(6-'4JSON'!E478))</f>
        <v>1</v>
      </c>
      <c r="F484" s="41">
        <f>ABS(F$5-(6-'4JSON'!F478))</f>
        <v>1</v>
      </c>
      <c r="G484" s="41">
        <f>ABS(G$5-(6-'4JSON'!G478))</f>
        <v>1</v>
      </c>
      <c r="H484" s="41">
        <f>ABS(H$5-(6-'4JSON'!H478))</f>
        <v>2</v>
      </c>
      <c r="I484" s="41">
        <f>ABS(I$5-(6-'4JSON'!I478))</f>
        <v>1</v>
      </c>
      <c r="J484" s="41">
        <f>ABS(J$5-(6-'4JSON'!J478))</f>
        <v>0</v>
      </c>
      <c r="K484" s="41">
        <f>ABS(K$5-(6-'4JSON'!K478))</f>
        <v>1</v>
      </c>
      <c r="L484" s="41">
        <f>ABS(L$5-(6-'4JSON'!L478))</f>
        <v>0</v>
      </c>
      <c r="M484" s="36">
        <f t="shared" si="1"/>
        <v>8</v>
      </c>
      <c r="N484" s="42">
        <f t="shared" si="2"/>
        <v>0.7777777778</v>
      </c>
      <c r="S484" s="35">
        <f>IFERROR(__xludf.DUMMYFUNCTION("""COMPUTED_VALUE"""),2141.0)</f>
        <v>2141</v>
      </c>
    </row>
    <row r="485">
      <c r="A485" s="35">
        <f>'4JSON'!A479</f>
        <v>1242</v>
      </c>
      <c r="B485" s="25" t="str">
        <f>'4JSON'!B479</f>
        <v>Legal Secretaries</v>
      </c>
      <c r="C485" s="41" t="str">
        <f>'4JSON'!C479</f>
        <v>Legal administrative assistants</v>
      </c>
      <c r="D485" s="41">
        <f>ABS(D$5-(6-'4JSON'!D479))</f>
        <v>1</v>
      </c>
      <c r="E485" s="41">
        <f>ABS(E$5-(6-'4JSON'!E479))</f>
        <v>0</v>
      </c>
      <c r="F485" s="41">
        <f>ABS(F$5-(6-'4JSON'!F479))</f>
        <v>0</v>
      </c>
      <c r="G485" s="41">
        <f>ABS(G$5-(6-'4JSON'!G479))</f>
        <v>1</v>
      </c>
      <c r="H485" s="41">
        <f>ABS(H$5-(6-'4JSON'!H479))</f>
        <v>1</v>
      </c>
      <c r="I485" s="41">
        <f>ABS(I$5-(6-'4JSON'!I479))</f>
        <v>1</v>
      </c>
      <c r="J485" s="41">
        <f>ABS(J$5-(6-'4JSON'!J479))</f>
        <v>0</v>
      </c>
      <c r="K485" s="41">
        <f>ABS(K$5-(6-'4JSON'!K479))</f>
        <v>0</v>
      </c>
      <c r="L485" s="41">
        <f>ABS(L$5-(6-'4JSON'!L479))</f>
        <v>0</v>
      </c>
      <c r="M485" s="36">
        <f t="shared" si="1"/>
        <v>4</v>
      </c>
      <c r="N485" s="42">
        <f t="shared" si="2"/>
        <v>0.8888888889</v>
      </c>
      <c r="S485" s="35">
        <f>IFERROR(__xludf.DUMMYFUNCTION("""COMPUTED_VALUE"""),4112.0)</f>
        <v>4112</v>
      </c>
    </row>
    <row r="486">
      <c r="A486" s="35">
        <f>'4JSON'!A480</f>
        <v>9415</v>
      </c>
      <c r="B486" s="25" t="str">
        <f>'4JSON'!B480</f>
        <v>Inspectors and Testers, Mineral and Metal Processing</v>
      </c>
      <c r="C486" s="41" t="str">
        <f>'4JSON'!C480</f>
        <v>Inspectors and testers, mineral and metal processing</v>
      </c>
      <c r="D486" s="41">
        <f>ABS(D$5-(6-'4JSON'!D480))</f>
        <v>1</v>
      </c>
      <c r="E486" s="41">
        <f>ABS(E$5-(6-'4JSON'!E480))</f>
        <v>1</v>
      </c>
      <c r="F486" s="41">
        <f>ABS(F$5-(6-'4JSON'!F480))</f>
        <v>1</v>
      </c>
      <c r="G486" s="41">
        <f>ABS(G$5-(6-'4JSON'!G480))</f>
        <v>1</v>
      </c>
      <c r="H486" s="41">
        <f>ABS(H$5-(6-'4JSON'!H480))</f>
        <v>1</v>
      </c>
      <c r="I486" s="41">
        <f>ABS(I$5-(6-'4JSON'!I480))</f>
        <v>1</v>
      </c>
      <c r="J486" s="41">
        <f>ABS(J$5-(6-'4JSON'!J480))</f>
        <v>1</v>
      </c>
      <c r="K486" s="41">
        <f>ABS(K$5-(6-'4JSON'!K480))</f>
        <v>1</v>
      </c>
      <c r="L486" s="41">
        <f>ABS(L$5-(6-'4JSON'!L480))</f>
        <v>0</v>
      </c>
      <c r="M486" s="36">
        <f t="shared" si="1"/>
        <v>8</v>
      </c>
      <c r="N486" s="42">
        <f t="shared" si="2"/>
        <v>0.7777777778</v>
      </c>
      <c r="S486" s="35">
        <f>IFERROR(__xludf.DUMMYFUNCTION("""COMPUTED_VALUE"""),511.0)</f>
        <v>511</v>
      </c>
    </row>
    <row r="487">
      <c r="A487" s="35">
        <f>'4JSON'!A481</f>
        <v>1451</v>
      </c>
      <c r="B487" s="25" t="str">
        <f>'4JSON'!B481</f>
        <v>Library Clerks</v>
      </c>
      <c r="C487" s="41" t="str">
        <f>'4JSON'!C481</f>
        <v>Library assistants and clerks</v>
      </c>
      <c r="D487" s="41">
        <f>ABS(D$5-(6-'4JSON'!D481))</f>
        <v>1</v>
      </c>
      <c r="E487" s="41">
        <f>ABS(E$5-(6-'4JSON'!E481))</f>
        <v>0</v>
      </c>
      <c r="F487" s="41">
        <f>ABS(F$5-(6-'4JSON'!F481))</f>
        <v>1</v>
      </c>
      <c r="G487" s="41">
        <f>ABS(G$5-(6-'4JSON'!G481))</f>
        <v>1</v>
      </c>
      <c r="H487" s="41">
        <f>ABS(H$5-(6-'4JSON'!H481))</f>
        <v>1</v>
      </c>
      <c r="I487" s="41">
        <f>ABS(I$5-(6-'4JSON'!I481))</f>
        <v>0</v>
      </c>
      <c r="J487" s="41">
        <f>ABS(J$5-(6-'4JSON'!J481))</f>
        <v>0</v>
      </c>
      <c r="K487" s="41">
        <f>ABS(K$5-(6-'4JSON'!K481))</f>
        <v>1</v>
      </c>
      <c r="L487" s="41">
        <f>ABS(L$5-(6-'4JSON'!L481))</f>
        <v>1</v>
      </c>
      <c r="M487" s="36">
        <f t="shared" si="1"/>
        <v>6</v>
      </c>
      <c r="N487" s="42">
        <f t="shared" si="2"/>
        <v>0.8333333333</v>
      </c>
      <c r="S487" s="35">
        <f>IFERROR(__xludf.DUMMYFUNCTION("""COMPUTED_VALUE"""),423.0)</f>
        <v>423</v>
      </c>
    </row>
    <row r="488">
      <c r="A488" s="35">
        <f>'4JSON'!A482</f>
        <v>7533</v>
      </c>
      <c r="B488" s="25" t="str">
        <f>'4JSON'!B482</f>
        <v>Lock Equipment Operators</v>
      </c>
      <c r="C488" s="41" t="str">
        <f>'4JSON'!C482</f>
        <v>Boat and cable ferry operators and related occupations</v>
      </c>
      <c r="D488" s="41">
        <f>ABS(D$5-(6-'4JSON'!D482))</f>
        <v>1</v>
      </c>
      <c r="E488" s="41">
        <f>ABS(E$5-(6-'4JSON'!E482))</f>
        <v>0</v>
      </c>
      <c r="F488" s="41">
        <f>ABS(F$5-(6-'4JSON'!F482))</f>
        <v>1</v>
      </c>
      <c r="G488" s="41">
        <f>ABS(G$5-(6-'4JSON'!G482))</f>
        <v>0</v>
      </c>
      <c r="H488" s="41">
        <f>ABS(H$5-(6-'4JSON'!H482))</f>
        <v>1</v>
      </c>
      <c r="I488" s="41">
        <f>ABS(I$5-(6-'4JSON'!I482))</f>
        <v>1</v>
      </c>
      <c r="J488" s="41">
        <f>ABS(J$5-(6-'4JSON'!J482))</f>
        <v>1</v>
      </c>
      <c r="K488" s="41">
        <f>ABS(K$5-(6-'4JSON'!K482))</f>
        <v>1</v>
      </c>
      <c r="L488" s="41">
        <f>ABS(L$5-(6-'4JSON'!L482))</f>
        <v>0</v>
      </c>
      <c r="M488" s="36">
        <f t="shared" si="1"/>
        <v>6</v>
      </c>
      <c r="N488" s="42">
        <f t="shared" si="2"/>
        <v>0.8333333333</v>
      </c>
      <c r="S488" s="35">
        <f>IFERROR(__xludf.DUMMYFUNCTION("""COMPUTED_VALUE"""),7622.0)</f>
        <v>7622</v>
      </c>
    </row>
    <row r="489">
      <c r="A489" s="35">
        <f>'4JSON'!A483</f>
        <v>9445</v>
      </c>
      <c r="B489" s="25" t="str">
        <f>'4JSON'!B483</f>
        <v>Leather Cutters</v>
      </c>
      <c r="C489" s="41" t="str">
        <f>'4JSON'!C483</f>
        <v>Fabric, fur and leather cutters</v>
      </c>
      <c r="D489" s="41">
        <f>ABS(D$5-(6-'4JSON'!D483))</f>
        <v>1</v>
      </c>
      <c r="E489" s="41">
        <f>ABS(E$5-(6-'4JSON'!E483))</f>
        <v>1</v>
      </c>
      <c r="F489" s="41">
        <f>ABS(F$5-(6-'4JSON'!F483))</f>
        <v>1</v>
      </c>
      <c r="G489" s="41">
        <f>ABS(G$5-(6-'4JSON'!G483))</f>
        <v>1</v>
      </c>
      <c r="H489" s="41">
        <f>ABS(H$5-(6-'4JSON'!H483))</f>
        <v>2</v>
      </c>
      <c r="I489" s="41">
        <f>ABS(I$5-(6-'4JSON'!I483))</f>
        <v>1</v>
      </c>
      <c r="J489" s="41">
        <f>ABS(J$5-(6-'4JSON'!J483))</f>
        <v>0</v>
      </c>
      <c r="K489" s="41">
        <f>ABS(K$5-(6-'4JSON'!K483))</f>
        <v>1</v>
      </c>
      <c r="L489" s="41">
        <f>ABS(L$5-(6-'4JSON'!L483))</f>
        <v>0</v>
      </c>
      <c r="M489" s="36">
        <f t="shared" si="1"/>
        <v>8</v>
      </c>
      <c r="N489" s="42">
        <f t="shared" si="2"/>
        <v>0.7777777778</v>
      </c>
      <c r="S489" s="35">
        <f>IFERROR(__xludf.DUMMYFUNCTION("""COMPUTED_VALUE"""),4151.0)</f>
        <v>4151</v>
      </c>
    </row>
    <row r="490">
      <c r="A490" s="35">
        <f>'4JSON'!A484</f>
        <v>1512</v>
      </c>
      <c r="B490" s="25" t="str">
        <f>'4JSON'!B484</f>
        <v>Letter Carriers</v>
      </c>
      <c r="C490" s="41" t="str">
        <f>'4JSON'!C484</f>
        <v>Letter carriers</v>
      </c>
      <c r="D490" s="41">
        <f>ABS(D$5-(6-'4JSON'!D484))</f>
        <v>0</v>
      </c>
      <c r="E490" s="41">
        <f>ABS(E$5-(6-'4JSON'!E484))</f>
        <v>1</v>
      </c>
      <c r="F490" s="41">
        <f>ABS(F$5-(6-'4JSON'!F484))</f>
        <v>1</v>
      </c>
      <c r="G490" s="41">
        <f>ABS(G$5-(6-'4JSON'!G484))</f>
        <v>1</v>
      </c>
      <c r="H490" s="41">
        <f>ABS(H$5-(6-'4JSON'!H484))</f>
        <v>2</v>
      </c>
      <c r="I490" s="41">
        <f>ABS(I$5-(6-'4JSON'!I484))</f>
        <v>0</v>
      </c>
      <c r="J490" s="41">
        <f>ABS(J$5-(6-'4JSON'!J484))</f>
        <v>0</v>
      </c>
      <c r="K490" s="41">
        <f>ABS(K$5-(6-'4JSON'!K484))</f>
        <v>1</v>
      </c>
      <c r="L490" s="41">
        <f>ABS(L$5-(6-'4JSON'!L484))</f>
        <v>0</v>
      </c>
      <c r="M490" s="36">
        <f t="shared" si="1"/>
        <v>6</v>
      </c>
      <c r="N490" s="42">
        <f t="shared" si="2"/>
        <v>0.8333333333</v>
      </c>
      <c r="S490" s="35">
        <f>IFERROR(__xludf.DUMMYFUNCTION("""COMPUTED_VALUE"""),7621.0)</f>
        <v>7621</v>
      </c>
    </row>
    <row r="491">
      <c r="A491" s="35">
        <f>'4JSON'!A485</f>
        <v>9411</v>
      </c>
      <c r="B491" s="25" t="str">
        <f>'4JSON'!B485</f>
        <v>Machine Operators, Mineral and Metal Processing</v>
      </c>
      <c r="C491" s="41" t="str">
        <f>'4JSON'!C485</f>
        <v>Machine operators, mineral and metal processing</v>
      </c>
      <c r="D491" s="41">
        <f>ABS(D$5-(6-'4JSON'!D485))</f>
        <v>1</v>
      </c>
      <c r="E491" s="41">
        <f>ABS(E$5-(6-'4JSON'!E485))</f>
        <v>1</v>
      </c>
      <c r="F491" s="41">
        <f>ABS(F$5-(6-'4JSON'!F485))</f>
        <v>1</v>
      </c>
      <c r="G491" s="41">
        <f>ABS(G$5-(6-'4JSON'!G485))</f>
        <v>1</v>
      </c>
      <c r="H491" s="41">
        <f>ABS(H$5-(6-'4JSON'!H485))</f>
        <v>2</v>
      </c>
      <c r="I491" s="41">
        <f>ABS(I$5-(6-'4JSON'!I485))</f>
        <v>1</v>
      </c>
      <c r="J491" s="41">
        <f>ABS(J$5-(6-'4JSON'!J485))</f>
        <v>0</v>
      </c>
      <c r="K491" s="41">
        <f>ABS(K$5-(6-'4JSON'!K485))</f>
        <v>1</v>
      </c>
      <c r="L491" s="41">
        <f>ABS(L$5-(6-'4JSON'!L485))</f>
        <v>0</v>
      </c>
      <c r="M491" s="36">
        <f t="shared" si="1"/>
        <v>8</v>
      </c>
      <c r="N491" s="42">
        <f t="shared" si="2"/>
        <v>0.7777777778</v>
      </c>
      <c r="S491" s="35">
        <f>IFERROR(__xludf.DUMMYFUNCTION("""COMPUTED_VALUE"""),15.0)</f>
        <v>15</v>
      </c>
    </row>
    <row r="492">
      <c r="A492" s="35">
        <f>'4JSON'!A486</f>
        <v>6561</v>
      </c>
      <c r="B492" s="25" t="str">
        <f>'4JSON'!B486</f>
        <v>Make-Up Consultants</v>
      </c>
      <c r="C492" s="41" t="str">
        <f>'4JSON'!C486</f>
        <v>Image, social and other personal consultants</v>
      </c>
      <c r="D492" s="41">
        <f>ABS(D$5-(6-'4JSON'!D486))</f>
        <v>1</v>
      </c>
      <c r="E492" s="41">
        <f>ABS(E$5-(6-'4JSON'!E486))</f>
        <v>0</v>
      </c>
      <c r="F492" s="41">
        <f>ABS(F$5-(6-'4JSON'!F486))</f>
        <v>1</v>
      </c>
      <c r="G492" s="41">
        <f>ABS(G$5-(6-'4JSON'!G486))</f>
        <v>1</v>
      </c>
      <c r="H492" s="41">
        <f>ABS(H$5-(6-'4JSON'!H486))</f>
        <v>1</v>
      </c>
      <c r="I492" s="41">
        <f>ABS(I$5-(6-'4JSON'!I486))</f>
        <v>0</v>
      </c>
      <c r="J492" s="41">
        <f>ABS(J$5-(6-'4JSON'!J486))</f>
        <v>1</v>
      </c>
      <c r="K492" s="41">
        <f>ABS(K$5-(6-'4JSON'!K486))</f>
        <v>0</v>
      </c>
      <c r="L492" s="41">
        <f>ABS(L$5-(6-'4JSON'!L486))</f>
        <v>1</v>
      </c>
      <c r="M492" s="36">
        <f t="shared" si="1"/>
        <v>6</v>
      </c>
      <c r="N492" s="42">
        <f t="shared" si="2"/>
        <v>0.8333333333</v>
      </c>
      <c r="S492" s="35">
        <f>IFERROR(__xludf.DUMMYFUNCTION("""COMPUTED_VALUE"""),1212.0)</f>
        <v>1212</v>
      </c>
    </row>
    <row r="493">
      <c r="A493" s="35">
        <f>'4JSON'!A487</f>
        <v>1511</v>
      </c>
      <c r="B493" s="25" t="str">
        <f>'4JSON'!B487</f>
        <v>Mail Room Clerks</v>
      </c>
      <c r="C493" s="41" t="str">
        <f>'4JSON'!C487</f>
        <v>Mail, postal and related workers</v>
      </c>
      <c r="D493" s="41">
        <f>ABS(D$5-(6-'4JSON'!D487))</f>
        <v>1</v>
      </c>
      <c r="E493" s="41">
        <f>ABS(E$5-(6-'4JSON'!E487))</f>
        <v>1</v>
      </c>
      <c r="F493" s="41">
        <f>ABS(F$5-(6-'4JSON'!F487))</f>
        <v>1</v>
      </c>
      <c r="G493" s="41">
        <f>ABS(G$5-(6-'4JSON'!G487))</f>
        <v>1</v>
      </c>
      <c r="H493" s="41">
        <f>ABS(H$5-(6-'4JSON'!H487))</f>
        <v>2</v>
      </c>
      <c r="I493" s="41">
        <f>ABS(I$5-(6-'4JSON'!I487))</f>
        <v>0</v>
      </c>
      <c r="J493" s="41">
        <f>ABS(J$5-(6-'4JSON'!J487))</f>
        <v>1</v>
      </c>
      <c r="K493" s="41">
        <f>ABS(K$5-(6-'4JSON'!K487))</f>
        <v>0</v>
      </c>
      <c r="L493" s="41">
        <f>ABS(L$5-(6-'4JSON'!L487))</f>
        <v>1</v>
      </c>
      <c r="M493" s="36">
        <f t="shared" si="1"/>
        <v>8</v>
      </c>
      <c r="N493" s="42">
        <f t="shared" si="2"/>
        <v>0.7777777778</v>
      </c>
      <c r="S493" s="35">
        <f>IFERROR(__xludf.DUMMYFUNCTION("""COMPUTED_VALUE"""),1111.0)</f>
        <v>1111</v>
      </c>
    </row>
    <row r="494">
      <c r="A494" s="35">
        <f>'4JSON'!A488</f>
        <v>3236</v>
      </c>
      <c r="B494" s="25" t="str">
        <f>'4JSON'!B488</f>
        <v>Massage Therapists</v>
      </c>
      <c r="C494" s="41" t="str">
        <f>'4JSON'!C488</f>
        <v>Massage therapists</v>
      </c>
      <c r="D494" s="41">
        <f>ABS(D$5-(6-'4JSON'!D488))</f>
        <v>1</v>
      </c>
      <c r="E494" s="41">
        <f>ABS(E$5-(6-'4JSON'!E488))</f>
        <v>0</v>
      </c>
      <c r="F494" s="41">
        <f>ABS(F$5-(6-'4JSON'!F488))</f>
        <v>1</v>
      </c>
      <c r="G494" s="41">
        <f>ABS(G$5-(6-'4JSON'!G488))</f>
        <v>1</v>
      </c>
      <c r="H494" s="41">
        <f>ABS(H$5-(6-'4JSON'!H488))</f>
        <v>2</v>
      </c>
      <c r="I494" s="41">
        <f>ABS(I$5-(6-'4JSON'!I488))</f>
        <v>1</v>
      </c>
      <c r="J494" s="41">
        <f>ABS(J$5-(6-'4JSON'!J488))</f>
        <v>0</v>
      </c>
      <c r="K494" s="41">
        <f>ABS(K$5-(6-'4JSON'!K488))</f>
        <v>0</v>
      </c>
      <c r="L494" s="41">
        <f>ABS(L$5-(6-'4JSON'!L488))</f>
        <v>0</v>
      </c>
      <c r="M494" s="36">
        <f t="shared" si="1"/>
        <v>6</v>
      </c>
      <c r="N494" s="42">
        <f t="shared" si="2"/>
        <v>0.8333333333</v>
      </c>
      <c r="S494" s="35">
        <f>IFERROR(__xludf.DUMMYFUNCTION("""COMPUTED_VALUE"""),2146.0)</f>
        <v>2146</v>
      </c>
    </row>
    <row r="495">
      <c r="A495" s="35">
        <f>'4JSON'!A489</f>
        <v>1511</v>
      </c>
      <c r="B495" s="25" t="str">
        <f>'4JSON'!B489</f>
        <v>Mail Sorters</v>
      </c>
      <c r="C495" s="41" t="str">
        <f>'4JSON'!C489</f>
        <v>Mail, postal and related workers</v>
      </c>
      <c r="D495" s="41">
        <f>ABS(D$5-(6-'4JSON'!D489))</f>
        <v>1</v>
      </c>
      <c r="E495" s="41">
        <f>ABS(E$5-(6-'4JSON'!E489))</f>
        <v>1</v>
      </c>
      <c r="F495" s="41">
        <f>ABS(F$5-(6-'4JSON'!F489))</f>
        <v>1</v>
      </c>
      <c r="G495" s="41">
        <f>ABS(G$5-(6-'4JSON'!G489))</f>
        <v>1</v>
      </c>
      <c r="H495" s="41">
        <f>ABS(H$5-(6-'4JSON'!H489))</f>
        <v>2</v>
      </c>
      <c r="I495" s="41">
        <f>ABS(I$5-(6-'4JSON'!I489))</f>
        <v>0</v>
      </c>
      <c r="J495" s="41">
        <f>ABS(J$5-(6-'4JSON'!J489))</f>
        <v>1</v>
      </c>
      <c r="K495" s="41">
        <f>ABS(K$5-(6-'4JSON'!K489))</f>
        <v>0</v>
      </c>
      <c r="L495" s="41">
        <f>ABS(L$5-(6-'4JSON'!L489))</f>
        <v>1</v>
      </c>
      <c r="M495" s="36">
        <f t="shared" si="1"/>
        <v>8</v>
      </c>
      <c r="N495" s="42">
        <f t="shared" si="2"/>
        <v>0.7777777778</v>
      </c>
      <c r="S495" s="35">
        <f>IFERROR(__xludf.DUMMYFUNCTION("""COMPUTED_VALUE"""),122.0)</f>
        <v>122</v>
      </c>
    </row>
    <row r="496">
      <c r="A496" s="35">
        <f>'4JSON'!A490</f>
        <v>1243</v>
      </c>
      <c r="B496" s="25" t="str">
        <f>'4JSON'!B490</f>
        <v>Medical and Dental Receptionists</v>
      </c>
      <c r="C496" s="41" t="str">
        <f>'4JSON'!C490</f>
        <v>Medical administrative assistants</v>
      </c>
      <c r="D496" s="41">
        <f>ABS(D$5-(6-'4JSON'!D490))</f>
        <v>1</v>
      </c>
      <c r="E496" s="41">
        <f>ABS(E$5-(6-'4JSON'!E490))</f>
        <v>0</v>
      </c>
      <c r="F496" s="41">
        <f>ABS(F$5-(6-'4JSON'!F490))</f>
        <v>1</v>
      </c>
      <c r="G496" s="41">
        <f>ABS(G$5-(6-'4JSON'!G490))</f>
        <v>1</v>
      </c>
      <c r="H496" s="41">
        <f>ABS(H$5-(6-'4JSON'!H490))</f>
        <v>2</v>
      </c>
      <c r="I496" s="41">
        <f>ABS(I$5-(6-'4JSON'!I490))</f>
        <v>0</v>
      </c>
      <c r="J496" s="41">
        <f>ABS(J$5-(6-'4JSON'!J490))</f>
        <v>0</v>
      </c>
      <c r="K496" s="41">
        <f>ABS(K$5-(6-'4JSON'!K490))</f>
        <v>0</v>
      </c>
      <c r="L496" s="41">
        <f>ABS(L$5-(6-'4JSON'!L490))</f>
        <v>1</v>
      </c>
      <c r="M496" s="36">
        <f t="shared" si="1"/>
        <v>6</v>
      </c>
      <c r="N496" s="42">
        <f t="shared" si="2"/>
        <v>0.8333333333</v>
      </c>
      <c r="S496" s="35">
        <f>IFERROR(__xludf.DUMMYFUNCTION("""COMPUTED_VALUE"""),4162.0)</f>
        <v>4162</v>
      </c>
    </row>
    <row r="497">
      <c r="A497" s="35">
        <f>'4JSON'!A491</f>
        <v>3211</v>
      </c>
      <c r="B497" s="25" t="str">
        <f>'4JSON'!B491</f>
        <v>Medical Laboratory Technologists</v>
      </c>
      <c r="C497" s="41" t="str">
        <f>'4JSON'!C491</f>
        <v>Medical laboratory technologists</v>
      </c>
      <c r="D497" s="41">
        <f>ABS(D$5-(6-'4JSON'!D491))</f>
        <v>2</v>
      </c>
      <c r="E497" s="41">
        <f>ABS(E$5-(6-'4JSON'!E491))</f>
        <v>1</v>
      </c>
      <c r="F497" s="41">
        <f>ABS(F$5-(6-'4JSON'!F491))</f>
        <v>1</v>
      </c>
      <c r="G497" s="41">
        <f>ABS(G$5-(6-'4JSON'!G491))</f>
        <v>0</v>
      </c>
      <c r="H497" s="41">
        <f>ABS(H$5-(6-'4JSON'!H491))</f>
        <v>0</v>
      </c>
      <c r="I497" s="41">
        <f>ABS(I$5-(6-'4JSON'!I491))</f>
        <v>0</v>
      </c>
      <c r="J497" s="41">
        <f>ABS(J$5-(6-'4JSON'!J491))</f>
        <v>0</v>
      </c>
      <c r="K497" s="41">
        <f>ABS(K$5-(6-'4JSON'!K491))</f>
        <v>0</v>
      </c>
      <c r="L497" s="41">
        <f>ABS(L$5-(6-'4JSON'!L491))</f>
        <v>0</v>
      </c>
      <c r="M497" s="36">
        <f t="shared" si="1"/>
        <v>4</v>
      </c>
      <c r="N497" s="42">
        <f t="shared" si="2"/>
        <v>0.8888888889</v>
      </c>
      <c r="S497" s="35">
        <f>IFERROR(__xludf.DUMMYFUNCTION("""COMPUTED_VALUE"""),1254.0)</f>
        <v>1254</v>
      </c>
    </row>
    <row r="498">
      <c r="A498" s="35">
        <f>'4JSON'!A492</f>
        <v>1243</v>
      </c>
      <c r="B498" s="25" t="str">
        <f>'4JSON'!B492</f>
        <v>Medical Secretaries</v>
      </c>
      <c r="C498" s="41" t="str">
        <f>'4JSON'!C492</f>
        <v>Medical administrative assistants</v>
      </c>
      <c r="D498" s="41">
        <f>ABS(D$5-(6-'4JSON'!D492))</f>
        <v>1</v>
      </c>
      <c r="E498" s="41">
        <f>ABS(E$5-(6-'4JSON'!E492))</f>
        <v>0</v>
      </c>
      <c r="F498" s="41">
        <f>ABS(F$5-(6-'4JSON'!F492))</f>
        <v>0</v>
      </c>
      <c r="G498" s="41">
        <f>ABS(G$5-(6-'4JSON'!G492))</f>
        <v>1</v>
      </c>
      <c r="H498" s="41">
        <f>ABS(H$5-(6-'4JSON'!H492))</f>
        <v>1</v>
      </c>
      <c r="I498" s="41">
        <f>ABS(I$5-(6-'4JSON'!I492))</f>
        <v>1</v>
      </c>
      <c r="J498" s="41">
        <f>ABS(J$5-(6-'4JSON'!J492))</f>
        <v>0</v>
      </c>
      <c r="K498" s="41">
        <f>ABS(K$5-(6-'4JSON'!K492))</f>
        <v>0</v>
      </c>
      <c r="L498" s="41">
        <f>ABS(L$5-(6-'4JSON'!L492))</f>
        <v>0</v>
      </c>
      <c r="M498" s="36">
        <f t="shared" si="1"/>
        <v>4</v>
      </c>
      <c r="N498" s="42">
        <f t="shared" si="2"/>
        <v>0.8888888889</v>
      </c>
      <c r="S498" s="35">
        <f>IFERROR(__xludf.DUMMYFUNCTION("""COMPUTED_VALUE"""),111.0)</f>
        <v>111</v>
      </c>
    </row>
    <row r="499">
      <c r="A499" s="35">
        <f>'4JSON'!A493</f>
        <v>9412</v>
      </c>
      <c r="B499" s="25" t="str">
        <f>'4JSON'!B493</f>
        <v>Manual Coremakers</v>
      </c>
      <c r="C499" s="41" t="str">
        <f>'4JSON'!C493</f>
        <v>Foundry workers</v>
      </c>
      <c r="D499" s="41">
        <f>ABS(D$5-(6-'4JSON'!D493))</f>
        <v>0</v>
      </c>
      <c r="E499" s="41">
        <f>ABS(E$5-(6-'4JSON'!E493))</f>
        <v>1</v>
      </c>
      <c r="F499" s="41">
        <f>ABS(F$5-(6-'4JSON'!F493))</f>
        <v>1</v>
      </c>
      <c r="G499" s="41">
        <f>ABS(G$5-(6-'4JSON'!G493))</f>
        <v>1</v>
      </c>
      <c r="H499" s="41">
        <f>ABS(H$5-(6-'4JSON'!H493))</f>
        <v>1</v>
      </c>
      <c r="I499" s="41">
        <f>ABS(I$5-(6-'4JSON'!I493))</f>
        <v>1</v>
      </c>
      <c r="J499" s="41">
        <f>ABS(J$5-(6-'4JSON'!J493))</f>
        <v>0</v>
      </c>
      <c r="K499" s="41">
        <f>ABS(K$5-(6-'4JSON'!K493))</f>
        <v>1</v>
      </c>
      <c r="L499" s="41">
        <f>ABS(L$5-(6-'4JSON'!L493))</f>
        <v>0</v>
      </c>
      <c r="M499" s="36">
        <f t="shared" si="1"/>
        <v>6</v>
      </c>
      <c r="N499" s="42">
        <f t="shared" si="2"/>
        <v>0.8333333333</v>
      </c>
      <c r="S499" s="35">
        <f>IFERROR(__xludf.DUMMYFUNCTION("""COMPUTED_VALUE"""),112.0)</f>
        <v>112</v>
      </c>
    </row>
    <row r="500">
      <c r="A500" s="35">
        <f>'4JSON'!A494</f>
        <v>2262</v>
      </c>
      <c r="B500" s="25" t="str">
        <f>'4JSON'!B494</f>
        <v>Motor Vehicle Defects Investigators</v>
      </c>
      <c r="C500" s="41" t="str">
        <f>'4JSON'!C494</f>
        <v>Engineering inspectors and regulatory officers</v>
      </c>
      <c r="D500" s="41">
        <f>ABS(D$5-(6-'4JSON'!D494))</f>
        <v>2</v>
      </c>
      <c r="E500" s="41">
        <f>ABS(E$5-(6-'4JSON'!E494))</f>
        <v>0</v>
      </c>
      <c r="F500" s="41">
        <f>ABS(F$5-(6-'4JSON'!F494))</f>
        <v>0</v>
      </c>
      <c r="G500" s="41">
        <f>ABS(G$5-(6-'4JSON'!G494))</f>
        <v>0</v>
      </c>
      <c r="H500" s="41">
        <f>ABS(H$5-(6-'4JSON'!H494))</f>
        <v>1</v>
      </c>
      <c r="I500" s="41">
        <f>ABS(I$5-(6-'4JSON'!I494))</f>
        <v>0</v>
      </c>
      <c r="J500" s="41">
        <f>ABS(J$5-(6-'4JSON'!J494))</f>
        <v>1</v>
      </c>
      <c r="K500" s="41">
        <f>ABS(K$5-(6-'4JSON'!K494))</f>
        <v>1</v>
      </c>
      <c r="L500" s="41">
        <f>ABS(L$5-(6-'4JSON'!L494))</f>
        <v>1</v>
      </c>
      <c r="M500" s="36">
        <f t="shared" si="1"/>
        <v>6</v>
      </c>
      <c r="N500" s="42">
        <f t="shared" si="2"/>
        <v>0.8333333333</v>
      </c>
      <c r="S500" s="35">
        <f>IFERROR(__xludf.DUMMYFUNCTION("""COMPUTED_VALUE"""),1112.0)</f>
        <v>1112</v>
      </c>
    </row>
    <row r="501">
      <c r="A501" s="35">
        <f>'4JSON'!A495</f>
        <v>2261</v>
      </c>
      <c r="B501" s="25" t="str">
        <f>'4JSON'!B495</f>
        <v>Nondestructive Testers and Inspectors</v>
      </c>
      <c r="C501" s="41" t="str">
        <f>'4JSON'!C495</f>
        <v>Non-destructive testers and inspection technicians</v>
      </c>
      <c r="D501" s="41">
        <f>ABS(D$5-(6-'4JSON'!D495))</f>
        <v>1</v>
      </c>
      <c r="E501" s="41">
        <f>ABS(E$5-(6-'4JSON'!E495))</f>
        <v>0</v>
      </c>
      <c r="F501" s="41">
        <f>ABS(F$5-(6-'4JSON'!F495))</f>
        <v>0</v>
      </c>
      <c r="G501" s="41">
        <f>ABS(G$5-(6-'4JSON'!G495))</f>
        <v>0</v>
      </c>
      <c r="H501" s="41">
        <f>ABS(H$5-(6-'4JSON'!H495))</f>
        <v>1</v>
      </c>
      <c r="I501" s="41">
        <f>ABS(I$5-(6-'4JSON'!I495))</f>
        <v>1</v>
      </c>
      <c r="J501" s="41">
        <f>ABS(J$5-(6-'4JSON'!J495))</f>
        <v>0</v>
      </c>
      <c r="K501" s="41">
        <f>ABS(K$5-(6-'4JSON'!K495))</f>
        <v>1</v>
      </c>
      <c r="L501" s="41">
        <f>ABS(L$5-(6-'4JSON'!L495))</f>
        <v>0</v>
      </c>
      <c r="M501" s="36">
        <f t="shared" si="1"/>
        <v>4</v>
      </c>
      <c r="N501" s="42">
        <f t="shared" si="2"/>
        <v>0.8888888889</v>
      </c>
      <c r="S501" s="35">
        <f>IFERROR(__xludf.DUMMYFUNCTION("""COMPUTED_VALUE"""),4111.0)</f>
        <v>4111</v>
      </c>
    </row>
    <row r="502">
      <c r="A502" s="35">
        <f>'4JSON'!A496</f>
        <v>3215</v>
      </c>
      <c r="B502" s="25" t="str">
        <f>'4JSON'!B496</f>
        <v>Nuclear Medicine Technologists</v>
      </c>
      <c r="C502" s="41" t="str">
        <f>'4JSON'!C496</f>
        <v>Medical radiation technologists</v>
      </c>
      <c r="D502" s="41">
        <f>ABS(D$5-(6-'4JSON'!D496))</f>
        <v>2</v>
      </c>
      <c r="E502" s="41">
        <f>ABS(E$5-(6-'4JSON'!E496))</f>
        <v>1</v>
      </c>
      <c r="F502" s="41">
        <f>ABS(F$5-(6-'4JSON'!F496))</f>
        <v>0</v>
      </c>
      <c r="G502" s="41">
        <f>ABS(G$5-(6-'4JSON'!G496))</f>
        <v>0</v>
      </c>
      <c r="H502" s="41">
        <f>ABS(H$5-(6-'4JSON'!H496))</f>
        <v>0</v>
      </c>
      <c r="I502" s="41">
        <f>ABS(I$5-(6-'4JSON'!I496))</f>
        <v>1</v>
      </c>
      <c r="J502" s="41">
        <f>ABS(J$5-(6-'4JSON'!J496))</f>
        <v>0</v>
      </c>
      <c r="K502" s="41">
        <f>ABS(K$5-(6-'4JSON'!K496))</f>
        <v>0</v>
      </c>
      <c r="L502" s="41">
        <f>ABS(L$5-(6-'4JSON'!L496))</f>
        <v>0</v>
      </c>
      <c r="M502" s="36">
        <f t="shared" si="1"/>
        <v>4</v>
      </c>
      <c r="N502" s="42">
        <f t="shared" si="2"/>
        <v>0.8888888889</v>
      </c>
      <c r="S502" s="35">
        <f>IFERROR(__xludf.DUMMYFUNCTION("""COMPUTED_VALUE"""),311.0)</f>
        <v>311</v>
      </c>
    </row>
    <row r="503">
      <c r="A503" s="35">
        <f>'4JSON'!A497</f>
        <v>9526</v>
      </c>
      <c r="B503" s="25" t="str">
        <f>'4JSON'!B497</f>
        <v>Mechanical Assemblers</v>
      </c>
      <c r="C503" s="41" t="str">
        <f>'4JSON'!C497</f>
        <v>Mechanical assemblers and inspectors</v>
      </c>
      <c r="D503" s="41">
        <f>ABS(D$5-(6-'4JSON'!D497))</f>
        <v>0</v>
      </c>
      <c r="E503" s="41">
        <f>ABS(E$5-(6-'4JSON'!E497))</f>
        <v>1</v>
      </c>
      <c r="F503" s="41">
        <f>ABS(F$5-(6-'4JSON'!F497))</f>
        <v>1</v>
      </c>
      <c r="G503" s="41">
        <f>ABS(G$5-(6-'4JSON'!G497))</f>
        <v>1</v>
      </c>
      <c r="H503" s="41">
        <f>ABS(H$5-(6-'4JSON'!H497))</f>
        <v>1</v>
      </c>
      <c r="I503" s="41">
        <f>ABS(I$5-(6-'4JSON'!I497))</f>
        <v>1</v>
      </c>
      <c r="J503" s="41">
        <f>ABS(J$5-(6-'4JSON'!J497))</f>
        <v>0</v>
      </c>
      <c r="K503" s="41">
        <f>ABS(K$5-(6-'4JSON'!K497))</f>
        <v>1</v>
      </c>
      <c r="L503" s="41">
        <f>ABS(L$5-(6-'4JSON'!L497))</f>
        <v>0</v>
      </c>
      <c r="M503" s="36">
        <f t="shared" si="1"/>
        <v>6</v>
      </c>
      <c r="N503" s="42">
        <f t="shared" si="2"/>
        <v>0.8333333333</v>
      </c>
      <c r="S503" s="35">
        <f>IFERROR(__xludf.DUMMYFUNCTION("""COMPUTED_VALUE"""),12.0)</f>
        <v>12</v>
      </c>
    </row>
    <row r="504">
      <c r="A504" s="35">
        <f>'4JSON'!A498</f>
        <v>8232</v>
      </c>
      <c r="B504" s="25" t="str">
        <f>'4JSON'!B498</f>
        <v>Oil and Gas Well Loggers, Testers and Related Workers</v>
      </c>
      <c r="C504" s="41" t="str">
        <f>'4JSON'!C498</f>
        <v>Oil and gas well drillers, servicers, testers and related workers</v>
      </c>
      <c r="D504" s="41">
        <f>ABS(D$5-(6-'4JSON'!D498))</f>
        <v>1</v>
      </c>
      <c r="E504" s="41">
        <f>ABS(E$5-(6-'4JSON'!E498))</f>
        <v>0</v>
      </c>
      <c r="F504" s="41">
        <f>ABS(F$5-(6-'4JSON'!F498))</f>
        <v>1</v>
      </c>
      <c r="G504" s="41">
        <f>ABS(G$5-(6-'4JSON'!G498))</f>
        <v>0</v>
      </c>
      <c r="H504" s="41">
        <f>ABS(H$5-(6-'4JSON'!H498))</f>
        <v>2</v>
      </c>
      <c r="I504" s="41">
        <f>ABS(I$5-(6-'4JSON'!I498))</f>
        <v>1</v>
      </c>
      <c r="J504" s="41">
        <f>ABS(J$5-(6-'4JSON'!J498))</f>
        <v>0</v>
      </c>
      <c r="K504" s="41">
        <f>ABS(K$5-(6-'4JSON'!K498))</f>
        <v>1</v>
      </c>
      <c r="L504" s="41">
        <f>ABS(L$5-(6-'4JSON'!L498))</f>
        <v>0</v>
      </c>
      <c r="M504" s="36">
        <f t="shared" si="1"/>
        <v>6</v>
      </c>
      <c r="N504" s="42">
        <f t="shared" si="2"/>
        <v>0.8333333333</v>
      </c>
      <c r="S504" s="35">
        <f>IFERROR(__xludf.DUMMYFUNCTION("""COMPUTED_VALUE"""),13.0)</f>
        <v>13</v>
      </c>
    </row>
    <row r="505">
      <c r="A505" s="35">
        <f>'4JSON'!A499</f>
        <v>3414</v>
      </c>
      <c r="B505" s="25" t="str">
        <f>'4JSON'!B499</f>
        <v>Morgue Attendants</v>
      </c>
      <c r="C505" s="41" t="str">
        <f>'4JSON'!C499</f>
        <v>Other assisting occupations in support of health services</v>
      </c>
      <c r="D505" s="41">
        <f>ABS(D$5-(6-'4JSON'!D499))</f>
        <v>1</v>
      </c>
      <c r="E505" s="41">
        <f>ABS(E$5-(6-'4JSON'!E499))</f>
        <v>1</v>
      </c>
      <c r="F505" s="41">
        <f>ABS(F$5-(6-'4JSON'!F499))</f>
        <v>1</v>
      </c>
      <c r="G505" s="41">
        <f>ABS(G$5-(6-'4JSON'!G499))</f>
        <v>1</v>
      </c>
      <c r="H505" s="41">
        <f>ABS(H$5-(6-'4JSON'!H499))</f>
        <v>2</v>
      </c>
      <c r="I505" s="41">
        <f>ABS(I$5-(6-'4JSON'!I499))</f>
        <v>1</v>
      </c>
      <c r="J505" s="41">
        <f>ABS(J$5-(6-'4JSON'!J499))</f>
        <v>1</v>
      </c>
      <c r="K505" s="41">
        <f>ABS(K$5-(6-'4JSON'!K499))</f>
        <v>0</v>
      </c>
      <c r="L505" s="41">
        <f>ABS(L$5-(6-'4JSON'!L499))</f>
        <v>0</v>
      </c>
      <c r="M505" s="36">
        <f t="shared" si="1"/>
        <v>8</v>
      </c>
      <c r="N505" s="42">
        <f t="shared" si="2"/>
        <v>0.7777777778</v>
      </c>
      <c r="S505" s="35">
        <f>IFERROR(__xludf.DUMMYFUNCTION("""COMPUTED_VALUE"""),14.0)</f>
        <v>14</v>
      </c>
    </row>
    <row r="506">
      <c r="A506" s="35">
        <f>'4JSON'!A500</f>
        <v>3233</v>
      </c>
      <c r="B506" s="25" t="str">
        <f>'4JSON'!B500</f>
        <v>Operating Room Technicians</v>
      </c>
      <c r="C506" s="41" t="str">
        <f>'4JSON'!C500</f>
        <v>Licensed practical nurses</v>
      </c>
      <c r="D506" s="41">
        <f>ABS(D$5-(6-'4JSON'!D500))</f>
        <v>1</v>
      </c>
      <c r="E506" s="41">
        <f>ABS(E$5-(6-'4JSON'!E500))</f>
        <v>0</v>
      </c>
      <c r="F506" s="41">
        <f>ABS(F$5-(6-'4JSON'!F500))</f>
        <v>1</v>
      </c>
      <c r="G506" s="41">
        <f>ABS(G$5-(6-'4JSON'!G500))</f>
        <v>1</v>
      </c>
      <c r="H506" s="41">
        <f>ABS(H$5-(6-'4JSON'!H500))</f>
        <v>2</v>
      </c>
      <c r="I506" s="41">
        <f>ABS(I$5-(6-'4JSON'!I500))</f>
        <v>1</v>
      </c>
      <c r="J506" s="41">
        <f>ABS(J$5-(6-'4JSON'!J500))</f>
        <v>0</v>
      </c>
      <c r="K506" s="41">
        <f>ABS(K$5-(6-'4JSON'!K500))</f>
        <v>0</v>
      </c>
      <c r="L506" s="41">
        <f>ABS(L$5-(6-'4JSON'!L500))</f>
        <v>0</v>
      </c>
      <c r="M506" s="36">
        <f t="shared" si="1"/>
        <v>6</v>
      </c>
      <c r="N506" s="42">
        <f t="shared" si="2"/>
        <v>0.8333333333</v>
      </c>
    </row>
    <row r="507">
      <c r="A507" s="35">
        <f>'4JSON'!A501</f>
        <v>3231</v>
      </c>
      <c r="B507" s="25" t="str">
        <f>'4JSON'!B501</f>
        <v>Opticians</v>
      </c>
      <c r="C507" s="41" t="str">
        <f>'4JSON'!C501</f>
        <v>Opticians</v>
      </c>
      <c r="D507" s="41">
        <f>ABS(D$5-(6-'4JSON'!D501))</f>
        <v>1</v>
      </c>
      <c r="E507" s="41">
        <f>ABS(E$5-(6-'4JSON'!E501))</f>
        <v>0</v>
      </c>
      <c r="F507" s="41">
        <f>ABS(F$5-(6-'4JSON'!F501))</f>
        <v>0</v>
      </c>
      <c r="G507" s="41">
        <f>ABS(G$5-(6-'4JSON'!G501))</f>
        <v>0</v>
      </c>
      <c r="H507" s="41">
        <f>ABS(H$5-(6-'4JSON'!H501))</f>
        <v>1</v>
      </c>
      <c r="I507" s="41">
        <f>ABS(I$5-(6-'4JSON'!I501))</f>
        <v>1</v>
      </c>
      <c r="J507" s="41">
        <f>ABS(J$5-(6-'4JSON'!J501))</f>
        <v>0</v>
      </c>
      <c r="K507" s="41">
        <f>ABS(K$5-(6-'4JSON'!K501))</f>
        <v>1</v>
      </c>
      <c r="L507" s="41">
        <f>ABS(L$5-(6-'4JSON'!L501))</f>
        <v>0</v>
      </c>
      <c r="M507" s="36">
        <f t="shared" si="1"/>
        <v>4</v>
      </c>
      <c r="N507" s="42">
        <f t="shared" si="2"/>
        <v>0.8888888889</v>
      </c>
    </row>
    <row r="508">
      <c r="A508" s="35">
        <f>'4JSON'!A502</f>
        <v>8412</v>
      </c>
      <c r="B508" s="25" t="str">
        <f>'4JSON'!B502</f>
        <v>Oil and Gas Well Drilling Workers</v>
      </c>
      <c r="C508" s="41" t="str">
        <f>'4JSON'!C502</f>
        <v>Oil and gas well drilling and related workers and services operators</v>
      </c>
      <c r="D508" s="41">
        <f>ABS(D$5-(6-'4JSON'!D502))</f>
        <v>1</v>
      </c>
      <c r="E508" s="41">
        <f>ABS(E$5-(6-'4JSON'!E502))</f>
        <v>1</v>
      </c>
      <c r="F508" s="41">
        <f>ABS(F$5-(6-'4JSON'!F502))</f>
        <v>1</v>
      </c>
      <c r="G508" s="41">
        <f>ABS(G$5-(6-'4JSON'!G502))</f>
        <v>1</v>
      </c>
      <c r="H508" s="41">
        <f>ABS(H$5-(6-'4JSON'!H502))</f>
        <v>2</v>
      </c>
      <c r="I508" s="41">
        <f>ABS(I$5-(6-'4JSON'!I502))</f>
        <v>1</v>
      </c>
      <c r="J508" s="41">
        <f>ABS(J$5-(6-'4JSON'!J502))</f>
        <v>0</v>
      </c>
      <c r="K508" s="41">
        <f>ABS(K$5-(6-'4JSON'!K502))</f>
        <v>1</v>
      </c>
      <c r="L508" s="41">
        <f>ABS(L$5-(6-'4JSON'!L502))</f>
        <v>0</v>
      </c>
      <c r="M508" s="36">
        <f t="shared" si="1"/>
        <v>8</v>
      </c>
      <c r="N508" s="42">
        <f t="shared" si="2"/>
        <v>0.7777777778</v>
      </c>
    </row>
    <row r="509">
      <c r="A509" s="35">
        <f>'4JSON'!A503</f>
        <v>8412</v>
      </c>
      <c r="B509" s="25" t="str">
        <f>'4JSON'!B503</f>
        <v>Oil and Gas Well Services Operators</v>
      </c>
      <c r="C509" s="41" t="str">
        <f>'4JSON'!C503</f>
        <v>Oil and gas well drilling and related workers and services operators</v>
      </c>
      <c r="D509" s="41">
        <f>ABS(D$5-(6-'4JSON'!D503))</f>
        <v>1</v>
      </c>
      <c r="E509" s="41">
        <f>ABS(E$5-(6-'4JSON'!E503))</f>
        <v>1</v>
      </c>
      <c r="F509" s="41">
        <f>ABS(F$5-(6-'4JSON'!F503))</f>
        <v>1</v>
      </c>
      <c r="G509" s="41">
        <f>ABS(G$5-(6-'4JSON'!G503))</f>
        <v>1</v>
      </c>
      <c r="H509" s="41">
        <f>ABS(H$5-(6-'4JSON'!H503))</f>
        <v>2</v>
      </c>
      <c r="I509" s="41">
        <f>ABS(I$5-(6-'4JSON'!I503))</f>
        <v>1</v>
      </c>
      <c r="J509" s="41">
        <f>ABS(J$5-(6-'4JSON'!J503))</f>
        <v>0</v>
      </c>
      <c r="K509" s="41">
        <f>ABS(K$5-(6-'4JSON'!K503))</f>
        <v>1</v>
      </c>
      <c r="L509" s="41">
        <f>ABS(L$5-(6-'4JSON'!L503))</f>
        <v>0</v>
      </c>
      <c r="M509" s="36">
        <f t="shared" si="1"/>
        <v>8</v>
      </c>
      <c r="N509" s="42">
        <f t="shared" si="2"/>
        <v>0.7777777778</v>
      </c>
    </row>
    <row r="510">
      <c r="A510" s="35">
        <f>'4JSON'!A504</f>
        <v>7335</v>
      </c>
      <c r="B510" s="25" t="str">
        <f>'4JSON'!B504</f>
        <v>Other Small Engine and Equipment Mechanics</v>
      </c>
      <c r="C510" s="41" t="str">
        <f>'4JSON'!C504</f>
        <v>Other small engine and small equipment repairers</v>
      </c>
      <c r="D510" s="41">
        <f>ABS(D$5-(6-'4JSON'!D504))</f>
        <v>1</v>
      </c>
      <c r="E510" s="41">
        <f>ABS(E$5-(6-'4JSON'!E504))</f>
        <v>0</v>
      </c>
      <c r="F510" s="41">
        <f>ABS(F$5-(6-'4JSON'!F504))</f>
        <v>0</v>
      </c>
      <c r="G510" s="41">
        <f>ABS(G$5-(6-'4JSON'!G504))</f>
        <v>0</v>
      </c>
      <c r="H510" s="41">
        <f>ABS(H$5-(6-'4JSON'!H504))</f>
        <v>1</v>
      </c>
      <c r="I510" s="41">
        <f>ABS(I$5-(6-'4JSON'!I504))</f>
        <v>1</v>
      </c>
      <c r="J510" s="41">
        <f>ABS(J$5-(6-'4JSON'!J504))</f>
        <v>1</v>
      </c>
      <c r="K510" s="41">
        <f>ABS(K$5-(6-'4JSON'!K504))</f>
        <v>0</v>
      </c>
      <c r="L510" s="41">
        <f>ABS(L$5-(6-'4JSON'!L504))</f>
        <v>0</v>
      </c>
      <c r="M510" s="36">
        <f t="shared" si="1"/>
        <v>4</v>
      </c>
      <c r="N510" s="42">
        <f t="shared" si="2"/>
        <v>0.8888888889</v>
      </c>
    </row>
    <row r="511">
      <c r="A511" s="35">
        <f>'4JSON'!A505</f>
        <v>9537</v>
      </c>
      <c r="B511" s="25" t="str">
        <f>'4JSON'!B505</f>
        <v>Other Assemblers</v>
      </c>
      <c r="C511" s="41" t="str">
        <f>'4JSON'!C505</f>
        <v>Other products assemblers, finishers and inspectors</v>
      </c>
      <c r="D511" s="41">
        <f>ABS(D$5-(6-'4JSON'!D505))</f>
        <v>0</v>
      </c>
      <c r="E511" s="41">
        <f>ABS(E$5-(6-'4JSON'!E505))</f>
        <v>1</v>
      </c>
      <c r="F511" s="41">
        <f>ABS(F$5-(6-'4JSON'!F505))</f>
        <v>1</v>
      </c>
      <c r="G511" s="41">
        <f>ABS(G$5-(6-'4JSON'!G505))</f>
        <v>1</v>
      </c>
      <c r="H511" s="41">
        <f>ABS(H$5-(6-'4JSON'!H505))</f>
        <v>2</v>
      </c>
      <c r="I511" s="41">
        <f>ABS(I$5-(6-'4JSON'!I505))</f>
        <v>1</v>
      </c>
      <c r="J511" s="41">
        <f>ABS(J$5-(6-'4JSON'!J505))</f>
        <v>0</v>
      </c>
      <c r="K511" s="41">
        <f>ABS(K$5-(6-'4JSON'!K505))</f>
        <v>0</v>
      </c>
      <c r="L511" s="41">
        <f>ABS(L$5-(6-'4JSON'!L505))</f>
        <v>0</v>
      </c>
      <c r="M511" s="36">
        <f t="shared" si="1"/>
        <v>6</v>
      </c>
      <c r="N511" s="42">
        <f t="shared" si="2"/>
        <v>0.8333333333</v>
      </c>
    </row>
    <row r="512">
      <c r="A512" s="35">
        <f>'4JSON'!A506</f>
        <v>7294</v>
      </c>
      <c r="B512" s="25" t="str">
        <f>'4JSON'!B506</f>
        <v>Painters and Decorators</v>
      </c>
      <c r="C512" s="41" t="str">
        <f>'4JSON'!C506</f>
        <v>Painters and decorators (except interior decorators)</v>
      </c>
      <c r="D512" s="41">
        <f>ABS(D$5-(6-'4JSON'!D506))</f>
        <v>1</v>
      </c>
      <c r="E512" s="41">
        <f>ABS(E$5-(6-'4JSON'!E506))</f>
        <v>0</v>
      </c>
      <c r="F512" s="41">
        <f>ABS(F$5-(6-'4JSON'!F506))</f>
        <v>0</v>
      </c>
      <c r="G512" s="41">
        <f>ABS(G$5-(6-'4JSON'!G506))</f>
        <v>0</v>
      </c>
      <c r="H512" s="41">
        <f>ABS(H$5-(6-'4JSON'!H506))</f>
        <v>1</v>
      </c>
      <c r="I512" s="41">
        <f>ABS(I$5-(6-'4JSON'!I506))</f>
        <v>2</v>
      </c>
      <c r="J512" s="41">
        <f>ABS(J$5-(6-'4JSON'!J506))</f>
        <v>0</v>
      </c>
      <c r="K512" s="41">
        <f>ABS(K$5-(6-'4JSON'!K506))</f>
        <v>0</v>
      </c>
      <c r="L512" s="41">
        <f>ABS(L$5-(6-'4JSON'!L506))</f>
        <v>0</v>
      </c>
      <c r="M512" s="36">
        <f t="shared" si="1"/>
        <v>4</v>
      </c>
      <c r="N512" s="42">
        <f t="shared" si="2"/>
        <v>0.8888888889</v>
      </c>
    </row>
    <row r="513">
      <c r="A513" s="35">
        <f>'4JSON'!A507</f>
        <v>9537</v>
      </c>
      <c r="B513" s="25" t="str">
        <f>'4JSON'!B507</f>
        <v>Other Inspectors</v>
      </c>
      <c r="C513" s="41" t="str">
        <f>'4JSON'!C507</f>
        <v>Other products assemblers, finishers and inspectors</v>
      </c>
      <c r="D513" s="41">
        <f>ABS(D$5-(6-'4JSON'!D507))</f>
        <v>0</v>
      </c>
      <c r="E513" s="41">
        <f>ABS(E$5-(6-'4JSON'!E507))</f>
        <v>1</v>
      </c>
      <c r="F513" s="41">
        <f>ABS(F$5-(6-'4JSON'!F507))</f>
        <v>1</v>
      </c>
      <c r="G513" s="41">
        <f>ABS(G$5-(6-'4JSON'!G507))</f>
        <v>1</v>
      </c>
      <c r="H513" s="41">
        <f>ABS(H$5-(6-'4JSON'!H507))</f>
        <v>2</v>
      </c>
      <c r="I513" s="41">
        <f>ABS(I$5-(6-'4JSON'!I507))</f>
        <v>1</v>
      </c>
      <c r="J513" s="41">
        <f>ABS(J$5-(6-'4JSON'!J507))</f>
        <v>0</v>
      </c>
      <c r="K513" s="41">
        <f>ABS(K$5-(6-'4JSON'!K507))</f>
        <v>0</v>
      </c>
      <c r="L513" s="41">
        <f>ABS(L$5-(6-'4JSON'!L507))</f>
        <v>0</v>
      </c>
      <c r="M513" s="36">
        <f t="shared" si="1"/>
        <v>6</v>
      </c>
      <c r="N513" s="42">
        <f t="shared" si="2"/>
        <v>0.8333333333</v>
      </c>
    </row>
    <row r="514">
      <c r="A514" s="35">
        <f>'4JSON'!A508</f>
        <v>3212</v>
      </c>
      <c r="B514" s="25" t="str">
        <f>'4JSON'!B508</f>
        <v>Pathologists' Assistants</v>
      </c>
      <c r="C514" s="41" t="str">
        <f>'4JSON'!C508</f>
        <v>Medical laboratory technicians and pathologists' assistants</v>
      </c>
      <c r="D514" s="41">
        <f>ABS(D$5-(6-'4JSON'!D508))</f>
        <v>2</v>
      </c>
      <c r="E514" s="41">
        <f>ABS(E$5-(6-'4JSON'!E508))</f>
        <v>1</v>
      </c>
      <c r="F514" s="41">
        <f>ABS(F$5-(6-'4JSON'!F508))</f>
        <v>1</v>
      </c>
      <c r="G514" s="41">
        <f>ABS(G$5-(6-'4JSON'!G508))</f>
        <v>0</v>
      </c>
      <c r="H514" s="41">
        <f>ABS(H$5-(6-'4JSON'!H508))</f>
        <v>0</v>
      </c>
      <c r="I514" s="41">
        <f>ABS(I$5-(6-'4JSON'!I508))</f>
        <v>0</v>
      </c>
      <c r="J514" s="41">
        <f>ABS(J$5-(6-'4JSON'!J508))</f>
        <v>0</v>
      </c>
      <c r="K514" s="41">
        <f>ABS(K$5-(6-'4JSON'!K508))</f>
        <v>0</v>
      </c>
      <c r="L514" s="41">
        <f>ABS(L$5-(6-'4JSON'!L508))</f>
        <v>0</v>
      </c>
      <c r="M514" s="36">
        <f t="shared" si="1"/>
        <v>4</v>
      </c>
      <c r="N514" s="42">
        <f t="shared" si="2"/>
        <v>0.8888888889</v>
      </c>
    </row>
    <row r="515">
      <c r="A515" s="35">
        <f>'4JSON'!A509</f>
        <v>1432</v>
      </c>
      <c r="B515" s="25" t="str">
        <f>'4JSON'!B509</f>
        <v>Payroll Clerks</v>
      </c>
      <c r="C515" s="41" t="str">
        <f>'4JSON'!C509</f>
        <v>Payroll clerks</v>
      </c>
      <c r="D515" s="41">
        <f>ABS(D$5-(6-'4JSON'!D509))</f>
        <v>1</v>
      </c>
      <c r="E515" s="41">
        <f>ABS(E$5-(6-'4JSON'!E509))</f>
        <v>0</v>
      </c>
      <c r="F515" s="41">
        <f>ABS(F$5-(6-'4JSON'!F509))</f>
        <v>0</v>
      </c>
      <c r="G515" s="41">
        <f>ABS(G$5-(6-'4JSON'!G509))</f>
        <v>0</v>
      </c>
      <c r="H515" s="41">
        <f>ABS(H$5-(6-'4JSON'!H509))</f>
        <v>1</v>
      </c>
      <c r="I515" s="41">
        <f>ABS(I$5-(6-'4JSON'!I509))</f>
        <v>1</v>
      </c>
      <c r="J515" s="41">
        <f>ABS(J$5-(6-'4JSON'!J509))</f>
        <v>0</v>
      </c>
      <c r="K515" s="41">
        <f>ABS(K$5-(6-'4JSON'!K509))</f>
        <v>0</v>
      </c>
      <c r="L515" s="41">
        <f>ABS(L$5-(6-'4JSON'!L509))</f>
        <v>1</v>
      </c>
      <c r="M515" s="36">
        <f t="shared" si="1"/>
        <v>4</v>
      </c>
      <c r="N515" s="42">
        <f t="shared" si="2"/>
        <v>0.8888888889</v>
      </c>
    </row>
    <row r="516">
      <c r="A516" s="35">
        <f>'4JSON'!A510</f>
        <v>9434</v>
      </c>
      <c r="B516" s="25" t="str">
        <f>'4JSON'!B510</f>
        <v>Other Wood Processing Machine Operators</v>
      </c>
      <c r="C516" s="41" t="str">
        <f>'4JSON'!C510</f>
        <v>Other wood processing machine operators</v>
      </c>
      <c r="D516" s="41">
        <f>ABS(D$5-(6-'4JSON'!D510))</f>
        <v>1</v>
      </c>
      <c r="E516" s="41">
        <f>ABS(E$5-(6-'4JSON'!E510))</f>
        <v>1</v>
      </c>
      <c r="F516" s="41">
        <f>ABS(F$5-(6-'4JSON'!F510))</f>
        <v>1</v>
      </c>
      <c r="G516" s="41">
        <f>ABS(G$5-(6-'4JSON'!G510))</f>
        <v>1</v>
      </c>
      <c r="H516" s="41">
        <f>ABS(H$5-(6-'4JSON'!H510))</f>
        <v>2</v>
      </c>
      <c r="I516" s="41">
        <f>ABS(I$5-(6-'4JSON'!I510))</f>
        <v>1</v>
      </c>
      <c r="J516" s="41">
        <f>ABS(J$5-(6-'4JSON'!J510))</f>
        <v>0</v>
      </c>
      <c r="K516" s="41">
        <f>ABS(K$5-(6-'4JSON'!K510))</f>
        <v>1</v>
      </c>
      <c r="L516" s="41">
        <f>ABS(L$5-(6-'4JSON'!L510))</f>
        <v>0</v>
      </c>
      <c r="M516" s="36">
        <f t="shared" si="1"/>
        <v>8</v>
      </c>
      <c r="N516" s="42">
        <f t="shared" si="2"/>
        <v>0.7777777778</v>
      </c>
    </row>
    <row r="517">
      <c r="A517" s="35">
        <f>'4JSON'!A511</f>
        <v>9232</v>
      </c>
      <c r="B517" s="25" t="str">
        <f>'4JSON'!B511</f>
        <v>Petroleum, Gas and Chemical Process Operators</v>
      </c>
      <c r="C517" s="41" t="str">
        <f>'4JSON'!C511</f>
        <v>Petroleum, gas and chemical process operators</v>
      </c>
      <c r="D517" s="41">
        <f>ABS(D$5-(6-'4JSON'!D511))</f>
        <v>1</v>
      </c>
      <c r="E517" s="41">
        <f>ABS(E$5-(6-'4JSON'!E511))</f>
        <v>0</v>
      </c>
      <c r="F517" s="41">
        <f>ABS(F$5-(6-'4JSON'!F511))</f>
        <v>0</v>
      </c>
      <c r="G517" s="41">
        <f>ABS(G$5-(6-'4JSON'!G511))</f>
        <v>0</v>
      </c>
      <c r="H517" s="41">
        <f>ABS(H$5-(6-'4JSON'!H511))</f>
        <v>2</v>
      </c>
      <c r="I517" s="41">
        <f>ABS(I$5-(6-'4JSON'!I511))</f>
        <v>1</v>
      </c>
      <c r="J517" s="41">
        <f>ABS(J$5-(6-'4JSON'!J511))</f>
        <v>0</v>
      </c>
      <c r="K517" s="41">
        <f>ABS(K$5-(6-'4JSON'!K511))</f>
        <v>0</v>
      </c>
      <c r="L517" s="41">
        <f>ABS(L$5-(6-'4JSON'!L511))</f>
        <v>0</v>
      </c>
      <c r="M517" s="36">
        <f t="shared" si="1"/>
        <v>4</v>
      </c>
      <c r="N517" s="42">
        <f t="shared" si="2"/>
        <v>0.8888888889</v>
      </c>
    </row>
    <row r="518">
      <c r="A518" s="35">
        <f>'4JSON'!A512</f>
        <v>5212</v>
      </c>
      <c r="B518" s="25" t="str">
        <f>'4JSON'!B512</f>
        <v>Picture Framers</v>
      </c>
      <c r="C518" s="41" t="str">
        <f>'4JSON'!C512</f>
        <v>Technical occupations related to museums and art galleries</v>
      </c>
      <c r="D518" s="41">
        <f>ABS(D$5-(6-'4JSON'!D512))</f>
        <v>1</v>
      </c>
      <c r="E518" s="41">
        <f>ABS(E$5-(6-'4JSON'!E512))</f>
        <v>0</v>
      </c>
      <c r="F518" s="41">
        <f>ABS(F$5-(6-'4JSON'!F512))</f>
        <v>0</v>
      </c>
      <c r="G518" s="41">
        <f>ABS(G$5-(6-'4JSON'!G512))</f>
        <v>0</v>
      </c>
      <c r="H518" s="41">
        <f>ABS(H$5-(6-'4JSON'!H512))</f>
        <v>2</v>
      </c>
      <c r="I518" s="41">
        <f>ABS(I$5-(6-'4JSON'!I512))</f>
        <v>1</v>
      </c>
      <c r="J518" s="41">
        <f>ABS(J$5-(6-'4JSON'!J512))</f>
        <v>0</v>
      </c>
      <c r="K518" s="41">
        <f>ABS(K$5-(6-'4JSON'!K512))</f>
        <v>0</v>
      </c>
      <c r="L518" s="41">
        <f>ABS(L$5-(6-'4JSON'!L512))</f>
        <v>0</v>
      </c>
      <c r="M518" s="36">
        <f t="shared" si="1"/>
        <v>4</v>
      </c>
      <c r="N518" s="42">
        <f t="shared" si="2"/>
        <v>0.8888888889</v>
      </c>
    </row>
    <row r="519">
      <c r="A519" s="35">
        <f>'4JSON'!A513</f>
        <v>9435</v>
      </c>
      <c r="B519" s="25" t="str">
        <f>'4JSON'!B513</f>
        <v>Paper Converting Machine Operators</v>
      </c>
      <c r="C519" s="41" t="str">
        <f>'4JSON'!C513</f>
        <v>Paper converting machine operators</v>
      </c>
      <c r="D519" s="41">
        <f>ABS(D$5-(6-'4JSON'!D513))</f>
        <v>0</v>
      </c>
      <c r="E519" s="41">
        <f>ABS(E$5-(6-'4JSON'!E513))</f>
        <v>1</v>
      </c>
      <c r="F519" s="41">
        <f>ABS(F$5-(6-'4JSON'!F513))</f>
        <v>1</v>
      </c>
      <c r="G519" s="41">
        <f>ABS(G$5-(6-'4JSON'!G513))</f>
        <v>0</v>
      </c>
      <c r="H519" s="41">
        <f>ABS(H$5-(6-'4JSON'!H513))</f>
        <v>1</v>
      </c>
      <c r="I519" s="41">
        <f>ABS(I$5-(6-'4JSON'!I513))</f>
        <v>1</v>
      </c>
      <c r="J519" s="41">
        <f>ABS(J$5-(6-'4JSON'!J513))</f>
        <v>1</v>
      </c>
      <c r="K519" s="41">
        <f>ABS(K$5-(6-'4JSON'!K513))</f>
        <v>1</v>
      </c>
      <c r="L519" s="41">
        <f>ABS(L$5-(6-'4JSON'!L513))</f>
        <v>0</v>
      </c>
      <c r="M519" s="36">
        <f t="shared" si="1"/>
        <v>6</v>
      </c>
      <c r="N519" s="42">
        <f t="shared" si="2"/>
        <v>0.8333333333</v>
      </c>
    </row>
    <row r="520">
      <c r="A520" s="35">
        <f>'4JSON'!A514</f>
        <v>4311</v>
      </c>
      <c r="B520" s="25" t="str">
        <f>'4JSON'!B514</f>
        <v>Police Officers (Except Commissioned)</v>
      </c>
      <c r="C520" s="41" t="str">
        <f>'4JSON'!C514</f>
        <v>Police officers (except commissioned)</v>
      </c>
      <c r="D520" s="41">
        <f>ABS(D$5-(6-'4JSON'!D514))</f>
        <v>1</v>
      </c>
      <c r="E520" s="41">
        <f>ABS(E$5-(6-'4JSON'!E514))</f>
        <v>0</v>
      </c>
      <c r="F520" s="41">
        <f>ABS(F$5-(6-'4JSON'!F514))</f>
        <v>0</v>
      </c>
      <c r="G520" s="41">
        <f>ABS(G$5-(6-'4JSON'!G514))</f>
        <v>0</v>
      </c>
      <c r="H520" s="41">
        <f>ABS(H$5-(6-'4JSON'!H514))</f>
        <v>1</v>
      </c>
      <c r="I520" s="41">
        <f>ABS(I$5-(6-'4JSON'!I514))</f>
        <v>1</v>
      </c>
      <c r="J520" s="41">
        <f>ABS(J$5-(6-'4JSON'!J514))</f>
        <v>0</v>
      </c>
      <c r="K520" s="41">
        <f>ABS(K$5-(6-'4JSON'!K514))</f>
        <v>1</v>
      </c>
      <c r="L520" s="41">
        <f>ABS(L$5-(6-'4JSON'!L514))</f>
        <v>0</v>
      </c>
      <c r="M520" s="36">
        <f t="shared" si="1"/>
        <v>4</v>
      </c>
      <c r="N520" s="42">
        <f t="shared" si="2"/>
        <v>0.8888888889</v>
      </c>
    </row>
    <row r="521">
      <c r="A521" s="35">
        <f>'4JSON'!A515</f>
        <v>6563</v>
      </c>
      <c r="B521" s="25" t="str">
        <f>'4JSON'!B515</f>
        <v>Pet Groomers and Animal Care Workers</v>
      </c>
      <c r="C521" s="41" t="str">
        <f>'4JSON'!C515</f>
        <v>Pet groomers and animal care workers</v>
      </c>
      <c r="D521" s="41">
        <f>ABS(D$5-(6-'4JSON'!D515))</f>
        <v>0</v>
      </c>
      <c r="E521" s="41">
        <f>ABS(E$5-(6-'4JSON'!E515))</f>
        <v>1</v>
      </c>
      <c r="F521" s="41">
        <f>ABS(F$5-(6-'4JSON'!F515))</f>
        <v>1</v>
      </c>
      <c r="G521" s="41">
        <f>ABS(G$5-(6-'4JSON'!G515))</f>
        <v>1</v>
      </c>
      <c r="H521" s="41">
        <f>ABS(H$5-(6-'4JSON'!H515))</f>
        <v>2</v>
      </c>
      <c r="I521" s="41">
        <f>ABS(I$5-(6-'4JSON'!I515))</f>
        <v>1</v>
      </c>
      <c r="J521" s="41">
        <f>ABS(J$5-(6-'4JSON'!J515))</f>
        <v>0</v>
      </c>
      <c r="K521" s="41">
        <f>ABS(K$5-(6-'4JSON'!K515))</f>
        <v>0</v>
      </c>
      <c r="L521" s="41">
        <f>ABS(L$5-(6-'4JSON'!L515))</f>
        <v>0</v>
      </c>
      <c r="M521" s="36">
        <f t="shared" si="1"/>
        <v>6</v>
      </c>
      <c r="N521" s="42">
        <f t="shared" si="2"/>
        <v>0.8333333333</v>
      </c>
    </row>
    <row r="522">
      <c r="A522" s="35">
        <f>'4JSON'!A516</f>
        <v>7284</v>
      </c>
      <c r="B522" s="25" t="str">
        <f>'4JSON'!B516</f>
        <v>Plasterers</v>
      </c>
      <c r="C522" s="41" t="str">
        <f>'4JSON'!C516</f>
        <v>Plasterers, drywall installers and finishers and lathers</v>
      </c>
      <c r="D522" s="41">
        <f>ABS(D$5-(6-'4JSON'!D516))</f>
        <v>1</v>
      </c>
      <c r="E522" s="41">
        <f>ABS(E$5-(6-'4JSON'!E516))</f>
        <v>1</v>
      </c>
      <c r="F522" s="41">
        <f>ABS(F$5-(6-'4JSON'!F516))</f>
        <v>1</v>
      </c>
      <c r="G522" s="41">
        <f>ABS(G$5-(6-'4JSON'!G516))</f>
        <v>0</v>
      </c>
      <c r="H522" s="41">
        <f>ABS(H$5-(6-'4JSON'!H516))</f>
        <v>2</v>
      </c>
      <c r="I522" s="41">
        <f>ABS(I$5-(6-'4JSON'!I516))</f>
        <v>2</v>
      </c>
      <c r="J522" s="41">
        <f>ABS(J$5-(6-'4JSON'!J516))</f>
        <v>0</v>
      </c>
      <c r="K522" s="41">
        <f>ABS(K$5-(6-'4JSON'!K516))</f>
        <v>1</v>
      </c>
      <c r="L522" s="41">
        <f>ABS(L$5-(6-'4JSON'!L516))</f>
        <v>0</v>
      </c>
      <c r="M522" s="36">
        <f t="shared" si="1"/>
        <v>8</v>
      </c>
      <c r="N522" s="42">
        <f t="shared" si="2"/>
        <v>0.7777777778</v>
      </c>
    </row>
    <row r="523">
      <c r="A523" s="35">
        <f>'4JSON'!A517</f>
        <v>2262</v>
      </c>
      <c r="B523" s="25" t="str">
        <f>'4JSON'!B517</f>
        <v>Railway Accident Investigation Officers</v>
      </c>
      <c r="C523" s="41" t="str">
        <f>'4JSON'!C517</f>
        <v>Engineering inspectors and regulatory officers</v>
      </c>
      <c r="D523" s="41">
        <f>ABS(D$5-(6-'4JSON'!D517))</f>
        <v>2</v>
      </c>
      <c r="E523" s="41">
        <f>ABS(E$5-(6-'4JSON'!E517))</f>
        <v>0</v>
      </c>
      <c r="F523" s="41">
        <f>ABS(F$5-(6-'4JSON'!F517))</f>
        <v>0</v>
      </c>
      <c r="G523" s="41">
        <f>ABS(G$5-(6-'4JSON'!G517))</f>
        <v>0</v>
      </c>
      <c r="H523" s="41">
        <f>ABS(H$5-(6-'4JSON'!H517))</f>
        <v>1</v>
      </c>
      <c r="I523" s="41">
        <f>ABS(I$5-(6-'4JSON'!I517))</f>
        <v>0</v>
      </c>
      <c r="J523" s="41">
        <f>ABS(J$5-(6-'4JSON'!J517))</f>
        <v>1</v>
      </c>
      <c r="K523" s="41">
        <f>ABS(K$5-(6-'4JSON'!K517))</f>
        <v>1</v>
      </c>
      <c r="L523" s="41">
        <f>ABS(L$5-(6-'4JSON'!L517))</f>
        <v>1</v>
      </c>
      <c r="M523" s="36">
        <f t="shared" si="1"/>
        <v>6</v>
      </c>
      <c r="N523" s="42">
        <f t="shared" si="2"/>
        <v>0.8333333333</v>
      </c>
    </row>
    <row r="524">
      <c r="A524" s="35">
        <f>'4JSON'!A518</f>
        <v>1452</v>
      </c>
      <c r="B524" s="25" t="str">
        <f>'4JSON'!B518</f>
        <v>Readers and Press Clippers</v>
      </c>
      <c r="C524" s="41" t="str">
        <f>'4JSON'!C518</f>
        <v>Correspondence, publication and regulatory clerks</v>
      </c>
      <c r="D524" s="41">
        <f>ABS(D$5-(6-'4JSON'!D518))</f>
        <v>1</v>
      </c>
      <c r="E524" s="41">
        <f>ABS(E$5-(6-'4JSON'!E518))</f>
        <v>0</v>
      </c>
      <c r="F524" s="41">
        <f>ABS(F$5-(6-'4JSON'!F518))</f>
        <v>1</v>
      </c>
      <c r="G524" s="41">
        <f>ABS(G$5-(6-'4JSON'!G518))</f>
        <v>1</v>
      </c>
      <c r="H524" s="41">
        <f>ABS(H$5-(6-'4JSON'!H518))</f>
        <v>2</v>
      </c>
      <c r="I524" s="41">
        <f>ABS(I$5-(6-'4JSON'!I518))</f>
        <v>0</v>
      </c>
      <c r="J524" s="41">
        <f>ABS(J$5-(6-'4JSON'!J518))</f>
        <v>0</v>
      </c>
      <c r="K524" s="41">
        <f>ABS(K$5-(6-'4JSON'!K518))</f>
        <v>0</v>
      </c>
      <c r="L524" s="41">
        <f>ABS(L$5-(6-'4JSON'!L518))</f>
        <v>1</v>
      </c>
      <c r="M524" s="36">
        <f t="shared" si="1"/>
        <v>6</v>
      </c>
      <c r="N524" s="42">
        <f t="shared" si="2"/>
        <v>0.8333333333</v>
      </c>
    </row>
    <row r="525">
      <c r="A525" s="35">
        <f>'4JSON'!A519</f>
        <v>1414</v>
      </c>
      <c r="B525" s="25" t="str">
        <f>'4JSON'!B519</f>
        <v>Receptionists</v>
      </c>
      <c r="C525" s="41" t="str">
        <f>'4JSON'!C519</f>
        <v>Receptionists</v>
      </c>
      <c r="D525" s="41">
        <f>ABS(D$5-(6-'4JSON'!D519))</f>
        <v>1</v>
      </c>
      <c r="E525" s="41">
        <f>ABS(E$5-(6-'4JSON'!E519))</f>
        <v>0</v>
      </c>
      <c r="F525" s="41">
        <f>ABS(F$5-(6-'4JSON'!F519))</f>
        <v>1</v>
      </c>
      <c r="G525" s="41">
        <f>ABS(G$5-(6-'4JSON'!G519))</f>
        <v>1</v>
      </c>
      <c r="H525" s="41">
        <f>ABS(H$5-(6-'4JSON'!H519))</f>
        <v>2</v>
      </c>
      <c r="I525" s="41">
        <f>ABS(I$5-(6-'4JSON'!I519))</f>
        <v>0</v>
      </c>
      <c r="J525" s="41">
        <f>ABS(J$5-(6-'4JSON'!J519))</f>
        <v>0</v>
      </c>
      <c r="K525" s="41">
        <f>ABS(K$5-(6-'4JSON'!K519))</f>
        <v>0</v>
      </c>
      <c r="L525" s="41">
        <f>ABS(L$5-(6-'4JSON'!L519))</f>
        <v>1</v>
      </c>
      <c r="M525" s="36">
        <f t="shared" si="1"/>
        <v>6</v>
      </c>
      <c r="N525" s="42">
        <f t="shared" si="2"/>
        <v>0.8333333333</v>
      </c>
    </row>
    <row r="526">
      <c r="A526" s="35">
        <f>'4JSON'!A520</f>
        <v>3232</v>
      </c>
      <c r="B526" s="25" t="str">
        <f>'4JSON'!B520</f>
        <v>Reflexologists</v>
      </c>
      <c r="C526" s="41" t="str">
        <f>'4JSON'!C520</f>
        <v>Practitioners of natural healing</v>
      </c>
      <c r="D526" s="41">
        <f>ABS(D$5-(6-'4JSON'!D520))</f>
        <v>1</v>
      </c>
      <c r="E526" s="41">
        <f>ABS(E$5-(6-'4JSON'!E520))</f>
        <v>0</v>
      </c>
      <c r="F526" s="41">
        <f>ABS(F$5-(6-'4JSON'!F520))</f>
        <v>1</v>
      </c>
      <c r="G526" s="41">
        <f>ABS(G$5-(6-'4JSON'!G520))</f>
        <v>1</v>
      </c>
      <c r="H526" s="41">
        <f>ABS(H$5-(6-'4JSON'!H520))</f>
        <v>2</v>
      </c>
      <c r="I526" s="41">
        <f>ABS(I$5-(6-'4JSON'!I520))</f>
        <v>1</v>
      </c>
      <c r="J526" s="41">
        <f>ABS(J$5-(6-'4JSON'!J520))</f>
        <v>0</v>
      </c>
      <c r="K526" s="41">
        <f>ABS(K$5-(6-'4JSON'!K520))</f>
        <v>0</v>
      </c>
      <c r="L526" s="41">
        <f>ABS(L$5-(6-'4JSON'!L520))</f>
        <v>0</v>
      </c>
      <c r="M526" s="36">
        <f t="shared" si="1"/>
        <v>6</v>
      </c>
      <c r="N526" s="42">
        <f t="shared" si="2"/>
        <v>0.8333333333</v>
      </c>
    </row>
    <row r="527">
      <c r="A527" s="35">
        <f>'4JSON'!A521</f>
        <v>3232</v>
      </c>
      <c r="B527" s="25" t="str">
        <f>'4JSON'!B521</f>
        <v>Rolfers</v>
      </c>
      <c r="C527" s="41" t="str">
        <f>'4JSON'!C521</f>
        <v>Practitioners of natural healing</v>
      </c>
      <c r="D527" s="41">
        <f>ABS(D$5-(6-'4JSON'!D521))</f>
        <v>1</v>
      </c>
      <c r="E527" s="41">
        <f>ABS(E$5-(6-'4JSON'!E521))</f>
        <v>0</v>
      </c>
      <c r="F527" s="41">
        <f>ABS(F$5-(6-'4JSON'!F521))</f>
        <v>1</v>
      </c>
      <c r="G527" s="41">
        <f>ABS(G$5-(6-'4JSON'!G521))</f>
        <v>1</v>
      </c>
      <c r="H527" s="41">
        <f>ABS(H$5-(6-'4JSON'!H521))</f>
        <v>2</v>
      </c>
      <c r="I527" s="41">
        <f>ABS(I$5-(6-'4JSON'!I521))</f>
        <v>1</v>
      </c>
      <c r="J527" s="41">
        <f>ABS(J$5-(6-'4JSON'!J521))</f>
        <v>0</v>
      </c>
      <c r="K527" s="41">
        <f>ABS(K$5-(6-'4JSON'!K521))</f>
        <v>0</v>
      </c>
      <c r="L527" s="41">
        <f>ABS(L$5-(6-'4JSON'!L521))</f>
        <v>0</v>
      </c>
      <c r="M527" s="36">
        <f t="shared" si="1"/>
        <v>6</v>
      </c>
      <c r="N527" s="42">
        <f t="shared" si="2"/>
        <v>0.8333333333</v>
      </c>
    </row>
    <row r="528">
      <c r="A528" s="35">
        <f>'4JSON'!A522</f>
        <v>1241</v>
      </c>
      <c r="B528" s="25" t="str">
        <f>'4JSON'!B522</f>
        <v>Secretaries (Except Legal and Medical)</v>
      </c>
      <c r="C528" s="41" t="str">
        <f>'4JSON'!C522</f>
        <v>Administrative assistants</v>
      </c>
      <c r="D528" s="41">
        <f>ABS(D$5-(6-'4JSON'!D522))</f>
        <v>1</v>
      </c>
      <c r="E528" s="41">
        <f>ABS(E$5-(6-'4JSON'!E522))</f>
        <v>0</v>
      </c>
      <c r="F528" s="41">
        <f>ABS(F$5-(6-'4JSON'!F522))</f>
        <v>0</v>
      </c>
      <c r="G528" s="41">
        <f>ABS(G$5-(6-'4JSON'!G522))</f>
        <v>1</v>
      </c>
      <c r="H528" s="41">
        <f>ABS(H$5-(6-'4JSON'!H522))</f>
        <v>1</v>
      </c>
      <c r="I528" s="41">
        <f>ABS(I$5-(6-'4JSON'!I522))</f>
        <v>1</v>
      </c>
      <c r="J528" s="41">
        <f>ABS(J$5-(6-'4JSON'!J522))</f>
        <v>0</v>
      </c>
      <c r="K528" s="41">
        <f>ABS(K$5-(6-'4JSON'!K522))</f>
        <v>0</v>
      </c>
      <c r="L528" s="41">
        <f>ABS(L$5-(6-'4JSON'!L522))</f>
        <v>0</v>
      </c>
      <c r="M528" s="36">
        <f t="shared" si="1"/>
        <v>4</v>
      </c>
      <c r="N528" s="42">
        <f t="shared" si="2"/>
        <v>0.8888888889</v>
      </c>
    </row>
    <row r="529">
      <c r="A529" s="35">
        <f>'4JSON'!A523</f>
        <v>5226</v>
      </c>
      <c r="B529" s="25" t="str">
        <f>'4JSON'!B523</f>
        <v>Settings Shop Foremen/women</v>
      </c>
      <c r="C529" s="41" t="str">
        <f>'4JSON'!C523</f>
        <v>Other technical and co-ordinating occupations in motion pictures, broadcasting and the performing arts</v>
      </c>
      <c r="D529" s="41">
        <f>ABS(D$5-(6-'4JSON'!D523))</f>
        <v>1</v>
      </c>
      <c r="E529" s="41">
        <f>ABS(E$5-(6-'4JSON'!E523))</f>
        <v>0</v>
      </c>
      <c r="F529" s="41">
        <f>ABS(F$5-(6-'4JSON'!F523))</f>
        <v>0</v>
      </c>
      <c r="G529" s="41">
        <f>ABS(G$5-(6-'4JSON'!G523))</f>
        <v>1</v>
      </c>
      <c r="H529" s="41">
        <f>ABS(H$5-(6-'4JSON'!H523))</f>
        <v>0</v>
      </c>
      <c r="I529" s="41">
        <f>ABS(I$5-(6-'4JSON'!I523))</f>
        <v>0</v>
      </c>
      <c r="J529" s="41">
        <f>ABS(J$5-(6-'4JSON'!J523))</f>
        <v>1</v>
      </c>
      <c r="K529" s="41">
        <f>ABS(K$5-(6-'4JSON'!K523))</f>
        <v>1</v>
      </c>
      <c r="L529" s="41">
        <f>ABS(L$5-(6-'4JSON'!L523))</f>
        <v>0</v>
      </c>
      <c r="M529" s="36">
        <f t="shared" si="1"/>
        <v>4</v>
      </c>
      <c r="N529" s="42">
        <f t="shared" si="2"/>
        <v>0.8888888889</v>
      </c>
    </row>
    <row r="530">
      <c r="A530" s="35">
        <f>'4JSON'!A524</f>
        <v>5125</v>
      </c>
      <c r="B530" s="25" t="str">
        <f>'4JSON'!B524</f>
        <v>Sign Language Interpreters</v>
      </c>
      <c r="C530" s="41" t="str">
        <f>'4JSON'!C524</f>
        <v>Translators, terminologists and interpreters</v>
      </c>
      <c r="D530" s="41">
        <f>ABS(D$5-(6-'4JSON'!D524))</f>
        <v>2</v>
      </c>
      <c r="E530" s="41">
        <f>ABS(E$5-(6-'4JSON'!E524))</f>
        <v>2</v>
      </c>
      <c r="F530" s="41">
        <f>ABS(F$5-(6-'4JSON'!F524))</f>
        <v>1</v>
      </c>
      <c r="G530" s="41">
        <f>ABS(G$5-(6-'4JSON'!G524))</f>
        <v>1</v>
      </c>
      <c r="H530" s="41">
        <f>ABS(H$5-(6-'4JSON'!H524))</f>
        <v>2</v>
      </c>
      <c r="I530" s="41">
        <f>ABS(I$5-(6-'4JSON'!I524))</f>
        <v>0</v>
      </c>
      <c r="J530" s="41">
        <f>ABS(J$5-(6-'4JSON'!J524))</f>
        <v>2</v>
      </c>
      <c r="K530" s="41">
        <f>ABS(K$5-(6-'4JSON'!K524))</f>
        <v>2</v>
      </c>
      <c r="L530" s="41">
        <f>ABS(L$5-(6-'4JSON'!L524))</f>
        <v>0</v>
      </c>
      <c r="M530" s="36">
        <f t="shared" si="1"/>
        <v>12</v>
      </c>
      <c r="N530" s="42">
        <f t="shared" si="2"/>
        <v>0.6666666667</v>
      </c>
    </row>
    <row r="531">
      <c r="A531" s="35">
        <f>'4JSON'!A525</f>
        <v>9471</v>
      </c>
      <c r="B531" s="25" t="str">
        <f>'4JSON'!B525</f>
        <v>Printing Machine Operators</v>
      </c>
      <c r="C531" s="41" t="str">
        <f>'4JSON'!C525</f>
        <v>Plateless printing equipment operators</v>
      </c>
      <c r="D531" s="41">
        <f>ABS(D$5-(6-'4JSON'!D525))</f>
        <v>1</v>
      </c>
      <c r="E531" s="41">
        <f>ABS(E$5-(6-'4JSON'!E525))</f>
        <v>1</v>
      </c>
      <c r="F531" s="41">
        <f>ABS(F$5-(6-'4JSON'!F525))</f>
        <v>1</v>
      </c>
      <c r="G531" s="41">
        <f>ABS(G$5-(6-'4JSON'!G525))</f>
        <v>1</v>
      </c>
      <c r="H531" s="41">
        <f>ABS(H$5-(6-'4JSON'!H525))</f>
        <v>1</v>
      </c>
      <c r="I531" s="41">
        <f>ABS(I$5-(6-'4JSON'!I525))</f>
        <v>1</v>
      </c>
      <c r="J531" s="41">
        <f>ABS(J$5-(6-'4JSON'!J525))</f>
        <v>1</v>
      </c>
      <c r="K531" s="41">
        <f>ABS(K$5-(6-'4JSON'!K525))</f>
        <v>1</v>
      </c>
      <c r="L531" s="41">
        <f>ABS(L$5-(6-'4JSON'!L525))</f>
        <v>0</v>
      </c>
      <c r="M531" s="36">
        <f t="shared" si="1"/>
        <v>8</v>
      </c>
      <c r="N531" s="42">
        <f t="shared" si="2"/>
        <v>0.7777777778</v>
      </c>
    </row>
    <row r="532">
      <c r="A532" s="35">
        <f>'4JSON'!A526</f>
        <v>5253</v>
      </c>
      <c r="B532" s="25" t="str">
        <f>'4JSON'!B526</f>
        <v>Sports Officials and Referees</v>
      </c>
      <c r="C532" s="41" t="str">
        <f>'4JSON'!C526</f>
        <v>Sports officials and referees</v>
      </c>
      <c r="D532" s="41">
        <f>ABS(D$5-(6-'4JSON'!D526))</f>
        <v>1</v>
      </c>
      <c r="E532" s="41">
        <f>ABS(E$5-(6-'4JSON'!E526))</f>
        <v>0</v>
      </c>
      <c r="F532" s="41">
        <f>ABS(F$5-(6-'4JSON'!F526))</f>
        <v>1</v>
      </c>
      <c r="G532" s="41">
        <f>ABS(G$5-(6-'4JSON'!G526))</f>
        <v>1</v>
      </c>
      <c r="H532" s="41">
        <f>ABS(H$5-(6-'4JSON'!H526))</f>
        <v>1</v>
      </c>
      <c r="I532" s="41">
        <f>ABS(I$5-(6-'4JSON'!I526))</f>
        <v>1</v>
      </c>
      <c r="J532" s="41">
        <f>ABS(J$5-(6-'4JSON'!J526))</f>
        <v>1</v>
      </c>
      <c r="K532" s="41">
        <f>ABS(K$5-(6-'4JSON'!K526))</f>
        <v>1</v>
      </c>
      <c r="L532" s="41">
        <f>ABS(L$5-(6-'4JSON'!L526))</f>
        <v>1</v>
      </c>
      <c r="M532" s="36">
        <f t="shared" si="1"/>
        <v>8</v>
      </c>
      <c r="N532" s="42">
        <f t="shared" si="2"/>
        <v>0.7777777778</v>
      </c>
    </row>
    <row r="533">
      <c r="A533" s="35">
        <f>'4JSON'!A527</f>
        <v>7522</v>
      </c>
      <c r="B533" s="25" t="str">
        <f>'4JSON'!B527</f>
        <v>Public Works Maintenance Equipment Operators</v>
      </c>
      <c r="C533" s="41" t="str">
        <f>'4JSON'!C527</f>
        <v>Public works maintenance equipment operators and related workers</v>
      </c>
      <c r="D533" s="41">
        <f>ABS(D$5-(6-'4JSON'!D527))</f>
        <v>0</v>
      </c>
      <c r="E533" s="41">
        <f>ABS(E$5-(6-'4JSON'!E527))</f>
        <v>1</v>
      </c>
      <c r="F533" s="41">
        <f>ABS(F$5-(6-'4JSON'!F527))</f>
        <v>1</v>
      </c>
      <c r="G533" s="41">
        <f>ABS(G$5-(6-'4JSON'!G527))</f>
        <v>0</v>
      </c>
      <c r="H533" s="41">
        <f>ABS(H$5-(6-'4JSON'!H527))</f>
        <v>2</v>
      </c>
      <c r="I533" s="41">
        <f>ABS(I$5-(6-'4JSON'!I527))</f>
        <v>1</v>
      </c>
      <c r="J533" s="41">
        <f>ABS(J$5-(6-'4JSON'!J527))</f>
        <v>0</v>
      </c>
      <c r="K533" s="41">
        <f>ABS(K$5-(6-'4JSON'!K527))</f>
        <v>1</v>
      </c>
      <c r="L533" s="41">
        <f>ABS(L$5-(6-'4JSON'!L527))</f>
        <v>0</v>
      </c>
      <c r="M533" s="36">
        <f t="shared" si="1"/>
        <v>6</v>
      </c>
      <c r="N533" s="42">
        <f t="shared" si="2"/>
        <v>0.8333333333</v>
      </c>
    </row>
    <row r="534">
      <c r="A534" s="35">
        <f>'4JSON'!A528</f>
        <v>8422</v>
      </c>
      <c r="B534" s="25" t="str">
        <f>'4JSON'!B528</f>
        <v>Silviculture and Forestry Workers</v>
      </c>
      <c r="C534" s="41" t="str">
        <f>'4JSON'!C528</f>
        <v>Silviculture and forestry workers</v>
      </c>
      <c r="D534" s="41">
        <f>ABS(D$5-(6-'4JSON'!D528))</f>
        <v>1</v>
      </c>
      <c r="E534" s="41">
        <f>ABS(E$5-(6-'4JSON'!E528))</f>
        <v>1</v>
      </c>
      <c r="F534" s="41">
        <f>ABS(F$5-(6-'4JSON'!F528))</f>
        <v>1</v>
      </c>
      <c r="G534" s="41">
        <f>ABS(G$5-(6-'4JSON'!G528))</f>
        <v>1</v>
      </c>
      <c r="H534" s="41">
        <f>ABS(H$5-(6-'4JSON'!H528))</f>
        <v>2</v>
      </c>
      <c r="I534" s="41">
        <f>ABS(I$5-(6-'4JSON'!I528))</f>
        <v>1</v>
      </c>
      <c r="J534" s="41">
        <f>ABS(J$5-(6-'4JSON'!J528))</f>
        <v>0</v>
      </c>
      <c r="K534" s="41">
        <f>ABS(K$5-(6-'4JSON'!K528))</f>
        <v>1</v>
      </c>
      <c r="L534" s="41">
        <f>ABS(L$5-(6-'4JSON'!L528))</f>
        <v>0</v>
      </c>
      <c r="M534" s="36">
        <f t="shared" si="1"/>
        <v>8</v>
      </c>
      <c r="N534" s="42">
        <f t="shared" si="2"/>
        <v>0.7777777778</v>
      </c>
    </row>
    <row r="535">
      <c r="A535" s="35">
        <f>'4JSON'!A529</f>
        <v>9223</v>
      </c>
      <c r="B535" s="25" t="str">
        <f>'4JSON'!B529</f>
        <v>Supervisors, Electrical Products Manufacturing</v>
      </c>
      <c r="C535" s="41" t="str">
        <f>'4JSON'!C529</f>
        <v>Supervisors, electrical products manufacturing</v>
      </c>
      <c r="D535" s="41">
        <f>ABS(D$5-(6-'4JSON'!D529))</f>
        <v>1</v>
      </c>
      <c r="E535" s="41">
        <f>ABS(E$5-(6-'4JSON'!E529))</f>
        <v>0</v>
      </c>
      <c r="F535" s="41">
        <f>ABS(F$5-(6-'4JSON'!F529))</f>
        <v>0</v>
      </c>
      <c r="G535" s="41">
        <f>ABS(G$5-(6-'4JSON'!G529))</f>
        <v>0</v>
      </c>
      <c r="H535" s="41">
        <f>ABS(H$5-(6-'4JSON'!H529))</f>
        <v>2</v>
      </c>
      <c r="I535" s="41">
        <f>ABS(I$5-(6-'4JSON'!I529))</f>
        <v>0</v>
      </c>
      <c r="J535" s="41">
        <f>ABS(J$5-(6-'4JSON'!J529))</f>
        <v>0</v>
      </c>
      <c r="K535" s="41">
        <f>ABS(K$5-(6-'4JSON'!K529))</f>
        <v>1</v>
      </c>
      <c r="L535" s="41">
        <f>ABS(L$5-(6-'4JSON'!L529))</f>
        <v>0</v>
      </c>
      <c r="M535" s="36">
        <f t="shared" si="1"/>
        <v>4</v>
      </c>
      <c r="N535" s="42">
        <f t="shared" si="2"/>
        <v>0.8888888889</v>
      </c>
    </row>
    <row r="536">
      <c r="A536" s="35">
        <f>'4JSON'!A530</f>
        <v>9222</v>
      </c>
      <c r="B536" s="25" t="str">
        <f>'4JSON'!B530</f>
        <v>Supervisors, Electronics Manufacturing</v>
      </c>
      <c r="C536" s="41" t="str">
        <f>'4JSON'!C530</f>
        <v>Supervisors, electronics manufacturing</v>
      </c>
      <c r="D536" s="41">
        <f>ABS(D$5-(6-'4JSON'!D530))</f>
        <v>1</v>
      </c>
      <c r="E536" s="41">
        <f>ABS(E$5-(6-'4JSON'!E530))</f>
        <v>0</v>
      </c>
      <c r="F536" s="41">
        <f>ABS(F$5-(6-'4JSON'!F530))</f>
        <v>0</v>
      </c>
      <c r="G536" s="41">
        <f>ABS(G$5-(6-'4JSON'!G530))</f>
        <v>0</v>
      </c>
      <c r="H536" s="41">
        <f>ABS(H$5-(6-'4JSON'!H530))</f>
        <v>2</v>
      </c>
      <c r="I536" s="41">
        <f>ABS(I$5-(6-'4JSON'!I530))</f>
        <v>0</v>
      </c>
      <c r="J536" s="41">
        <f>ABS(J$5-(6-'4JSON'!J530))</f>
        <v>0</v>
      </c>
      <c r="K536" s="41">
        <f>ABS(K$5-(6-'4JSON'!K530))</f>
        <v>1</v>
      </c>
      <c r="L536" s="41">
        <f>ABS(L$5-(6-'4JSON'!L530))</f>
        <v>0</v>
      </c>
      <c r="M536" s="36">
        <f t="shared" si="1"/>
        <v>4</v>
      </c>
      <c r="N536" s="42">
        <f t="shared" si="2"/>
        <v>0.8888888889</v>
      </c>
    </row>
    <row r="537">
      <c r="A537" s="35">
        <f>'4JSON'!A531</f>
        <v>9215</v>
      </c>
      <c r="B537" s="25" t="str">
        <f>'4JSON'!B531</f>
        <v>Supervisors, Forest Products Processing</v>
      </c>
      <c r="C537" s="41" t="str">
        <f>'4JSON'!C531</f>
        <v>Supervisors, forest products processing</v>
      </c>
      <c r="D537" s="41">
        <f>ABS(D$5-(6-'4JSON'!D531))</f>
        <v>1</v>
      </c>
      <c r="E537" s="41">
        <f>ABS(E$5-(6-'4JSON'!E531))</f>
        <v>0</v>
      </c>
      <c r="F537" s="41">
        <f>ABS(F$5-(6-'4JSON'!F531))</f>
        <v>0</v>
      </c>
      <c r="G537" s="41">
        <f>ABS(G$5-(6-'4JSON'!G531))</f>
        <v>0</v>
      </c>
      <c r="H537" s="41">
        <f>ABS(H$5-(6-'4JSON'!H531))</f>
        <v>2</v>
      </c>
      <c r="I537" s="41">
        <f>ABS(I$5-(6-'4JSON'!I531))</f>
        <v>0</v>
      </c>
      <c r="J537" s="41">
        <f>ABS(J$5-(6-'4JSON'!J531))</f>
        <v>0</v>
      </c>
      <c r="K537" s="41">
        <f>ABS(K$5-(6-'4JSON'!K531))</f>
        <v>1</v>
      </c>
      <c r="L537" s="41">
        <f>ABS(L$5-(6-'4JSON'!L531))</f>
        <v>0</v>
      </c>
      <c r="M537" s="36">
        <f t="shared" si="1"/>
        <v>4</v>
      </c>
      <c r="N537" s="42">
        <f t="shared" si="2"/>
        <v>0.8888888889</v>
      </c>
    </row>
    <row r="538">
      <c r="A538" s="35">
        <f>'4JSON'!A532</f>
        <v>9211</v>
      </c>
      <c r="B538" s="25" t="str">
        <f>'4JSON'!B532</f>
        <v>Supervisors, Mineral and Metal Processing</v>
      </c>
      <c r="C538" s="41" t="str">
        <f>'4JSON'!C532</f>
        <v>Supervisors, mineral and metal processing</v>
      </c>
      <c r="D538" s="41">
        <f>ABS(D$5-(6-'4JSON'!D532))</f>
        <v>1</v>
      </c>
      <c r="E538" s="41">
        <f>ABS(E$5-(6-'4JSON'!E532))</f>
        <v>0</v>
      </c>
      <c r="F538" s="41">
        <f>ABS(F$5-(6-'4JSON'!F532))</f>
        <v>0</v>
      </c>
      <c r="G538" s="41">
        <f>ABS(G$5-(6-'4JSON'!G532))</f>
        <v>1</v>
      </c>
      <c r="H538" s="41">
        <f>ABS(H$5-(6-'4JSON'!H532))</f>
        <v>1</v>
      </c>
      <c r="I538" s="41">
        <f>ABS(I$5-(6-'4JSON'!I532))</f>
        <v>0</v>
      </c>
      <c r="J538" s="41">
        <f>ABS(J$5-(6-'4JSON'!J532))</f>
        <v>0</v>
      </c>
      <c r="K538" s="41">
        <f>ABS(K$5-(6-'4JSON'!K532))</f>
        <v>1</v>
      </c>
      <c r="L538" s="41">
        <f>ABS(L$5-(6-'4JSON'!L532))</f>
        <v>0</v>
      </c>
      <c r="M538" s="36">
        <f t="shared" si="1"/>
        <v>4</v>
      </c>
      <c r="N538" s="42">
        <f t="shared" si="2"/>
        <v>0.8888888889</v>
      </c>
    </row>
    <row r="539">
      <c r="A539" s="35">
        <f>'4JSON'!A533</f>
        <v>7305</v>
      </c>
      <c r="B539" s="25" t="str">
        <f>'4JSON'!B533</f>
        <v>Supervisors, Motor Transport and Other Ground Transit Operators</v>
      </c>
      <c r="C539" s="41" t="str">
        <f>'4JSON'!C533</f>
        <v>Supervisors, motor transport and other ground transit operators</v>
      </c>
      <c r="D539" s="41">
        <f>ABS(D$5-(6-'4JSON'!D533))</f>
        <v>1</v>
      </c>
      <c r="E539" s="41">
        <f>ABS(E$5-(6-'4JSON'!E533))</f>
        <v>0</v>
      </c>
      <c r="F539" s="41">
        <f>ABS(F$5-(6-'4JSON'!F533))</f>
        <v>0</v>
      </c>
      <c r="G539" s="41">
        <f>ABS(G$5-(6-'4JSON'!G533))</f>
        <v>0</v>
      </c>
      <c r="H539" s="41">
        <f>ABS(H$5-(6-'4JSON'!H533))</f>
        <v>2</v>
      </c>
      <c r="I539" s="41">
        <f>ABS(I$5-(6-'4JSON'!I533))</f>
        <v>0</v>
      </c>
      <c r="J539" s="41">
        <f>ABS(J$5-(6-'4JSON'!J533))</f>
        <v>0</v>
      </c>
      <c r="K539" s="41">
        <f>ABS(K$5-(6-'4JSON'!K533))</f>
        <v>1</v>
      </c>
      <c r="L539" s="41">
        <f>ABS(L$5-(6-'4JSON'!L533))</f>
        <v>0</v>
      </c>
      <c r="M539" s="36">
        <f t="shared" si="1"/>
        <v>4</v>
      </c>
      <c r="N539" s="42">
        <f t="shared" si="2"/>
        <v>0.8888888889</v>
      </c>
    </row>
    <row r="540">
      <c r="A540" s="35">
        <f>'4JSON'!A534</f>
        <v>9227</v>
      </c>
      <c r="B540" s="25" t="str">
        <f>'4JSON'!B534</f>
        <v>Supervisors, Other Products Manufacturing and Assembly</v>
      </c>
      <c r="C540" s="41" t="str">
        <f>'4JSON'!C534</f>
        <v>Supervisors, other products manufacturing and assembly</v>
      </c>
      <c r="D540" s="41">
        <f>ABS(D$5-(6-'4JSON'!D534))</f>
        <v>1</v>
      </c>
      <c r="E540" s="41">
        <f>ABS(E$5-(6-'4JSON'!E534))</f>
        <v>0</v>
      </c>
      <c r="F540" s="41">
        <f>ABS(F$5-(6-'4JSON'!F534))</f>
        <v>0</v>
      </c>
      <c r="G540" s="41">
        <f>ABS(G$5-(6-'4JSON'!G534))</f>
        <v>1</v>
      </c>
      <c r="H540" s="41">
        <f>ABS(H$5-(6-'4JSON'!H534))</f>
        <v>2</v>
      </c>
      <c r="I540" s="41">
        <f>ABS(I$5-(6-'4JSON'!I534))</f>
        <v>0</v>
      </c>
      <c r="J540" s="41">
        <f>ABS(J$5-(6-'4JSON'!J534))</f>
        <v>0</v>
      </c>
      <c r="K540" s="41">
        <f>ABS(K$5-(6-'4JSON'!K534))</f>
        <v>0</v>
      </c>
      <c r="L540" s="41">
        <f>ABS(L$5-(6-'4JSON'!L534))</f>
        <v>0</v>
      </c>
      <c r="M540" s="36">
        <f t="shared" si="1"/>
        <v>4</v>
      </c>
      <c r="N540" s="42">
        <f t="shared" si="2"/>
        <v>0.8888888889</v>
      </c>
    </row>
    <row r="541">
      <c r="A541" s="35">
        <f>'4JSON'!A535</f>
        <v>9212</v>
      </c>
      <c r="B541" s="25" t="str">
        <f>'4JSON'!B535</f>
        <v>Supervisors, Petroleum, Gas and Chemical Processing and Utilities</v>
      </c>
      <c r="C541" s="41" t="str">
        <f>'4JSON'!C535</f>
        <v>Supervisors, petroleum, gas and chemical processing and utilities</v>
      </c>
      <c r="D541" s="41">
        <f>ABS(D$5-(6-'4JSON'!D535))</f>
        <v>1</v>
      </c>
      <c r="E541" s="41">
        <f>ABS(E$5-(6-'4JSON'!E535))</f>
        <v>0</v>
      </c>
      <c r="F541" s="41">
        <f>ABS(F$5-(6-'4JSON'!F535))</f>
        <v>0</v>
      </c>
      <c r="G541" s="41">
        <f>ABS(G$5-(6-'4JSON'!G535))</f>
        <v>1</v>
      </c>
      <c r="H541" s="41">
        <f>ABS(H$5-(6-'4JSON'!H535))</f>
        <v>1</v>
      </c>
      <c r="I541" s="41">
        <f>ABS(I$5-(6-'4JSON'!I535))</f>
        <v>0</v>
      </c>
      <c r="J541" s="41">
        <f>ABS(J$5-(6-'4JSON'!J535))</f>
        <v>0</v>
      </c>
      <c r="K541" s="41">
        <f>ABS(K$5-(6-'4JSON'!K535))</f>
        <v>1</v>
      </c>
      <c r="L541" s="41">
        <f>ABS(L$5-(6-'4JSON'!L535))</f>
        <v>0</v>
      </c>
      <c r="M541" s="36">
        <f t="shared" si="1"/>
        <v>4</v>
      </c>
      <c r="N541" s="42">
        <f t="shared" si="2"/>
        <v>0.8888888889</v>
      </c>
    </row>
    <row r="542">
      <c r="A542" s="35">
        <f>'4JSON'!A536</f>
        <v>1414</v>
      </c>
      <c r="B542" s="25" t="str">
        <f>'4JSON'!B536</f>
        <v>Switchboard Operators</v>
      </c>
      <c r="C542" s="41" t="str">
        <f>'4JSON'!C536</f>
        <v>Receptionists</v>
      </c>
      <c r="D542" s="41">
        <f>ABS(D$5-(6-'4JSON'!D536))</f>
        <v>1</v>
      </c>
      <c r="E542" s="41">
        <f>ABS(E$5-(6-'4JSON'!E536))</f>
        <v>0</v>
      </c>
      <c r="F542" s="41">
        <f>ABS(F$5-(6-'4JSON'!F536))</f>
        <v>1</v>
      </c>
      <c r="G542" s="41">
        <f>ABS(G$5-(6-'4JSON'!G536))</f>
        <v>1</v>
      </c>
      <c r="H542" s="41">
        <f>ABS(H$5-(6-'4JSON'!H536))</f>
        <v>2</v>
      </c>
      <c r="I542" s="41">
        <f>ABS(I$5-(6-'4JSON'!I536))</f>
        <v>0</v>
      </c>
      <c r="J542" s="41">
        <f>ABS(J$5-(6-'4JSON'!J536))</f>
        <v>0</v>
      </c>
      <c r="K542" s="41">
        <f>ABS(K$5-(6-'4JSON'!K536))</f>
        <v>0</v>
      </c>
      <c r="L542" s="41">
        <f>ABS(L$5-(6-'4JSON'!L536))</f>
        <v>1</v>
      </c>
      <c r="M542" s="36">
        <f t="shared" si="1"/>
        <v>6</v>
      </c>
      <c r="N542" s="42">
        <f t="shared" si="2"/>
        <v>0.8333333333</v>
      </c>
    </row>
    <row r="543">
      <c r="A543" s="35">
        <f>'4JSON'!A537</f>
        <v>1522</v>
      </c>
      <c r="B543" s="25" t="str">
        <f>'4JSON'!B537</f>
        <v>Storekeepers and Parts Clerks</v>
      </c>
      <c r="C543" s="41" t="str">
        <f>'4JSON'!C537</f>
        <v>Storekeepers and partspersons</v>
      </c>
      <c r="D543" s="41">
        <f>ABS(D$5-(6-'4JSON'!D537))</f>
        <v>1</v>
      </c>
      <c r="E543" s="41">
        <f>ABS(E$5-(6-'4JSON'!E537))</f>
        <v>1</v>
      </c>
      <c r="F543" s="41">
        <f>ABS(F$5-(6-'4JSON'!F537))</f>
        <v>1</v>
      </c>
      <c r="G543" s="41">
        <f>ABS(G$5-(6-'4JSON'!G537))</f>
        <v>0</v>
      </c>
      <c r="H543" s="41">
        <f>ABS(H$5-(6-'4JSON'!H537))</f>
        <v>2</v>
      </c>
      <c r="I543" s="41">
        <f>ABS(I$5-(6-'4JSON'!I537))</f>
        <v>0</v>
      </c>
      <c r="J543" s="41">
        <f>ABS(J$5-(6-'4JSON'!J537))</f>
        <v>1</v>
      </c>
      <c r="K543" s="41">
        <f>ABS(K$5-(6-'4JSON'!K537))</f>
        <v>1</v>
      </c>
      <c r="L543" s="41">
        <f>ABS(L$5-(6-'4JSON'!L537))</f>
        <v>1</v>
      </c>
      <c r="M543" s="36">
        <f t="shared" si="1"/>
        <v>8</v>
      </c>
      <c r="N543" s="42">
        <f t="shared" si="2"/>
        <v>0.7777777778</v>
      </c>
    </row>
    <row r="544">
      <c r="A544" s="35">
        <f>'4JSON'!A538</f>
        <v>1414</v>
      </c>
      <c r="B544" s="25" t="str">
        <f>'4JSON'!B538</f>
        <v>Telephone Operators</v>
      </c>
      <c r="C544" s="41" t="str">
        <f>'4JSON'!C538</f>
        <v>Receptionists</v>
      </c>
      <c r="D544" s="41">
        <f>ABS(D$5-(6-'4JSON'!D538))</f>
        <v>1</v>
      </c>
      <c r="E544" s="41">
        <f>ABS(E$5-(6-'4JSON'!E538))</f>
        <v>0</v>
      </c>
      <c r="F544" s="41">
        <f>ABS(F$5-(6-'4JSON'!F538))</f>
        <v>0</v>
      </c>
      <c r="G544" s="41">
        <f>ABS(G$5-(6-'4JSON'!G538))</f>
        <v>1</v>
      </c>
      <c r="H544" s="41">
        <f>ABS(H$5-(6-'4JSON'!H538))</f>
        <v>2</v>
      </c>
      <c r="I544" s="41">
        <f>ABS(I$5-(6-'4JSON'!I538))</f>
        <v>0</v>
      </c>
      <c r="J544" s="41">
        <f>ABS(J$5-(6-'4JSON'!J538))</f>
        <v>0</v>
      </c>
      <c r="K544" s="41">
        <f>ABS(K$5-(6-'4JSON'!K538))</f>
        <v>0</v>
      </c>
      <c r="L544" s="41">
        <f>ABS(L$5-(6-'4JSON'!L538))</f>
        <v>0</v>
      </c>
      <c r="M544" s="36">
        <f t="shared" si="1"/>
        <v>4</v>
      </c>
      <c r="N544" s="42">
        <f t="shared" si="2"/>
        <v>0.8888888889</v>
      </c>
    </row>
    <row r="545">
      <c r="A545" s="35">
        <f>'4JSON'!A539</f>
        <v>7512</v>
      </c>
      <c r="B545" s="25" t="str">
        <f>'4JSON'!B539</f>
        <v>Subway Train and Light Rail Transit Operators</v>
      </c>
      <c r="C545" s="41" t="str">
        <f>'4JSON'!C539</f>
        <v>Bus drivers, subway operators and other transit operators</v>
      </c>
      <c r="D545" s="41">
        <f>ABS(D$5-(6-'4JSON'!D539))</f>
        <v>1</v>
      </c>
      <c r="E545" s="41">
        <f>ABS(E$5-(6-'4JSON'!E539))</f>
        <v>1</v>
      </c>
      <c r="F545" s="41">
        <f>ABS(F$5-(6-'4JSON'!F539))</f>
        <v>1</v>
      </c>
      <c r="G545" s="41">
        <f>ABS(G$5-(6-'4JSON'!G539))</f>
        <v>1</v>
      </c>
      <c r="H545" s="41">
        <f>ABS(H$5-(6-'4JSON'!H539))</f>
        <v>2</v>
      </c>
      <c r="I545" s="41">
        <f>ABS(I$5-(6-'4JSON'!I539))</f>
        <v>1</v>
      </c>
      <c r="J545" s="41">
        <f>ABS(J$5-(6-'4JSON'!J539))</f>
        <v>0</v>
      </c>
      <c r="K545" s="41">
        <f>ABS(K$5-(6-'4JSON'!K539))</f>
        <v>1</v>
      </c>
      <c r="L545" s="41">
        <f>ABS(L$5-(6-'4JSON'!L539))</f>
        <v>0</v>
      </c>
      <c r="M545" s="36">
        <f t="shared" si="1"/>
        <v>8</v>
      </c>
      <c r="N545" s="42">
        <f t="shared" si="2"/>
        <v>0.7777777778</v>
      </c>
    </row>
    <row r="546">
      <c r="A546" s="35">
        <f>'4JSON'!A540</f>
        <v>7513</v>
      </c>
      <c r="B546" s="25" t="str">
        <f>'4JSON'!B540</f>
        <v>Taxi and Limousine Drivers</v>
      </c>
      <c r="C546" s="41" t="str">
        <f>'4JSON'!C540</f>
        <v>Taxi and limousine drivers and chauffeurs</v>
      </c>
      <c r="D546" s="41">
        <f>ABS(D$5-(6-'4JSON'!D540))</f>
        <v>0</v>
      </c>
      <c r="E546" s="41">
        <f>ABS(E$5-(6-'4JSON'!E540))</f>
        <v>1</v>
      </c>
      <c r="F546" s="41">
        <f>ABS(F$5-(6-'4JSON'!F540))</f>
        <v>1</v>
      </c>
      <c r="G546" s="41">
        <f>ABS(G$5-(6-'4JSON'!G540))</f>
        <v>0</v>
      </c>
      <c r="H546" s="41">
        <f>ABS(H$5-(6-'4JSON'!H540))</f>
        <v>2</v>
      </c>
      <c r="I546" s="41">
        <f>ABS(I$5-(6-'4JSON'!I540))</f>
        <v>1</v>
      </c>
      <c r="J546" s="41">
        <f>ABS(J$5-(6-'4JSON'!J540))</f>
        <v>0</v>
      </c>
      <c r="K546" s="41">
        <f>ABS(K$5-(6-'4JSON'!K540))</f>
        <v>1</v>
      </c>
      <c r="L546" s="41">
        <f>ABS(L$5-(6-'4JSON'!L540))</f>
        <v>0</v>
      </c>
      <c r="M546" s="36">
        <f t="shared" si="1"/>
        <v>6</v>
      </c>
      <c r="N546" s="42">
        <f t="shared" si="2"/>
        <v>0.8333333333</v>
      </c>
    </row>
    <row r="547">
      <c r="A547" s="35">
        <f>'4JSON'!A541</f>
        <v>9447</v>
      </c>
      <c r="B547" s="25" t="str">
        <f>'4JSON'!B541</f>
        <v>Textile Inspectors, Graders and Samplers</v>
      </c>
      <c r="C547" s="41" t="str">
        <f>'4JSON'!C541</f>
        <v>Inspectors and graders, textile, fabric, fur and leather products manufacturing</v>
      </c>
      <c r="D547" s="41">
        <f>ABS(D$5-(6-'4JSON'!D541))</f>
        <v>1</v>
      </c>
      <c r="E547" s="41">
        <f>ABS(E$5-(6-'4JSON'!E541))</f>
        <v>1</v>
      </c>
      <c r="F547" s="41">
        <f>ABS(F$5-(6-'4JSON'!F541))</f>
        <v>1</v>
      </c>
      <c r="G547" s="41">
        <f>ABS(G$5-(6-'4JSON'!G541))</f>
        <v>1</v>
      </c>
      <c r="H547" s="41">
        <f>ABS(H$5-(6-'4JSON'!H541))</f>
        <v>1</v>
      </c>
      <c r="I547" s="41">
        <f>ABS(I$5-(6-'4JSON'!I541))</f>
        <v>1</v>
      </c>
      <c r="J547" s="41">
        <f>ABS(J$5-(6-'4JSON'!J541))</f>
        <v>1</v>
      </c>
      <c r="K547" s="41">
        <f>ABS(K$5-(6-'4JSON'!K541))</f>
        <v>1</v>
      </c>
      <c r="L547" s="41">
        <f>ABS(L$5-(6-'4JSON'!L541))</f>
        <v>0</v>
      </c>
      <c r="M547" s="36">
        <f t="shared" si="1"/>
        <v>8</v>
      </c>
      <c r="N547" s="42">
        <f t="shared" si="2"/>
        <v>0.7777777778</v>
      </c>
    </row>
    <row r="548">
      <c r="A548" s="35">
        <f>'4JSON'!A542</f>
        <v>9243</v>
      </c>
      <c r="B548" s="25" t="str">
        <f>'4JSON'!B542</f>
        <v>Waste Plant Operators</v>
      </c>
      <c r="C548" s="41" t="str">
        <f>'4JSON'!C542</f>
        <v>Water and waste treatment plant operators</v>
      </c>
      <c r="D548" s="41">
        <f>ABS(D$5-(6-'4JSON'!D542))</f>
        <v>1</v>
      </c>
      <c r="E548" s="41">
        <f>ABS(E$5-(6-'4JSON'!E542))</f>
        <v>0</v>
      </c>
      <c r="F548" s="41">
        <f>ABS(F$5-(6-'4JSON'!F542))</f>
        <v>0</v>
      </c>
      <c r="G548" s="41">
        <f>ABS(G$5-(6-'4JSON'!G542))</f>
        <v>0</v>
      </c>
      <c r="H548" s="41">
        <f>ABS(H$5-(6-'4JSON'!H542))</f>
        <v>1</v>
      </c>
      <c r="I548" s="41">
        <f>ABS(I$5-(6-'4JSON'!I542))</f>
        <v>0</v>
      </c>
      <c r="J548" s="41">
        <f>ABS(J$5-(6-'4JSON'!J542))</f>
        <v>1</v>
      </c>
      <c r="K548" s="41">
        <f>ABS(K$5-(6-'4JSON'!K542))</f>
        <v>1</v>
      </c>
      <c r="L548" s="41">
        <f>ABS(L$5-(6-'4JSON'!L542))</f>
        <v>0</v>
      </c>
      <c r="M548" s="36">
        <f t="shared" si="1"/>
        <v>4</v>
      </c>
      <c r="N548" s="42">
        <f t="shared" si="2"/>
        <v>0.8888888889</v>
      </c>
    </row>
    <row r="549">
      <c r="A549" s="35">
        <f>'4JSON'!A543</f>
        <v>9243</v>
      </c>
      <c r="B549" s="25" t="str">
        <f>'4JSON'!B543</f>
        <v>Water Plant Operators</v>
      </c>
      <c r="C549" s="41" t="str">
        <f>'4JSON'!C543</f>
        <v>Water and waste treatment plant operators</v>
      </c>
      <c r="D549" s="41">
        <f>ABS(D$5-(6-'4JSON'!D543))</f>
        <v>1</v>
      </c>
      <c r="E549" s="41">
        <f>ABS(E$5-(6-'4JSON'!E543))</f>
        <v>0</v>
      </c>
      <c r="F549" s="41">
        <f>ABS(F$5-(6-'4JSON'!F543))</f>
        <v>0</v>
      </c>
      <c r="G549" s="41">
        <f>ABS(G$5-(6-'4JSON'!G543))</f>
        <v>0</v>
      </c>
      <c r="H549" s="41">
        <f>ABS(H$5-(6-'4JSON'!H543))</f>
        <v>1</v>
      </c>
      <c r="I549" s="41">
        <f>ABS(I$5-(6-'4JSON'!I543))</f>
        <v>0</v>
      </c>
      <c r="J549" s="41">
        <f>ABS(J$5-(6-'4JSON'!J543))</f>
        <v>1</v>
      </c>
      <c r="K549" s="41">
        <f>ABS(K$5-(6-'4JSON'!K543))</f>
        <v>1</v>
      </c>
      <c r="L549" s="41">
        <f>ABS(L$5-(6-'4JSON'!L543))</f>
        <v>0</v>
      </c>
      <c r="M549" s="36">
        <f t="shared" si="1"/>
        <v>4</v>
      </c>
      <c r="N549" s="42">
        <f t="shared" si="2"/>
        <v>0.8888888889</v>
      </c>
    </row>
    <row r="550">
      <c r="A550" s="35">
        <f>'4JSON'!A544</f>
        <v>7373</v>
      </c>
      <c r="B550" s="25" t="str">
        <f>'4JSON'!B544</f>
        <v>Water Well Drillers</v>
      </c>
      <c r="C550" s="41" t="str">
        <f>'4JSON'!C544</f>
        <v>Water well drillers</v>
      </c>
      <c r="D550" s="41">
        <f>ABS(D$5-(6-'4JSON'!D544))</f>
        <v>1</v>
      </c>
      <c r="E550" s="41">
        <f>ABS(E$5-(6-'4JSON'!E544))</f>
        <v>0</v>
      </c>
      <c r="F550" s="41">
        <f>ABS(F$5-(6-'4JSON'!F544))</f>
        <v>1</v>
      </c>
      <c r="G550" s="41">
        <f>ABS(G$5-(6-'4JSON'!G544))</f>
        <v>0</v>
      </c>
      <c r="H550" s="41">
        <f>ABS(H$5-(6-'4JSON'!H544))</f>
        <v>2</v>
      </c>
      <c r="I550" s="41">
        <f>ABS(I$5-(6-'4JSON'!I544))</f>
        <v>1</v>
      </c>
      <c r="J550" s="41">
        <f>ABS(J$5-(6-'4JSON'!J544))</f>
        <v>0</v>
      </c>
      <c r="K550" s="41">
        <f>ABS(K$5-(6-'4JSON'!K544))</f>
        <v>1</v>
      </c>
      <c r="L550" s="41">
        <f>ABS(L$5-(6-'4JSON'!L544))</f>
        <v>0</v>
      </c>
      <c r="M550" s="36">
        <f t="shared" si="1"/>
        <v>6</v>
      </c>
      <c r="N550" s="42">
        <f t="shared" si="2"/>
        <v>0.8333333333</v>
      </c>
    </row>
    <row r="551">
      <c r="A551" s="35">
        <f>'4JSON'!A545</f>
        <v>7283</v>
      </c>
      <c r="B551" s="25" t="str">
        <f>'4JSON'!B545</f>
        <v>Tilesetters</v>
      </c>
      <c r="C551" s="41" t="str">
        <f>'4JSON'!C545</f>
        <v>Tilesetters</v>
      </c>
      <c r="D551" s="41">
        <f>ABS(D$5-(6-'4JSON'!D545))</f>
        <v>1</v>
      </c>
      <c r="E551" s="41">
        <f>ABS(E$5-(6-'4JSON'!E545))</f>
        <v>1</v>
      </c>
      <c r="F551" s="41">
        <f>ABS(F$5-(6-'4JSON'!F545))</f>
        <v>0</v>
      </c>
      <c r="G551" s="41">
        <f>ABS(G$5-(6-'4JSON'!G545))</f>
        <v>0</v>
      </c>
      <c r="H551" s="41">
        <f>ABS(H$5-(6-'4JSON'!H545))</f>
        <v>2</v>
      </c>
      <c r="I551" s="41">
        <f>ABS(I$5-(6-'4JSON'!I545))</f>
        <v>1</v>
      </c>
      <c r="J551" s="41">
        <f>ABS(J$5-(6-'4JSON'!J545))</f>
        <v>0</v>
      </c>
      <c r="K551" s="41">
        <f>ABS(K$5-(6-'4JSON'!K545))</f>
        <v>1</v>
      </c>
      <c r="L551" s="41">
        <f>ABS(L$5-(6-'4JSON'!L545))</f>
        <v>0</v>
      </c>
      <c r="M551" s="36">
        <f t="shared" si="1"/>
        <v>6</v>
      </c>
      <c r="N551" s="42">
        <f t="shared" si="2"/>
        <v>0.8333333333</v>
      </c>
    </row>
    <row r="552">
      <c r="A552" s="35">
        <f>'4JSON'!A546</f>
        <v>8411</v>
      </c>
      <c r="B552" s="25" t="str">
        <f>'4JSON'!B546</f>
        <v>Underground Mine Service and Support Workers</v>
      </c>
      <c r="C552" s="41" t="str">
        <f>'4JSON'!C546</f>
        <v>Underground mine service and support workers</v>
      </c>
      <c r="D552" s="41">
        <f>ABS(D$5-(6-'4JSON'!D546))</f>
        <v>1</v>
      </c>
      <c r="E552" s="41">
        <f>ABS(E$5-(6-'4JSON'!E546))</f>
        <v>1</v>
      </c>
      <c r="F552" s="41">
        <f>ABS(F$5-(6-'4JSON'!F546))</f>
        <v>1</v>
      </c>
      <c r="G552" s="41">
        <f>ABS(G$5-(6-'4JSON'!G546))</f>
        <v>0</v>
      </c>
      <c r="H552" s="41">
        <f>ABS(H$5-(6-'4JSON'!H546))</f>
        <v>2</v>
      </c>
      <c r="I552" s="41">
        <f>ABS(I$5-(6-'4JSON'!I546))</f>
        <v>2</v>
      </c>
      <c r="J552" s="41">
        <f>ABS(J$5-(6-'4JSON'!J546))</f>
        <v>0</v>
      </c>
      <c r="K552" s="41">
        <f>ABS(K$5-(6-'4JSON'!K546))</f>
        <v>1</v>
      </c>
      <c r="L552" s="41">
        <f>ABS(L$5-(6-'4JSON'!L546))</f>
        <v>0</v>
      </c>
      <c r="M552" s="36">
        <f t="shared" si="1"/>
        <v>8</v>
      </c>
      <c r="N552" s="42">
        <f t="shared" si="2"/>
        <v>0.7777777778</v>
      </c>
    </row>
    <row r="553">
      <c r="A553" s="35">
        <f>'4JSON'!A547</f>
        <v>7442</v>
      </c>
      <c r="B553" s="25" t="str">
        <f>'4JSON'!B547</f>
        <v>Waterworks Maintenance Workers</v>
      </c>
      <c r="C553" s="41" t="str">
        <f>'4JSON'!C547</f>
        <v>Waterworks and gas maintenance workers</v>
      </c>
      <c r="D553" s="41">
        <f>ABS(D$5-(6-'4JSON'!D547))</f>
        <v>1</v>
      </c>
      <c r="E553" s="41">
        <f>ABS(E$5-(6-'4JSON'!E547))</f>
        <v>1</v>
      </c>
      <c r="F553" s="41">
        <f>ABS(F$5-(6-'4JSON'!F547))</f>
        <v>1</v>
      </c>
      <c r="G553" s="41">
        <f>ABS(G$5-(6-'4JSON'!G547))</f>
        <v>1</v>
      </c>
      <c r="H553" s="41">
        <f>ABS(H$5-(6-'4JSON'!H547))</f>
        <v>2</v>
      </c>
      <c r="I553" s="41">
        <f>ABS(I$5-(6-'4JSON'!I547))</f>
        <v>1</v>
      </c>
      <c r="J553" s="41">
        <f>ABS(J$5-(6-'4JSON'!J547))</f>
        <v>0</v>
      </c>
      <c r="K553" s="41">
        <f>ABS(K$5-(6-'4JSON'!K547))</f>
        <v>1</v>
      </c>
      <c r="L553" s="41">
        <f>ABS(L$5-(6-'4JSON'!L547))</f>
        <v>0</v>
      </c>
      <c r="M553" s="36">
        <f t="shared" si="1"/>
        <v>8</v>
      </c>
      <c r="N553" s="42">
        <f t="shared" si="2"/>
        <v>0.7777777778</v>
      </c>
    </row>
    <row r="554">
      <c r="A554" s="35">
        <f>'4JSON'!A548</f>
        <v>7237</v>
      </c>
      <c r="B554" s="25" t="str">
        <f>'4JSON'!B548</f>
        <v>Welding, Brazing and Soldering Machine Operators</v>
      </c>
      <c r="C554" s="41" t="str">
        <f>'4JSON'!C548</f>
        <v>Welders and related machine operators</v>
      </c>
      <c r="D554" s="41">
        <f>ABS(D$5-(6-'4JSON'!D548))</f>
        <v>1</v>
      </c>
      <c r="E554" s="41">
        <f>ABS(E$5-(6-'4JSON'!E548))</f>
        <v>1</v>
      </c>
      <c r="F554" s="41">
        <f>ABS(F$5-(6-'4JSON'!F548))</f>
        <v>1</v>
      </c>
      <c r="G554" s="41">
        <f>ABS(G$5-(6-'4JSON'!G548))</f>
        <v>0</v>
      </c>
      <c r="H554" s="41">
        <f>ABS(H$5-(6-'4JSON'!H548))</f>
        <v>1</v>
      </c>
      <c r="I554" s="41">
        <f>ABS(I$5-(6-'4JSON'!I548))</f>
        <v>2</v>
      </c>
      <c r="J554" s="41">
        <f>ABS(J$5-(6-'4JSON'!J548))</f>
        <v>1</v>
      </c>
      <c r="K554" s="41">
        <f>ABS(K$5-(6-'4JSON'!K548))</f>
        <v>1</v>
      </c>
      <c r="L554" s="41">
        <f>ABS(L$5-(6-'4JSON'!L548))</f>
        <v>0</v>
      </c>
      <c r="M554" s="36">
        <f t="shared" si="1"/>
        <v>8</v>
      </c>
      <c r="N554" s="42">
        <f t="shared" si="2"/>
        <v>0.7777777778</v>
      </c>
    </row>
    <row r="555">
      <c r="A555" s="35">
        <f>'4JSON'!A549</f>
        <v>5135</v>
      </c>
      <c r="B555" s="25" t="str">
        <f>'4JSON'!B549</f>
        <v>Acting Teachers</v>
      </c>
      <c r="C555" s="41" t="str">
        <f>'4JSON'!C549</f>
        <v>Actors and comedians</v>
      </c>
      <c r="D555" s="41">
        <f>ABS(D$5-(6-'4JSON'!D549))</f>
        <v>2</v>
      </c>
      <c r="E555" s="41">
        <f>ABS(E$5-(6-'4JSON'!E549))</f>
        <v>1</v>
      </c>
      <c r="F555" s="41">
        <f>ABS(F$5-(6-'4JSON'!F549))</f>
        <v>1</v>
      </c>
      <c r="G555" s="41">
        <f>ABS(G$5-(6-'4JSON'!G549))</f>
        <v>0</v>
      </c>
      <c r="H555" s="41">
        <f>ABS(H$5-(6-'4JSON'!H549))</f>
        <v>1</v>
      </c>
      <c r="I555" s="41">
        <f>ABS(I$5-(6-'4JSON'!I549))</f>
        <v>1</v>
      </c>
      <c r="J555" s="41">
        <f>ABS(J$5-(6-'4JSON'!J549))</f>
        <v>1</v>
      </c>
      <c r="K555" s="41">
        <f>ABS(K$5-(6-'4JSON'!K549))</f>
        <v>1</v>
      </c>
      <c r="L555" s="41">
        <f>ABS(L$5-(6-'4JSON'!L549))</f>
        <v>1</v>
      </c>
      <c r="M555" s="36">
        <f t="shared" si="1"/>
        <v>9</v>
      </c>
      <c r="N555" s="42">
        <f t="shared" si="2"/>
        <v>0.75</v>
      </c>
    </row>
    <row r="556">
      <c r="A556" s="35">
        <f>'4JSON'!A550</f>
        <v>5135</v>
      </c>
      <c r="B556" s="25" t="str">
        <f>'4JSON'!B550</f>
        <v>Actors and Comedians</v>
      </c>
      <c r="C556" s="41" t="str">
        <f>'4JSON'!C550</f>
        <v>Actors and comedians</v>
      </c>
      <c r="D556" s="41">
        <f>ABS(D$5-(6-'4JSON'!D550))</f>
        <v>2</v>
      </c>
      <c r="E556" s="41">
        <f>ABS(E$5-(6-'4JSON'!E550))</f>
        <v>1</v>
      </c>
      <c r="F556" s="41">
        <f>ABS(F$5-(6-'4JSON'!F550))</f>
        <v>1</v>
      </c>
      <c r="G556" s="41">
        <f>ABS(G$5-(6-'4JSON'!G550))</f>
        <v>0</v>
      </c>
      <c r="H556" s="41">
        <f>ABS(H$5-(6-'4JSON'!H550))</f>
        <v>1</v>
      </c>
      <c r="I556" s="41">
        <f>ABS(I$5-(6-'4JSON'!I550))</f>
        <v>1</v>
      </c>
      <c r="J556" s="41">
        <f>ABS(J$5-(6-'4JSON'!J550))</f>
        <v>1</v>
      </c>
      <c r="K556" s="41">
        <f>ABS(K$5-(6-'4JSON'!K550))</f>
        <v>1</v>
      </c>
      <c r="L556" s="41">
        <f>ABS(L$5-(6-'4JSON'!L550))</f>
        <v>1</v>
      </c>
      <c r="M556" s="36">
        <f t="shared" si="1"/>
        <v>9</v>
      </c>
      <c r="N556" s="42">
        <f t="shared" si="2"/>
        <v>0.75</v>
      </c>
    </row>
    <row r="557">
      <c r="A557" s="35">
        <f>'4JSON'!A551</f>
        <v>9437</v>
      </c>
      <c r="B557" s="25" t="str">
        <f>'4JSON'!B551</f>
        <v>Woodworking Machine Operators</v>
      </c>
      <c r="C557" s="41" t="str">
        <f>'4JSON'!C551</f>
        <v>Woodworking machine operators</v>
      </c>
      <c r="D557" s="41">
        <f>ABS(D$5-(6-'4JSON'!D551))</f>
        <v>0</v>
      </c>
      <c r="E557" s="41">
        <f>ABS(E$5-(6-'4JSON'!E551))</f>
        <v>1</v>
      </c>
      <c r="F557" s="41">
        <f>ABS(F$5-(6-'4JSON'!F551))</f>
        <v>1</v>
      </c>
      <c r="G557" s="41">
        <f>ABS(G$5-(6-'4JSON'!G551))</f>
        <v>1</v>
      </c>
      <c r="H557" s="41">
        <f>ABS(H$5-(6-'4JSON'!H551))</f>
        <v>1</v>
      </c>
      <c r="I557" s="41">
        <f>ABS(I$5-(6-'4JSON'!I551))</f>
        <v>1</v>
      </c>
      <c r="J557" s="41">
        <f>ABS(J$5-(6-'4JSON'!J551))</f>
        <v>0</v>
      </c>
      <c r="K557" s="41">
        <f>ABS(K$5-(6-'4JSON'!K551))</f>
        <v>1</v>
      </c>
      <c r="L557" s="41">
        <f>ABS(L$5-(6-'4JSON'!L551))</f>
        <v>0</v>
      </c>
      <c r="M557" s="36">
        <f t="shared" si="1"/>
        <v>6</v>
      </c>
      <c r="N557" s="42">
        <f t="shared" si="2"/>
        <v>0.8333333333</v>
      </c>
    </row>
    <row r="558">
      <c r="A558" s="35">
        <f>'4JSON'!A552</f>
        <v>1314</v>
      </c>
      <c r="B558" s="25" t="str">
        <f>'4JSON'!B552</f>
        <v>Appraisers</v>
      </c>
      <c r="C558" s="41" t="str">
        <f>'4JSON'!C552</f>
        <v>Assessors, valuators and appraisers</v>
      </c>
      <c r="D558" s="41">
        <f>ABS(D$5-(6-'4JSON'!D552))</f>
        <v>2</v>
      </c>
      <c r="E558" s="41">
        <f>ABS(E$5-(6-'4JSON'!E552))</f>
        <v>0</v>
      </c>
      <c r="F558" s="41">
        <f>ABS(F$5-(6-'4JSON'!F552))</f>
        <v>1</v>
      </c>
      <c r="G558" s="41">
        <f>ABS(G$5-(6-'4JSON'!G552))</f>
        <v>0</v>
      </c>
      <c r="H558" s="41">
        <f>ABS(H$5-(6-'4JSON'!H552))</f>
        <v>1</v>
      </c>
      <c r="I558" s="41">
        <f>ABS(I$5-(6-'4JSON'!I552))</f>
        <v>0</v>
      </c>
      <c r="J558" s="41">
        <f>ABS(J$5-(6-'4JSON'!J552))</f>
        <v>1</v>
      </c>
      <c r="K558" s="41">
        <f>ABS(K$5-(6-'4JSON'!K552))</f>
        <v>1</v>
      </c>
      <c r="L558" s="41">
        <f>ABS(L$5-(6-'4JSON'!L552))</f>
        <v>1</v>
      </c>
      <c r="M558" s="36">
        <f t="shared" si="1"/>
        <v>7</v>
      </c>
      <c r="N558" s="42">
        <f t="shared" si="2"/>
        <v>0.8055555556</v>
      </c>
    </row>
    <row r="559">
      <c r="A559" s="35">
        <f>'4JSON'!A553</f>
        <v>823</v>
      </c>
      <c r="B559" s="25" t="str">
        <f>'4JSON'!B553</f>
        <v>Aquaculture Operators and Managers</v>
      </c>
      <c r="C559" s="41" t="str">
        <f>'4JSON'!C553</f>
        <v>Managers in aquaculture</v>
      </c>
      <c r="D559" s="41">
        <f>ABS(D$5-(6-'4JSON'!D553))</f>
        <v>1</v>
      </c>
      <c r="E559" s="41">
        <f>ABS(E$5-(6-'4JSON'!E553))</f>
        <v>0</v>
      </c>
      <c r="F559" s="41">
        <f>ABS(F$5-(6-'4JSON'!F553))</f>
        <v>1</v>
      </c>
      <c r="G559" s="41">
        <f>ABS(G$5-(6-'4JSON'!G553))</f>
        <v>1</v>
      </c>
      <c r="H559" s="41">
        <f>ABS(H$5-(6-'4JSON'!H553))</f>
        <v>1</v>
      </c>
      <c r="I559" s="41">
        <f>ABS(I$5-(6-'4JSON'!I553))</f>
        <v>1</v>
      </c>
      <c r="J559" s="41">
        <f>ABS(J$5-(6-'4JSON'!J553))</f>
        <v>1</v>
      </c>
      <c r="K559" s="41">
        <f>ABS(K$5-(6-'4JSON'!K553))</f>
        <v>1</v>
      </c>
      <c r="L559" s="41">
        <f>ABS(L$5-(6-'4JSON'!L553))</f>
        <v>0</v>
      </c>
      <c r="M559" s="36">
        <f t="shared" si="1"/>
        <v>7</v>
      </c>
      <c r="N559" s="42">
        <f t="shared" si="2"/>
        <v>0.8055555556</v>
      </c>
    </row>
    <row r="560">
      <c r="A560" s="35">
        <f>'4JSON'!A554</f>
        <v>7361</v>
      </c>
      <c r="B560" s="25" t="str">
        <f>'4JSON'!B554</f>
        <v>Yard Locomotive Engineers</v>
      </c>
      <c r="C560" s="41" t="str">
        <f>'4JSON'!C554</f>
        <v>Railway and yard locomotive engineers</v>
      </c>
      <c r="D560" s="41">
        <f>ABS(D$5-(6-'4JSON'!D554))</f>
        <v>1</v>
      </c>
      <c r="E560" s="41">
        <f>ABS(E$5-(6-'4JSON'!E554))</f>
        <v>1</v>
      </c>
      <c r="F560" s="41">
        <f>ABS(F$5-(6-'4JSON'!F554))</f>
        <v>1</v>
      </c>
      <c r="G560" s="41">
        <f>ABS(G$5-(6-'4JSON'!G554))</f>
        <v>0</v>
      </c>
      <c r="H560" s="41">
        <f>ABS(H$5-(6-'4JSON'!H554))</f>
        <v>2</v>
      </c>
      <c r="I560" s="41">
        <f>ABS(I$5-(6-'4JSON'!I554))</f>
        <v>1</v>
      </c>
      <c r="J560" s="41">
        <f>ABS(J$5-(6-'4JSON'!J554))</f>
        <v>1</v>
      </c>
      <c r="K560" s="41">
        <f>ABS(K$5-(6-'4JSON'!K554))</f>
        <v>1</v>
      </c>
      <c r="L560" s="41">
        <f>ABS(L$5-(6-'4JSON'!L554))</f>
        <v>0</v>
      </c>
      <c r="M560" s="36">
        <f t="shared" si="1"/>
        <v>8</v>
      </c>
      <c r="N560" s="42">
        <f t="shared" si="2"/>
        <v>0.7777777778</v>
      </c>
    </row>
    <row r="561">
      <c r="A561" s="35">
        <f>'4JSON'!A555</f>
        <v>1314</v>
      </c>
      <c r="B561" s="25" t="str">
        <f>'4JSON'!B555</f>
        <v>Assessors</v>
      </c>
      <c r="C561" s="41" t="str">
        <f>'4JSON'!C555</f>
        <v>Assessors, valuators and appraisers</v>
      </c>
      <c r="D561" s="41">
        <f>ABS(D$5-(6-'4JSON'!D555))</f>
        <v>2</v>
      </c>
      <c r="E561" s="41">
        <f>ABS(E$5-(6-'4JSON'!E555))</f>
        <v>0</v>
      </c>
      <c r="F561" s="41">
        <f>ABS(F$5-(6-'4JSON'!F555))</f>
        <v>1</v>
      </c>
      <c r="G561" s="41">
        <f>ABS(G$5-(6-'4JSON'!G555))</f>
        <v>0</v>
      </c>
      <c r="H561" s="41">
        <f>ABS(H$5-(6-'4JSON'!H555))</f>
        <v>1</v>
      </c>
      <c r="I561" s="41">
        <f>ABS(I$5-(6-'4JSON'!I555))</f>
        <v>0</v>
      </c>
      <c r="J561" s="41">
        <f>ABS(J$5-(6-'4JSON'!J555))</f>
        <v>1</v>
      </c>
      <c r="K561" s="41">
        <f>ABS(K$5-(6-'4JSON'!K555))</f>
        <v>1</v>
      </c>
      <c r="L561" s="41">
        <f>ABS(L$5-(6-'4JSON'!L555))</f>
        <v>1</v>
      </c>
      <c r="M561" s="36">
        <f t="shared" si="1"/>
        <v>7</v>
      </c>
      <c r="N561" s="42">
        <f t="shared" si="2"/>
        <v>0.8055555556</v>
      </c>
    </row>
    <row r="562">
      <c r="A562" s="35">
        <f>'4JSON'!A556</f>
        <v>3141</v>
      </c>
      <c r="B562" s="25" t="str">
        <f>'4JSON'!B556</f>
        <v>Audiologists</v>
      </c>
      <c r="C562" s="41" t="str">
        <f>'4JSON'!C556</f>
        <v>Audiologists and speech-language pathologists</v>
      </c>
      <c r="D562" s="41">
        <f>ABS(D$5-(6-'4JSON'!D556))</f>
        <v>2</v>
      </c>
      <c r="E562" s="41">
        <f>ABS(E$5-(6-'4JSON'!E556))</f>
        <v>1</v>
      </c>
      <c r="F562" s="41">
        <f>ABS(F$5-(6-'4JSON'!F556))</f>
        <v>0</v>
      </c>
      <c r="G562" s="41">
        <f>ABS(G$5-(6-'4JSON'!G556))</f>
        <v>0</v>
      </c>
      <c r="H562" s="41">
        <f>ABS(H$5-(6-'4JSON'!H556))</f>
        <v>1</v>
      </c>
      <c r="I562" s="41">
        <f>ABS(I$5-(6-'4JSON'!I556))</f>
        <v>0</v>
      </c>
      <c r="J562" s="41">
        <f>ABS(J$5-(6-'4JSON'!J556))</f>
        <v>1</v>
      </c>
      <c r="K562" s="41">
        <f>ABS(K$5-(6-'4JSON'!K556))</f>
        <v>1</v>
      </c>
      <c r="L562" s="41">
        <f>ABS(L$5-(6-'4JSON'!L556))</f>
        <v>1</v>
      </c>
      <c r="M562" s="36">
        <f t="shared" si="1"/>
        <v>7</v>
      </c>
      <c r="N562" s="42">
        <f t="shared" si="2"/>
        <v>0.8055555556</v>
      </c>
    </row>
    <row r="563">
      <c r="A563" s="35">
        <f>'4JSON'!A557</f>
        <v>1434</v>
      </c>
      <c r="B563" s="25" t="str">
        <f>'4JSON'!B557</f>
        <v>Bank Clerks</v>
      </c>
      <c r="C563" s="41" t="str">
        <f>'4JSON'!C557</f>
        <v>Banking, insurance and other financial clerks</v>
      </c>
      <c r="D563" s="41">
        <f>ABS(D$5-(6-'4JSON'!D557))</f>
        <v>1</v>
      </c>
      <c r="E563" s="41">
        <f>ABS(E$5-(6-'4JSON'!E557))</f>
        <v>0</v>
      </c>
      <c r="F563" s="41">
        <f>ABS(F$5-(6-'4JSON'!F557))</f>
        <v>0</v>
      </c>
      <c r="G563" s="41">
        <f>ABS(G$5-(6-'4JSON'!G557))</f>
        <v>1</v>
      </c>
      <c r="H563" s="41">
        <f>ABS(H$5-(6-'4JSON'!H557))</f>
        <v>2</v>
      </c>
      <c r="I563" s="41">
        <f>ABS(I$5-(6-'4JSON'!I557))</f>
        <v>0</v>
      </c>
      <c r="J563" s="41">
        <f>ABS(J$5-(6-'4JSON'!J557))</f>
        <v>0</v>
      </c>
      <c r="K563" s="41">
        <f>ABS(K$5-(6-'4JSON'!K557))</f>
        <v>0</v>
      </c>
      <c r="L563" s="41">
        <f>ABS(L$5-(6-'4JSON'!L557))</f>
        <v>1</v>
      </c>
      <c r="M563" s="36">
        <f t="shared" si="1"/>
        <v>5</v>
      </c>
      <c r="N563" s="42">
        <f t="shared" si="2"/>
        <v>0.8611111111</v>
      </c>
    </row>
    <row r="564">
      <c r="A564" s="35">
        <f>'4JSON'!A558</f>
        <v>2221</v>
      </c>
      <c r="B564" s="25" t="str">
        <f>'4JSON'!B558</f>
        <v>Biological Technologists</v>
      </c>
      <c r="C564" s="41" t="str">
        <f>'4JSON'!C558</f>
        <v>Biological technologists and technicians</v>
      </c>
      <c r="D564" s="41">
        <f>ABS(D$5-(6-'4JSON'!D558))</f>
        <v>2</v>
      </c>
      <c r="E564" s="41">
        <f>ABS(E$5-(6-'4JSON'!E558))</f>
        <v>1</v>
      </c>
      <c r="F564" s="41">
        <f>ABS(F$5-(6-'4JSON'!F558))</f>
        <v>1</v>
      </c>
      <c r="G564" s="41">
        <f>ABS(G$5-(6-'4JSON'!G558))</f>
        <v>0</v>
      </c>
      <c r="H564" s="41">
        <f>ABS(H$5-(6-'4JSON'!H558))</f>
        <v>0</v>
      </c>
      <c r="I564" s="41">
        <f>ABS(I$5-(6-'4JSON'!I558))</f>
        <v>0</v>
      </c>
      <c r="J564" s="41">
        <f>ABS(J$5-(6-'4JSON'!J558))</f>
        <v>0</v>
      </c>
      <c r="K564" s="41">
        <f>ABS(K$5-(6-'4JSON'!K558))</f>
        <v>1</v>
      </c>
      <c r="L564" s="41">
        <f>ABS(L$5-(6-'4JSON'!L558))</f>
        <v>0</v>
      </c>
      <c r="M564" s="36">
        <f t="shared" si="1"/>
        <v>5</v>
      </c>
      <c r="N564" s="42">
        <f t="shared" si="2"/>
        <v>0.8611111111</v>
      </c>
    </row>
    <row r="565">
      <c r="A565" s="35">
        <f>'4JSON'!A559</f>
        <v>7534</v>
      </c>
      <c r="B565" s="25" t="str">
        <f>'4JSON'!B559</f>
        <v>Air Transport Ramp Attendants</v>
      </c>
      <c r="C565" s="41" t="str">
        <f>'4JSON'!C559</f>
        <v>Air transport ramp attendants</v>
      </c>
      <c r="D565" s="41">
        <f>ABS(D$5-(6-'4JSON'!D559))</f>
        <v>0</v>
      </c>
      <c r="E565" s="41">
        <f>ABS(E$5-(6-'4JSON'!E559))</f>
        <v>1</v>
      </c>
      <c r="F565" s="41">
        <f>ABS(F$5-(6-'4JSON'!F559))</f>
        <v>1</v>
      </c>
      <c r="G565" s="41">
        <f>ABS(G$5-(6-'4JSON'!G559))</f>
        <v>0</v>
      </c>
      <c r="H565" s="41">
        <f>ABS(H$5-(6-'4JSON'!H559))</f>
        <v>2</v>
      </c>
      <c r="I565" s="41">
        <f>ABS(I$5-(6-'4JSON'!I559))</f>
        <v>1</v>
      </c>
      <c r="J565" s="41">
        <f>ABS(J$5-(6-'4JSON'!J559))</f>
        <v>1</v>
      </c>
      <c r="K565" s="41">
        <f>ABS(K$5-(6-'4JSON'!K559))</f>
        <v>1</v>
      </c>
      <c r="L565" s="41">
        <f>ABS(L$5-(6-'4JSON'!L559))</f>
        <v>0</v>
      </c>
      <c r="M565" s="36">
        <f t="shared" si="1"/>
        <v>7</v>
      </c>
      <c r="N565" s="42">
        <f t="shared" si="2"/>
        <v>0.8055555556</v>
      </c>
    </row>
    <row r="566">
      <c r="A566" s="35">
        <f>'4JSON'!A560</f>
        <v>9423</v>
      </c>
      <c r="B566" s="25" t="str">
        <f>'4JSON'!B560</f>
        <v>Assemblers, Rubber Products</v>
      </c>
      <c r="C566" s="41" t="str">
        <f>'4JSON'!C560</f>
        <v>Rubber processing machine operators and related workers</v>
      </c>
      <c r="D566" s="41">
        <f>ABS(D$5-(6-'4JSON'!D560))</f>
        <v>0</v>
      </c>
      <c r="E566" s="41">
        <f>ABS(E$5-(6-'4JSON'!E560))</f>
        <v>1</v>
      </c>
      <c r="F566" s="41">
        <f>ABS(F$5-(6-'4JSON'!F560))</f>
        <v>1</v>
      </c>
      <c r="G566" s="41">
        <f>ABS(G$5-(6-'4JSON'!G560))</f>
        <v>1</v>
      </c>
      <c r="H566" s="41">
        <f>ABS(H$5-(6-'4JSON'!H560))</f>
        <v>2</v>
      </c>
      <c r="I566" s="41">
        <f>ABS(I$5-(6-'4JSON'!I560))</f>
        <v>1</v>
      </c>
      <c r="J566" s="41">
        <f>ABS(J$5-(6-'4JSON'!J560))</f>
        <v>0</v>
      </c>
      <c r="K566" s="41">
        <f>ABS(K$5-(6-'4JSON'!K560))</f>
        <v>1</v>
      </c>
      <c r="L566" s="41">
        <f>ABS(L$5-(6-'4JSON'!L560))</f>
        <v>0</v>
      </c>
      <c r="M566" s="36">
        <f t="shared" si="1"/>
        <v>7</v>
      </c>
      <c r="N566" s="42">
        <f t="shared" si="2"/>
        <v>0.8055555556</v>
      </c>
    </row>
    <row r="567">
      <c r="A567" s="35">
        <f>'4JSON'!A561</f>
        <v>3414</v>
      </c>
      <c r="B567" s="25" t="str">
        <f>'4JSON'!B561</f>
        <v>Blood Donor Clinic Assistants</v>
      </c>
      <c r="C567" s="41" t="str">
        <f>'4JSON'!C561</f>
        <v>Other assisting occupations in support of health services</v>
      </c>
      <c r="D567" s="41">
        <f>ABS(D$5-(6-'4JSON'!D561))</f>
        <v>0</v>
      </c>
      <c r="E567" s="41">
        <f>ABS(E$5-(6-'4JSON'!E561))</f>
        <v>1</v>
      </c>
      <c r="F567" s="41">
        <f>ABS(F$5-(6-'4JSON'!F561))</f>
        <v>1</v>
      </c>
      <c r="G567" s="41">
        <f>ABS(G$5-(6-'4JSON'!G561))</f>
        <v>1</v>
      </c>
      <c r="H567" s="41">
        <f>ABS(H$5-(6-'4JSON'!H561))</f>
        <v>2</v>
      </c>
      <c r="I567" s="41">
        <f>ABS(I$5-(6-'4JSON'!I561))</f>
        <v>0</v>
      </c>
      <c r="J567" s="41">
        <f>ABS(J$5-(6-'4JSON'!J561))</f>
        <v>1</v>
      </c>
      <c r="K567" s="41">
        <f>ABS(K$5-(6-'4JSON'!K561))</f>
        <v>1</v>
      </c>
      <c r="L567" s="41">
        <f>ABS(L$5-(6-'4JSON'!L561))</f>
        <v>0</v>
      </c>
      <c r="M567" s="36">
        <f t="shared" si="1"/>
        <v>7</v>
      </c>
      <c r="N567" s="42">
        <f t="shared" si="2"/>
        <v>0.8055555556</v>
      </c>
    </row>
    <row r="568">
      <c r="A568" s="35">
        <f>'4JSON'!A562</f>
        <v>3217</v>
      </c>
      <c r="B568" s="25" t="str">
        <f>'4JSON'!B562</f>
        <v>Cardiology Technologists</v>
      </c>
      <c r="C568" s="41" t="str">
        <f>'4JSON'!C562</f>
        <v>Cardiology technologists and electrophysiological diagnostic technologists, n.e.c.</v>
      </c>
      <c r="D568" s="41">
        <f>ABS(D$5-(6-'4JSON'!D562))</f>
        <v>1</v>
      </c>
      <c r="E568" s="41">
        <f>ABS(E$5-(6-'4JSON'!E562))</f>
        <v>0</v>
      </c>
      <c r="F568" s="41">
        <f>ABS(F$5-(6-'4JSON'!F562))</f>
        <v>0</v>
      </c>
      <c r="G568" s="41">
        <f>ABS(G$5-(6-'4JSON'!G562))</f>
        <v>0</v>
      </c>
      <c r="H568" s="41">
        <f>ABS(H$5-(6-'4JSON'!H562))</f>
        <v>0</v>
      </c>
      <c r="I568" s="41">
        <f>ABS(I$5-(6-'4JSON'!I562))</f>
        <v>1</v>
      </c>
      <c r="J568" s="41">
        <f>ABS(J$5-(6-'4JSON'!J562))</f>
        <v>1</v>
      </c>
      <c r="K568" s="41">
        <f>ABS(K$5-(6-'4JSON'!K562))</f>
        <v>0</v>
      </c>
      <c r="L568" s="41">
        <f>ABS(L$5-(6-'4JSON'!L562))</f>
        <v>0</v>
      </c>
      <c r="M568" s="36">
        <f t="shared" si="1"/>
        <v>3</v>
      </c>
      <c r="N568" s="42">
        <f t="shared" si="2"/>
        <v>0.9166666667</v>
      </c>
    </row>
    <row r="569">
      <c r="A569" s="35">
        <f>'4JSON'!A563</f>
        <v>7362</v>
      </c>
      <c r="B569" s="25" t="str">
        <f>'4JSON'!B563</f>
        <v>Brakemen/women</v>
      </c>
      <c r="C569" s="41" t="str">
        <f>'4JSON'!C563</f>
        <v>Railway conductors and brakemen/women</v>
      </c>
      <c r="D569" s="41">
        <f>ABS(D$5-(6-'4JSON'!D563))</f>
        <v>1</v>
      </c>
      <c r="E569" s="41">
        <f>ABS(E$5-(6-'4JSON'!E563))</f>
        <v>1</v>
      </c>
      <c r="F569" s="41">
        <f>ABS(F$5-(6-'4JSON'!F563))</f>
        <v>1</v>
      </c>
      <c r="G569" s="41">
        <f>ABS(G$5-(6-'4JSON'!G563))</f>
        <v>1</v>
      </c>
      <c r="H569" s="41">
        <f>ABS(H$5-(6-'4JSON'!H563))</f>
        <v>2</v>
      </c>
      <c r="I569" s="41">
        <f>ABS(I$5-(6-'4JSON'!I563))</f>
        <v>1</v>
      </c>
      <c r="J569" s="41">
        <f>ABS(J$5-(6-'4JSON'!J563))</f>
        <v>1</v>
      </c>
      <c r="K569" s="41">
        <f>ABS(K$5-(6-'4JSON'!K563))</f>
        <v>1</v>
      </c>
      <c r="L569" s="41">
        <f>ABS(L$5-(6-'4JSON'!L563))</f>
        <v>0</v>
      </c>
      <c r="M569" s="36">
        <f t="shared" si="1"/>
        <v>9</v>
      </c>
      <c r="N569" s="42">
        <f t="shared" si="2"/>
        <v>0.75</v>
      </c>
    </row>
    <row r="570">
      <c r="A570" s="35">
        <f>'4JSON'!A564</f>
        <v>9231</v>
      </c>
      <c r="B570" s="25" t="str">
        <f>'4JSON'!B564</f>
        <v>Central Control and Process Operators, Mineral and Metal Processing</v>
      </c>
      <c r="C570" s="41" t="str">
        <f>'4JSON'!C564</f>
        <v>Central control and process operators, mineral and metal processing</v>
      </c>
      <c r="D570" s="41">
        <f>ABS(D$5-(6-'4JSON'!D564))</f>
        <v>1</v>
      </c>
      <c r="E570" s="41">
        <f>ABS(E$5-(6-'4JSON'!E564))</f>
        <v>0</v>
      </c>
      <c r="F570" s="41">
        <f>ABS(F$5-(6-'4JSON'!F564))</f>
        <v>0</v>
      </c>
      <c r="G570" s="41">
        <f>ABS(G$5-(6-'4JSON'!G564))</f>
        <v>0</v>
      </c>
      <c r="H570" s="41">
        <f>ABS(H$5-(6-'4JSON'!H564))</f>
        <v>1</v>
      </c>
      <c r="I570" s="41">
        <f>ABS(I$5-(6-'4JSON'!I564))</f>
        <v>0</v>
      </c>
      <c r="J570" s="41">
        <f>ABS(J$5-(6-'4JSON'!J564))</f>
        <v>1</v>
      </c>
      <c r="K570" s="41">
        <f>ABS(K$5-(6-'4JSON'!K564))</f>
        <v>1</v>
      </c>
      <c r="L570" s="41">
        <f>ABS(L$5-(6-'4JSON'!L564))</f>
        <v>1</v>
      </c>
      <c r="M570" s="36">
        <f t="shared" si="1"/>
        <v>5</v>
      </c>
      <c r="N570" s="42">
        <f t="shared" si="2"/>
        <v>0.8611111111</v>
      </c>
    </row>
    <row r="571">
      <c r="A571" s="35">
        <f>'4JSON'!A565</f>
        <v>4021</v>
      </c>
      <c r="B571" s="25" t="str">
        <f>'4JSON'!B565</f>
        <v>College and Other Vocational Instructors</v>
      </c>
      <c r="C571" s="41" t="str">
        <f>'4JSON'!C565</f>
        <v>College and other vocational instructors</v>
      </c>
      <c r="D571" s="41">
        <f>ABS(D$5-(6-'4JSON'!D565))</f>
        <v>2</v>
      </c>
      <c r="E571" s="41">
        <f>ABS(E$5-(6-'4JSON'!E565))</f>
        <v>1</v>
      </c>
      <c r="F571" s="41">
        <f>ABS(F$5-(6-'4JSON'!F565))</f>
        <v>0</v>
      </c>
      <c r="G571" s="41">
        <f>ABS(G$5-(6-'4JSON'!G565))</f>
        <v>0</v>
      </c>
      <c r="H571" s="41">
        <f>ABS(H$5-(6-'4JSON'!H565))</f>
        <v>1</v>
      </c>
      <c r="I571" s="41">
        <f>ABS(I$5-(6-'4JSON'!I565))</f>
        <v>0</v>
      </c>
      <c r="J571" s="41">
        <f>ABS(J$5-(6-'4JSON'!J565))</f>
        <v>1</v>
      </c>
      <c r="K571" s="41">
        <f>ABS(K$5-(6-'4JSON'!K565))</f>
        <v>1</v>
      </c>
      <c r="L571" s="41">
        <f>ABS(L$5-(6-'4JSON'!L565))</f>
        <v>1</v>
      </c>
      <c r="M571" s="36">
        <f t="shared" si="1"/>
        <v>7</v>
      </c>
      <c r="N571" s="42">
        <f t="shared" si="2"/>
        <v>0.8055555556</v>
      </c>
    </row>
    <row r="572">
      <c r="A572" s="35">
        <f>'4JSON'!A566</f>
        <v>433</v>
      </c>
      <c r="B572" s="25" t="str">
        <f>'4JSON'!B566</f>
        <v>Commissioned Officers, Armed Forces</v>
      </c>
      <c r="C572" s="41" t="str">
        <f>'4JSON'!C566</f>
        <v>Commissioned officers of the Canadian Forces</v>
      </c>
      <c r="D572" s="41">
        <f>ABS(D$5-(6-'4JSON'!D566))</f>
        <v>2</v>
      </c>
      <c r="E572" s="41">
        <f>ABS(E$5-(6-'4JSON'!E566))</f>
        <v>0</v>
      </c>
      <c r="F572" s="41">
        <f>ABS(F$5-(6-'4JSON'!F566))</f>
        <v>1</v>
      </c>
      <c r="G572" s="41">
        <f>ABS(G$5-(6-'4JSON'!G566))</f>
        <v>0</v>
      </c>
      <c r="H572" s="41">
        <f>ABS(H$5-(6-'4JSON'!H566))</f>
        <v>2</v>
      </c>
      <c r="I572" s="41">
        <f>ABS(I$5-(6-'4JSON'!I566))</f>
        <v>1</v>
      </c>
      <c r="J572" s="41">
        <f>ABS(J$5-(6-'4JSON'!J566))</f>
        <v>1</v>
      </c>
      <c r="K572" s="41">
        <f>ABS(K$5-(6-'4JSON'!K566))</f>
        <v>1</v>
      </c>
      <c r="L572" s="41">
        <f>ABS(L$5-(6-'4JSON'!L566))</f>
        <v>1</v>
      </c>
      <c r="M572" s="36">
        <f t="shared" si="1"/>
        <v>9</v>
      </c>
      <c r="N572" s="42">
        <f t="shared" si="2"/>
        <v>0.75</v>
      </c>
    </row>
    <row r="573">
      <c r="A573" s="35">
        <f>'4JSON'!A567</f>
        <v>1123</v>
      </c>
      <c r="B573" s="25" t="str">
        <f>'4JSON'!B567</f>
        <v>Communication Assistants</v>
      </c>
      <c r="C573" s="41" t="str">
        <f>'4JSON'!C567</f>
        <v>Professional occupations in advertising, marketing and public relations</v>
      </c>
      <c r="D573" s="41">
        <f>ABS(D$5-(6-'4JSON'!D567))</f>
        <v>1</v>
      </c>
      <c r="E573" s="41">
        <f>ABS(E$5-(6-'4JSON'!E567))</f>
        <v>0</v>
      </c>
      <c r="F573" s="41">
        <f>ABS(F$5-(6-'4JSON'!F567))</f>
        <v>1</v>
      </c>
      <c r="G573" s="41">
        <f>ABS(G$5-(6-'4JSON'!G567))</f>
        <v>1</v>
      </c>
      <c r="H573" s="41">
        <f>ABS(H$5-(6-'4JSON'!H567))</f>
        <v>2</v>
      </c>
      <c r="I573" s="41">
        <f>ABS(I$5-(6-'4JSON'!I567))</f>
        <v>1</v>
      </c>
      <c r="J573" s="41">
        <f>ABS(J$5-(6-'4JSON'!J567))</f>
        <v>1</v>
      </c>
      <c r="K573" s="41">
        <f>ABS(K$5-(6-'4JSON'!K567))</f>
        <v>0</v>
      </c>
      <c r="L573" s="41">
        <f>ABS(L$5-(6-'4JSON'!L567))</f>
        <v>0</v>
      </c>
      <c r="M573" s="36">
        <f t="shared" si="1"/>
        <v>7</v>
      </c>
      <c r="N573" s="42">
        <f t="shared" si="2"/>
        <v>0.8055555556</v>
      </c>
    </row>
    <row r="574">
      <c r="A574" s="35">
        <f>'4JSON'!A568</f>
        <v>8241</v>
      </c>
      <c r="B574" s="25" t="str">
        <f>'4JSON'!B568</f>
        <v>Cable Yarding System Operators</v>
      </c>
      <c r="C574" s="41" t="str">
        <f>'4JSON'!C568</f>
        <v>Logging machinery operators</v>
      </c>
      <c r="D574" s="41">
        <f>ABS(D$5-(6-'4JSON'!D568))</f>
        <v>1</v>
      </c>
      <c r="E574" s="41">
        <f>ABS(E$5-(6-'4JSON'!E568))</f>
        <v>1</v>
      </c>
      <c r="F574" s="41">
        <f>ABS(F$5-(6-'4JSON'!F568))</f>
        <v>2</v>
      </c>
      <c r="G574" s="41">
        <f>ABS(G$5-(6-'4JSON'!G568))</f>
        <v>0</v>
      </c>
      <c r="H574" s="41">
        <f>ABS(H$5-(6-'4JSON'!H568))</f>
        <v>2</v>
      </c>
      <c r="I574" s="41">
        <f>ABS(I$5-(6-'4JSON'!I568))</f>
        <v>2</v>
      </c>
      <c r="J574" s="41">
        <f>ABS(J$5-(6-'4JSON'!J568))</f>
        <v>0</v>
      </c>
      <c r="K574" s="41">
        <f>ABS(K$5-(6-'4JSON'!K568))</f>
        <v>1</v>
      </c>
      <c r="L574" s="41">
        <f>ABS(L$5-(6-'4JSON'!L568))</f>
        <v>0</v>
      </c>
      <c r="M574" s="36">
        <f t="shared" si="1"/>
        <v>9</v>
      </c>
      <c r="N574" s="42">
        <f t="shared" si="2"/>
        <v>0.75</v>
      </c>
    </row>
    <row r="575">
      <c r="A575" s="35">
        <f>'4JSON'!A569</f>
        <v>2264</v>
      </c>
      <c r="B575" s="25" t="str">
        <f>'4JSON'!B569</f>
        <v>Construction Inspectors</v>
      </c>
      <c r="C575" s="41" t="str">
        <f>'4JSON'!C569</f>
        <v>Construction inspectors</v>
      </c>
      <c r="D575" s="41">
        <f>ABS(D$5-(6-'4JSON'!D569))</f>
        <v>2</v>
      </c>
      <c r="E575" s="41">
        <f>ABS(E$5-(6-'4JSON'!E569))</f>
        <v>0</v>
      </c>
      <c r="F575" s="41">
        <f>ABS(F$5-(6-'4JSON'!F569))</f>
        <v>0</v>
      </c>
      <c r="G575" s="41">
        <f>ABS(G$5-(6-'4JSON'!G569))</f>
        <v>1</v>
      </c>
      <c r="H575" s="41">
        <f>ABS(H$5-(6-'4JSON'!H569))</f>
        <v>0</v>
      </c>
      <c r="I575" s="41">
        <f>ABS(I$5-(6-'4JSON'!I569))</f>
        <v>1</v>
      </c>
      <c r="J575" s="41">
        <f>ABS(J$5-(6-'4JSON'!J569))</f>
        <v>1</v>
      </c>
      <c r="K575" s="41">
        <f>ABS(K$5-(6-'4JSON'!K569))</f>
        <v>1</v>
      </c>
      <c r="L575" s="41">
        <f>ABS(L$5-(6-'4JSON'!L569))</f>
        <v>1</v>
      </c>
      <c r="M575" s="36">
        <f t="shared" si="1"/>
        <v>7</v>
      </c>
      <c r="N575" s="42">
        <f t="shared" si="2"/>
        <v>0.8055555556</v>
      </c>
    </row>
    <row r="576">
      <c r="A576" s="35">
        <f>'4JSON'!A570</f>
        <v>6322</v>
      </c>
      <c r="B576" s="25" t="str">
        <f>'4JSON'!B570</f>
        <v>Cooks</v>
      </c>
      <c r="C576" s="41" t="str">
        <f>'4JSON'!C570</f>
        <v>Cooks</v>
      </c>
      <c r="D576" s="41">
        <f>ABS(D$5-(6-'4JSON'!D570))</f>
        <v>1</v>
      </c>
      <c r="E576" s="41">
        <f>ABS(E$5-(6-'4JSON'!E570))</f>
        <v>0</v>
      </c>
      <c r="F576" s="41">
        <f>ABS(F$5-(6-'4JSON'!F570))</f>
        <v>0</v>
      </c>
      <c r="G576" s="41">
        <f>ABS(G$5-(6-'4JSON'!G570))</f>
        <v>1</v>
      </c>
      <c r="H576" s="41">
        <f>ABS(H$5-(6-'4JSON'!H570))</f>
        <v>1</v>
      </c>
      <c r="I576" s="41">
        <f>ABS(I$5-(6-'4JSON'!I570))</f>
        <v>1</v>
      </c>
      <c r="J576" s="41">
        <f>ABS(J$5-(6-'4JSON'!J570))</f>
        <v>0</v>
      </c>
      <c r="K576" s="41">
        <f>ABS(K$5-(6-'4JSON'!K570))</f>
        <v>1</v>
      </c>
      <c r="L576" s="41">
        <f>ABS(L$5-(6-'4JSON'!L570))</f>
        <v>0</v>
      </c>
      <c r="M576" s="36">
        <f t="shared" si="1"/>
        <v>5</v>
      </c>
      <c r="N576" s="42">
        <f t="shared" si="2"/>
        <v>0.8611111111</v>
      </c>
    </row>
    <row r="577">
      <c r="A577" s="35">
        <f>'4JSON'!A571</f>
        <v>5121</v>
      </c>
      <c r="B577" s="25" t="str">
        <f>'4JSON'!B571</f>
        <v>Copywriters</v>
      </c>
      <c r="C577" s="41" t="str">
        <f>'4JSON'!C571</f>
        <v>Authors and writers</v>
      </c>
      <c r="D577" s="41">
        <f>ABS(D$5-(6-'4JSON'!D571))</f>
        <v>2</v>
      </c>
      <c r="E577" s="41">
        <f>ABS(E$5-(6-'4JSON'!E571))</f>
        <v>2</v>
      </c>
      <c r="F577" s="41">
        <f>ABS(F$5-(6-'4JSON'!F571))</f>
        <v>1</v>
      </c>
      <c r="G577" s="41">
        <f>ABS(G$5-(6-'4JSON'!G571))</f>
        <v>0</v>
      </c>
      <c r="H577" s="41">
        <f>ABS(H$5-(6-'4JSON'!H571))</f>
        <v>1</v>
      </c>
      <c r="I577" s="41">
        <f>ABS(I$5-(6-'4JSON'!I571))</f>
        <v>0</v>
      </c>
      <c r="J577" s="41">
        <f>ABS(J$5-(6-'4JSON'!J571))</f>
        <v>1</v>
      </c>
      <c r="K577" s="41">
        <f>ABS(K$5-(6-'4JSON'!K571))</f>
        <v>1</v>
      </c>
      <c r="L577" s="41">
        <f>ABS(L$5-(6-'4JSON'!L571))</f>
        <v>1</v>
      </c>
      <c r="M577" s="36">
        <f t="shared" si="1"/>
        <v>9</v>
      </c>
      <c r="N577" s="42">
        <f t="shared" si="2"/>
        <v>0.75</v>
      </c>
    </row>
    <row r="578">
      <c r="A578" s="35">
        <f>'4JSON'!A572</f>
        <v>6611</v>
      </c>
      <c r="B578" s="25" t="str">
        <f>'4JSON'!B572</f>
        <v>Cashiers</v>
      </c>
      <c r="C578" s="41" t="str">
        <f>'4JSON'!C572</f>
        <v>Cashiers</v>
      </c>
      <c r="D578" s="41">
        <f>ABS(D$5-(6-'4JSON'!D572))</f>
        <v>0</v>
      </c>
      <c r="E578" s="41">
        <f>ABS(E$5-(6-'4JSON'!E572))</f>
        <v>1</v>
      </c>
      <c r="F578" s="41">
        <f>ABS(F$5-(6-'4JSON'!F572))</f>
        <v>0</v>
      </c>
      <c r="G578" s="41">
        <f>ABS(G$5-(6-'4JSON'!G572))</f>
        <v>1</v>
      </c>
      <c r="H578" s="41">
        <f>ABS(H$5-(6-'4JSON'!H572))</f>
        <v>2</v>
      </c>
      <c r="I578" s="41">
        <f>ABS(I$5-(6-'4JSON'!I572))</f>
        <v>0</v>
      </c>
      <c r="J578" s="41">
        <f>ABS(J$5-(6-'4JSON'!J572))</f>
        <v>0</v>
      </c>
      <c r="K578" s="41">
        <f>ABS(K$5-(6-'4JSON'!K572))</f>
        <v>0</v>
      </c>
      <c r="L578" s="41">
        <f>ABS(L$5-(6-'4JSON'!L572))</f>
        <v>1</v>
      </c>
      <c r="M578" s="36">
        <f t="shared" si="1"/>
        <v>5</v>
      </c>
      <c r="N578" s="42">
        <f t="shared" si="2"/>
        <v>0.8611111111</v>
      </c>
    </row>
    <row r="579">
      <c r="A579" s="35">
        <f>'4JSON'!A573</f>
        <v>1228</v>
      </c>
      <c r="B579" s="25" t="str">
        <f>'4JSON'!B573</f>
        <v>Customs Officers and Inspectors</v>
      </c>
      <c r="C579" s="41" t="str">
        <f>'4JSON'!C573</f>
        <v>Employment insurance, immigration, border services and revenue officers</v>
      </c>
      <c r="D579" s="41">
        <f>ABS(D$5-(6-'4JSON'!D573))</f>
        <v>2</v>
      </c>
      <c r="E579" s="41">
        <f>ABS(E$5-(6-'4JSON'!E573))</f>
        <v>1</v>
      </c>
      <c r="F579" s="41">
        <f>ABS(F$5-(6-'4JSON'!F573))</f>
        <v>0</v>
      </c>
      <c r="G579" s="41">
        <f>ABS(G$5-(6-'4JSON'!G573))</f>
        <v>1</v>
      </c>
      <c r="H579" s="41">
        <f>ABS(H$5-(6-'4JSON'!H573))</f>
        <v>1</v>
      </c>
      <c r="I579" s="41">
        <f>ABS(I$5-(6-'4JSON'!I573))</f>
        <v>0</v>
      </c>
      <c r="J579" s="41">
        <f>ABS(J$5-(6-'4JSON'!J573))</f>
        <v>1</v>
      </c>
      <c r="K579" s="41">
        <f>ABS(K$5-(6-'4JSON'!K573))</f>
        <v>1</v>
      </c>
      <c r="L579" s="41">
        <f>ABS(L$5-(6-'4JSON'!L573))</f>
        <v>0</v>
      </c>
      <c r="M579" s="36">
        <f t="shared" si="1"/>
        <v>7</v>
      </c>
      <c r="N579" s="42">
        <f t="shared" si="2"/>
        <v>0.8055555556</v>
      </c>
    </row>
    <row r="580">
      <c r="A580" s="35">
        <f>'4JSON'!A574</f>
        <v>7282</v>
      </c>
      <c r="B580" s="25" t="str">
        <f>'4JSON'!B574</f>
        <v>Concrete Finishers</v>
      </c>
      <c r="C580" s="41" t="str">
        <f>'4JSON'!C574</f>
        <v>Concrete finishers</v>
      </c>
      <c r="D580" s="41">
        <f>ABS(D$5-(6-'4JSON'!D574))</f>
        <v>1</v>
      </c>
      <c r="E580" s="41">
        <f>ABS(E$5-(6-'4JSON'!E574))</f>
        <v>1</v>
      </c>
      <c r="F580" s="41">
        <f>ABS(F$5-(6-'4JSON'!F574))</f>
        <v>1</v>
      </c>
      <c r="G580" s="41">
        <f>ABS(G$5-(6-'4JSON'!G574))</f>
        <v>1</v>
      </c>
      <c r="H580" s="41">
        <f>ABS(H$5-(6-'4JSON'!H574))</f>
        <v>2</v>
      </c>
      <c r="I580" s="41">
        <f>ABS(I$5-(6-'4JSON'!I574))</f>
        <v>2</v>
      </c>
      <c r="J580" s="41">
        <f>ABS(J$5-(6-'4JSON'!J574))</f>
        <v>0</v>
      </c>
      <c r="K580" s="41">
        <f>ABS(K$5-(6-'4JSON'!K574))</f>
        <v>1</v>
      </c>
      <c r="L580" s="41">
        <f>ABS(L$5-(6-'4JSON'!L574))</f>
        <v>0</v>
      </c>
      <c r="M580" s="36">
        <f t="shared" si="1"/>
        <v>9</v>
      </c>
      <c r="N580" s="42">
        <f t="shared" si="2"/>
        <v>0.75</v>
      </c>
    </row>
    <row r="581">
      <c r="A581" s="35">
        <f>'4JSON'!A575</f>
        <v>4216</v>
      </c>
      <c r="B581" s="25" t="str">
        <f>'4JSON'!B575</f>
        <v>Driver's Licence Examiners</v>
      </c>
      <c r="C581" s="41" t="str">
        <f>'4JSON'!C575</f>
        <v>Other instructors</v>
      </c>
      <c r="D581" s="41">
        <f>ABS(D$5-(6-'4JSON'!D575))</f>
        <v>1</v>
      </c>
      <c r="E581" s="41">
        <f>ABS(E$5-(6-'4JSON'!E575))</f>
        <v>0</v>
      </c>
      <c r="F581" s="41">
        <f>ABS(F$5-(6-'4JSON'!F575))</f>
        <v>1</v>
      </c>
      <c r="G581" s="41">
        <f>ABS(G$5-(6-'4JSON'!G575))</f>
        <v>0</v>
      </c>
      <c r="H581" s="41">
        <f>ABS(H$5-(6-'4JSON'!H575))</f>
        <v>2</v>
      </c>
      <c r="I581" s="41">
        <f>ABS(I$5-(6-'4JSON'!I575))</f>
        <v>0</v>
      </c>
      <c r="J581" s="41">
        <f>ABS(J$5-(6-'4JSON'!J575))</f>
        <v>1</v>
      </c>
      <c r="K581" s="41">
        <f>ABS(K$5-(6-'4JSON'!K575))</f>
        <v>1</v>
      </c>
      <c r="L581" s="41">
        <f>ABS(L$5-(6-'4JSON'!L575))</f>
        <v>1</v>
      </c>
      <c r="M581" s="36">
        <f t="shared" si="1"/>
        <v>7</v>
      </c>
      <c r="N581" s="42">
        <f t="shared" si="2"/>
        <v>0.8055555556</v>
      </c>
    </row>
    <row r="582">
      <c r="A582" s="35">
        <f>'4JSON'!A576</f>
        <v>1452</v>
      </c>
      <c r="B582" s="25" t="str">
        <f>'4JSON'!B576</f>
        <v>Instructors and Teachers of Persons with Disabilities</v>
      </c>
      <c r="C582" s="41" t="str">
        <f>'4JSON'!C576</f>
        <v>Correspondence, publication and regulatory clerks</v>
      </c>
      <c r="D582" s="41">
        <f>ABS(D$5-(6-'4JSON'!D576))</f>
        <v>1</v>
      </c>
      <c r="E582" s="41">
        <f>ABS(E$5-(6-'4JSON'!E576))</f>
        <v>0</v>
      </c>
      <c r="F582" s="41">
        <f>ABS(F$5-(6-'4JSON'!F576))</f>
        <v>1</v>
      </c>
      <c r="G582" s="41">
        <f>ABS(G$5-(6-'4JSON'!G576))</f>
        <v>1</v>
      </c>
      <c r="H582" s="41">
        <f>ABS(H$5-(6-'4JSON'!H576))</f>
        <v>2</v>
      </c>
      <c r="I582" s="41">
        <f>ABS(I$5-(6-'4JSON'!I576))</f>
        <v>1</v>
      </c>
      <c r="J582" s="41">
        <f>ABS(J$5-(6-'4JSON'!J576))</f>
        <v>0</v>
      </c>
      <c r="K582" s="41">
        <f>ABS(K$5-(6-'4JSON'!K576))</f>
        <v>0</v>
      </c>
      <c r="L582" s="41">
        <f>ABS(L$5-(6-'4JSON'!L576))</f>
        <v>1</v>
      </c>
      <c r="M582" s="36">
        <f t="shared" si="1"/>
        <v>7</v>
      </c>
      <c r="N582" s="42">
        <f t="shared" si="2"/>
        <v>0.8055555556</v>
      </c>
    </row>
    <row r="583">
      <c r="A583" s="35">
        <f>'4JSON'!A577</f>
        <v>3217</v>
      </c>
      <c r="B583" s="25" t="str">
        <f>'4JSON'!B577</f>
        <v>Electroencephalographic (EEG) Technologists</v>
      </c>
      <c r="C583" s="41" t="str">
        <f>'4JSON'!C577</f>
        <v>Cardiology technologists and electrophysiological diagnostic technologists, n.e.c.</v>
      </c>
      <c r="D583" s="41">
        <f>ABS(D$5-(6-'4JSON'!D577))</f>
        <v>1</v>
      </c>
      <c r="E583" s="41">
        <f>ABS(E$5-(6-'4JSON'!E577))</f>
        <v>0</v>
      </c>
      <c r="F583" s="41">
        <f>ABS(F$5-(6-'4JSON'!F577))</f>
        <v>0</v>
      </c>
      <c r="G583" s="41">
        <f>ABS(G$5-(6-'4JSON'!G577))</f>
        <v>0</v>
      </c>
      <c r="H583" s="41">
        <f>ABS(H$5-(6-'4JSON'!H577))</f>
        <v>0</v>
      </c>
      <c r="I583" s="41">
        <f>ABS(I$5-(6-'4JSON'!I577))</f>
        <v>1</v>
      </c>
      <c r="J583" s="41">
        <f>ABS(J$5-(6-'4JSON'!J577))</f>
        <v>1</v>
      </c>
      <c r="K583" s="41">
        <f>ABS(K$5-(6-'4JSON'!K577))</f>
        <v>0</v>
      </c>
      <c r="L583" s="41">
        <f>ABS(L$5-(6-'4JSON'!L577))</f>
        <v>0</v>
      </c>
      <c r="M583" s="36">
        <f t="shared" si="1"/>
        <v>3</v>
      </c>
      <c r="N583" s="42">
        <f t="shared" si="2"/>
        <v>0.9166666667</v>
      </c>
    </row>
    <row r="584">
      <c r="A584" s="35">
        <f>'4JSON'!A578</f>
        <v>6562</v>
      </c>
      <c r="B584" s="25" t="str">
        <f>'4JSON'!B578</f>
        <v>Electrologists</v>
      </c>
      <c r="C584" s="41" t="str">
        <f>'4JSON'!C578</f>
        <v>Estheticians, electrologists and related occupations</v>
      </c>
      <c r="D584" s="41">
        <f>ABS(D$5-(6-'4JSON'!D578))</f>
        <v>1</v>
      </c>
      <c r="E584" s="41">
        <f>ABS(E$5-(6-'4JSON'!E578))</f>
        <v>0</v>
      </c>
      <c r="F584" s="41">
        <f>ABS(F$5-(6-'4JSON'!F578))</f>
        <v>1</v>
      </c>
      <c r="G584" s="41">
        <f>ABS(G$5-(6-'4JSON'!G578))</f>
        <v>1</v>
      </c>
      <c r="H584" s="41">
        <f>ABS(H$5-(6-'4JSON'!H578))</f>
        <v>0</v>
      </c>
      <c r="I584" s="41">
        <f>ABS(I$5-(6-'4JSON'!I578))</f>
        <v>1</v>
      </c>
      <c r="J584" s="41">
        <f>ABS(J$5-(6-'4JSON'!J578))</f>
        <v>0</v>
      </c>
      <c r="K584" s="41">
        <f>ABS(K$5-(6-'4JSON'!K578))</f>
        <v>1</v>
      </c>
      <c r="L584" s="41">
        <f>ABS(L$5-(6-'4JSON'!L578))</f>
        <v>0</v>
      </c>
      <c r="M584" s="36">
        <f t="shared" si="1"/>
        <v>5</v>
      </c>
      <c r="N584" s="42">
        <f t="shared" si="2"/>
        <v>0.8611111111</v>
      </c>
    </row>
    <row r="585">
      <c r="A585" s="35">
        <f>'4JSON'!A579</f>
        <v>3217</v>
      </c>
      <c r="B585" s="25" t="str">
        <f>'4JSON'!B579</f>
        <v>Electromyography (EMG) Technologists</v>
      </c>
      <c r="C585" s="41" t="str">
        <f>'4JSON'!C579</f>
        <v>Cardiology technologists and electrophysiological diagnostic technologists, n.e.c.</v>
      </c>
      <c r="D585" s="41">
        <f>ABS(D$5-(6-'4JSON'!D579))</f>
        <v>1</v>
      </c>
      <c r="E585" s="41">
        <f>ABS(E$5-(6-'4JSON'!E579))</f>
        <v>0</v>
      </c>
      <c r="F585" s="41">
        <f>ABS(F$5-(6-'4JSON'!F579))</f>
        <v>0</v>
      </c>
      <c r="G585" s="41">
        <f>ABS(G$5-(6-'4JSON'!G579))</f>
        <v>0</v>
      </c>
      <c r="H585" s="41">
        <f>ABS(H$5-(6-'4JSON'!H579))</f>
        <v>0</v>
      </c>
      <c r="I585" s="41">
        <f>ABS(I$5-(6-'4JSON'!I579))</f>
        <v>1</v>
      </c>
      <c r="J585" s="41">
        <f>ABS(J$5-(6-'4JSON'!J579))</f>
        <v>1</v>
      </c>
      <c r="K585" s="41">
        <f>ABS(K$5-(6-'4JSON'!K579))</f>
        <v>0</v>
      </c>
      <c r="L585" s="41">
        <f>ABS(L$5-(6-'4JSON'!L579))</f>
        <v>0</v>
      </c>
      <c r="M585" s="36">
        <f t="shared" si="1"/>
        <v>3</v>
      </c>
      <c r="N585" s="42">
        <f t="shared" si="2"/>
        <v>0.9166666667</v>
      </c>
    </row>
    <row r="586">
      <c r="A586" s="35">
        <f>'4JSON'!A580</f>
        <v>9523</v>
      </c>
      <c r="B586" s="25" t="str">
        <f>'4JSON'!B580</f>
        <v>Electronics Testers</v>
      </c>
      <c r="C586" s="41" t="str">
        <f>'4JSON'!C580</f>
        <v>Electronics assemblers, fabricators, inspectors and testers</v>
      </c>
      <c r="D586" s="41">
        <f>ABS(D$5-(6-'4JSON'!D580))</f>
        <v>1</v>
      </c>
      <c r="E586" s="41">
        <f>ABS(E$5-(6-'4JSON'!E580))</f>
        <v>0</v>
      </c>
      <c r="F586" s="41">
        <f>ABS(F$5-(6-'4JSON'!F580))</f>
        <v>0</v>
      </c>
      <c r="G586" s="41">
        <f>ABS(G$5-(6-'4JSON'!G580))</f>
        <v>1</v>
      </c>
      <c r="H586" s="41">
        <f>ABS(H$5-(6-'4JSON'!H580))</f>
        <v>2</v>
      </c>
      <c r="I586" s="41">
        <f>ABS(I$5-(6-'4JSON'!I580))</f>
        <v>1</v>
      </c>
      <c r="J586" s="41">
        <f>ABS(J$5-(6-'4JSON'!J580))</f>
        <v>0</v>
      </c>
      <c r="K586" s="41">
        <f>ABS(K$5-(6-'4JSON'!K580))</f>
        <v>0</v>
      </c>
      <c r="L586" s="41">
        <f>ABS(L$5-(6-'4JSON'!L580))</f>
        <v>0</v>
      </c>
      <c r="M586" s="36">
        <f t="shared" si="1"/>
        <v>5</v>
      </c>
      <c r="N586" s="42">
        <f t="shared" si="2"/>
        <v>0.8611111111</v>
      </c>
    </row>
    <row r="587">
      <c r="A587" s="35">
        <f>'4JSON'!A581</f>
        <v>821</v>
      </c>
      <c r="B587" s="25" t="str">
        <f>'4JSON'!B581</f>
        <v>Farmers and Farm Managers</v>
      </c>
      <c r="C587" s="41" t="str">
        <f>'4JSON'!C581</f>
        <v>Managers in agriculture</v>
      </c>
      <c r="D587" s="41">
        <f>ABS(D$5-(6-'4JSON'!D581))</f>
        <v>1</v>
      </c>
      <c r="E587" s="41">
        <f>ABS(E$5-(6-'4JSON'!E581))</f>
        <v>0</v>
      </c>
      <c r="F587" s="41">
        <f>ABS(F$5-(6-'4JSON'!F581))</f>
        <v>0</v>
      </c>
      <c r="G587" s="41">
        <f>ABS(G$5-(6-'4JSON'!G581))</f>
        <v>1</v>
      </c>
      <c r="H587" s="41">
        <f>ABS(H$5-(6-'4JSON'!H581))</f>
        <v>1</v>
      </c>
      <c r="I587" s="41">
        <f>ABS(I$5-(6-'4JSON'!I581))</f>
        <v>1</v>
      </c>
      <c r="J587" s="41">
        <f>ABS(J$5-(6-'4JSON'!J581))</f>
        <v>0</v>
      </c>
      <c r="K587" s="41">
        <f>ABS(K$5-(6-'4JSON'!K581))</f>
        <v>1</v>
      </c>
      <c r="L587" s="41">
        <f>ABS(L$5-(6-'4JSON'!L581))</f>
        <v>0</v>
      </c>
      <c r="M587" s="36">
        <f t="shared" si="1"/>
        <v>5</v>
      </c>
      <c r="N587" s="42">
        <f t="shared" si="2"/>
        <v>0.8611111111</v>
      </c>
    </row>
    <row r="588">
      <c r="A588" s="35">
        <f>'4JSON'!A582</f>
        <v>4422</v>
      </c>
      <c r="B588" s="25" t="str">
        <f>'4JSON'!B582</f>
        <v>Correctional Service Officers</v>
      </c>
      <c r="C588" s="41" t="str">
        <f>'4JSON'!C582</f>
        <v>Correctional service officers</v>
      </c>
      <c r="D588" s="41">
        <f>ABS(D$5-(6-'4JSON'!D582))</f>
        <v>1</v>
      </c>
      <c r="E588" s="41">
        <f>ABS(E$5-(6-'4JSON'!E582))</f>
        <v>1</v>
      </c>
      <c r="F588" s="41">
        <f>ABS(F$5-(6-'4JSON'!F582))</f>
        <v>1</v>
      </c>
      <c r="G588" s="41">
        <f>ABS(G$5-(6-'4JSON'!G582))</f>
        <v>1</v>
      </c>
      <c r="H588" s="41">
        <f>ABS(H$5-(6-'4JSON'!H582))</f>
        <v>1</v>
      </c>
      <c r="I588" s="41">
        <f>ABS(I$5-(6-'4JSON'!I582))</f>
        <v>1</v>
      </c>
      <c r="J588" s="41">
        <f>ABS(J$5-(6-'4JSON'!J582))</f>
        <v>1</v>
      </c>
      <c r="K588" s="41">
        <f>ABS(K$5-(6-'4JSON'!K582))</f>
        <v>1</v>
      </c>
      <c r="L588" s="41">
        <f>ABS(L$5-(6-'4JSON'!L582))</f>
        <v>1</v>
      </c>
      <c r="M588" s="36">
        <f t="shared" si="1"/>
        <v>9</v>
      </c>
      <c r="N588" s="42">
        <f t="shared" si="2"/>
        <v>0.75</v>
      </c>
    </row>
    <row r="589">
      <c r="A589" s="35">
        <f>'4JSON'!A583</f>
        <v>7532</v>
      </c>
      <c r="B589" s="25" t="str">
        <f>'4JSON'!B583</f>
        <v>Deck Crew, Water Transport</v>
      </c>
      <c r="C589" s="41" t="str">
        <f>'4JSON'!C583</f>
        <v>Water transport deck and engine room crew</v>
      </c>
      <c r="D589" s="41">
        <f>ABS(D$5-(6-'4JSON'!D583))</f>
        <v>0</v>
      </c>
      <c r="E589" s="41">
        <f>ABS(E$5-(6-'4JSON'!E583))</f>
        <v>1</v>
      </c>
      <c r="F589" s="41">
        <f>ABS(F$5-(6-'4JSON'!F583))</f>
        <v>1</v>
      </c>
      <c r="G589" s="41">
        <f>ABS(G$5-(6-'4JSON'!G583))</f>
        <v>1</v>
      </c>
      <c r="H589" s="41">
        <f>ABS(H$5-(6-'4JSON'!H583))</f>
        <v>2</v>
      </c>
      <c r="I589" s="41">
        <f>ABS(I$5-(6-'4JSON'!I583))</f>
        <v>1</v>
      </c>
      <c r="J589" s="41">
        <f>ABS(J$5-(6-'4JSON'!J583))</f>
        <v>0</v>
      </c>
      <c r="K589" s="41">
        <f>ABS(K$5-(6-'4JSON'!K583))</f>
        <v>1</v>
      </c>
      <c r="L589" s="41">
        <f>ABS(L$5-(6-'4JSON'!L583))</f>
        <v>0</v>
      </c>
      <c r="M589" s="36">
        <f t="shared" si="1"/>
        <v>7</v>
      </c>
      <c r="N589" s="42">
        <f t="shared" si="2"/>
        <v>0.8055555556</v>
      </c>
    </row>
    <row r="590">
      <c r="A590" s="35">
        <f>'4JSON'!A584</f>
        <v>2272</v>
      </c>
      <c r="B590" s="25" t="str">
        <f>'4JSON'!B584</f>
        <v>Flight Dispatchers</v>
      </c>
      <c r="C590" s="41" t="str">
        <f>'4JSON'!C584</f>
        <v>Air traffic controllers and related occupations</v>
      </c>
      <c r="D590" s="41">
        <f>ABS(D$5-(6-'4JSON'!D584))</f>
        <v>2</v>
      </c>
      <c r="E590" s="41">
        <f>ABS(E$5-(6-'4JSON'!E584))</f>
        <v>1</v>
      </c>
      <c r="F590" s="41">
        <f>ABS(F$5-(6-'4JSON'!F584))</f>
        <v>0</v>
      </c>
      <c r="G590" s="41">
        <f>ABS(G$5-(6-'4JSON'!G584))</f>
        <v>0</v>
      </c>
      <c r="H590" s="41">
        <f>ABS(H$5-(6-'4JSON'!H584))</f>
        <v>1</v>
      </c>
      <c r="I590" s="41">
        <f>ABS(I$5-(6-'4JSON'!I584))</f>
        <v>0</v>
      </c>
      <c r="J590" s="41">
        <f>ABS(J$5-(6-'4JSON'!J584))</f>
        <v>1</v>
      </c>
      <c r="K590" s="41">
        <f>ABS(K$5-(6-'4JSON'!K584))</f>
        <v>1</v>
      </c>
      <c r="L590" s="41">
        <f>ABS(L$5-(6-'4JSON'!L584))</f>
        <v>1</v>
      </c>
      <c r="M590" s="36">
        <f t="shared" si="1"/>
        <v>7</v>
      </c>
      <c r="N590" s="42">
        <f t="shared" si="2"/>
        <v>0.8055555556</v>
      </c>
    </row>
    <row r="591">
      <c r="A591" s="35">
        <f>'4JSON'!A585</f>
        <v>2122</v>
      </c>
      <c r="B591" s="25" t="str">
        <f>'4JSON'!B585</f>
        <v>Forestry Professionals</v>
      </c>
      <c r="C591" s="41" t="str">
        <f>'4JSON'!C585</f>
        <v>Forestry professionals</v>
      </c>
      <c r="D591" s="41">
        <f>ABS(D$5-(6-'4JSON'!D585))</f>
        <v>3</v>
      </c>
      <c r="E591" s="41">
        <f>ABS(E$5-(6-'4JSON'!E585))</f>
        <v>2</v>
      </c>
      <c r="F591" s="41">
        <f>ABS(F$5-(6-'4JSON'!F585))</f>
        <v>0</v>
      </c>
      <c r="G591" s="41">
        <f>ABS(G$5-(6-'4JSON'!G585))</f>
        <v>0</v>
      </c>
      <c r="H591" s="41">
        <f>ABS(H$5-(6-'4JSON'!H585))</f>
        <v>1</v>
      </c>
      <c r="I591" s="41">
        <f>ABS(I$5-(6-'4JSON'!I585))</f>
        <v>0</v>
      </c>
      <c r="J591" s="41">
        <f>ABS(J$5-(6-'4JSON'!J585))</f>
        <v>1</v>
      </c>
      <c r="K591" s="41">
        <f>ABS(K$5-(6-'4JSON'!K585))</f>
        <v>0</v>
      </c>
      <c r="L591" s="41">
        <f>ABS(L$5-(6-'4JSON'!L585))</f>
        <v>0</v>
      </c>
      <c r="M591" s="36">
        <f t="shared" si="1"/>
        <v>7</v>
      </c>
      <c r="N591" s="42">
        <f t="shared" si="2"/>
        <v>0.8055555556</v>
      </c>
    </row>
    <row r="592">
      <c r="A592" s="35">
        <f>'4JSON'!A586</f>
        <v>8441</v>
      </c>
      <c r="B592" s="25" t="str">
        <f>'4JSON'!B586</f>
        <v>Fishing Vessel Deckhands</v>
      </c>
      <c r="C592" s="41" t="str">
        <f>'4JSON'!C586</f>
        <v>Fishing vessel deckhands</v>
      </c>
      <c r="D592" s="41">
        <f>ABS(D$5-(6-'4JSON'!D586))</f>
        <v>0</v>
      </c>
      <c r="E592" s="41">
        <f>ABS(E$5-(6-'4JSON'!E586))</f>
        <v>1</v>
      </c>
      <c r="F592" s="41">
        <f>ABS(F$5-(6-'4JSON'!F586))</f>
        <v>1</v>
      </c>
      <c r="G592" s="41">
        <f>ABS(G$5-(6-'4JSON'!G586))</f>
        <v>1</v>
      </c>
      <c r="H592" s="41">
        <f>ABS(H$5-(6-'4JSON'!H586))</f>
        <v>1</v>
      </c>
      <c r="I592" s="41">
        <f>ABS(I$5-(6-'4JSON'!I586))</f>
        <v>2</v>
      </c>
      <c r="J592" s="41">
        <f>ABS(J$5-(6-'4JSON'!J586))</f>
        <v>0</v>
      </c>
      <c r="K592" s="41">
        <f>ABS(K$5-(6-'4JSON'!K586))</f>
        <v>1</v>
      </c>
      <c r="L592" s="41">
        <f>ABS(L$5-(6-'4JSON'!L586))</f>
        <v>0</v>
      </c>
      <c r="M592" s="36">
        <f t="shared" si="1"/>
        <v>7</v>
      </c>
      <c r="N592" s="42">
        <f t="shared" si="2"/>
        <v>0.8055555556</v>
      </c>
    </row>
    <row r="593">
      <c r="A593" s="35">
        <f>'4JSON'!A587</f>
        <v>4411</v>
      </c>
      <c r="B593" s="25" t="str">
        <f>'4JSON'!B587</f>
        <v>Foster Parents</v>
      </c>
      <c r="C593" s="41" t="str">
        <f>'4JSON'!C587</f>
        <v>Home child care providers</v>
      </c>
      <c r="D593" s="41">
        <f>ABS(D$5-(6-'4JSON'!D587))</f>
        <v>1</v>
      </c>
      <c r="E593" s="41">
        <f>ABS(E$5-(6-'4JSON'!E587))</f>
        <v>0</v>
      </c>
      <c r="F593" s="41">
        <f>ABS(F$5-(6-'4JSON'!F587))</f>
        <v>1</v>
      </c>
      <c r="G593" s="41">
        <f>ABS(G$5-(6-'4JSON'!G587))</f>
        <v>1</v>
      </c>
      <c r="H593" s="41">
        <f>ABS(H$5-(6-'4JSON'!H587))</f>
        <v>2</v>
      </c>
      <c r="I593" s="41">
        <f>ABS(I$5-(6-'4JSON'!I587))</f>
        <v>1</v>
      </c>
      <c r="J593" s="41">
        <f>ABS(J$5-(6-'4JSON'!J587))</f>
        <v>0</v>
      </c>
      <c r="K593" s="41">
        <f>ABS(K$5-(6-'4JSON'!K587))</f>
        <v>1</v>
      </c>
      <c r="L593" s="41">
        <f>ABS(L$5-(6-'4JSON'!L587))</f>
        <v>0</v>
      </c>
      <c r="M593" s="36">
        <f t="shared" si="1"/>
        <v>7</v>
      </c>
      <c r="N593" s="42">
        <f t="shared" si="2"/>
        <v>0.8055555556</v>
      </c>
    </row>
    <row r="594">
      <c r="A594" s="35">
        <f>'4JSON'!A588</f>
        <v>8262</v>
      </c>
      <c r="B594" s="25" t="str">
        <f>'4JSON'!B588</f>
        <v>Fishing Vessel Skippers and Fishermen/women</v>
      </c>
      <c r="C594" s="41" t="str">
        <f>'4JSON'!C588</f>
        <v>Fishermen/women</v>
      </c>
      <c r="D594" s="41">
        <f>ABS(D$5-(6-'4JSON'!D588))</f>
        <v>0</v>
      </c>
      <c r="E594" s="41">
        <f>ABS(E$5-(6-'4JSON'!E588))</f>
        <v>1</v>
      </c>
      <c r="F594" s="41">
        <f>ABS(F$5-(6-'4JSON'!F588))</f>
        <v>1</v>
      </c>
      <c r="G594" s="41">
        <f>ABS(G$5-(6-'4JSON'!G588))</f>
        <v>1</v>
      </c>
      <c r="H594" s="41">
        <f>ABS(H$5-(6-'4JSON'!H588))</f>
        <v>2</v>
      </c>
      <c r="I594" s="41">
        <f>ABS(I$5-(6-'4JSON'!I588))</f>
        <v>1</v>
      </c>
      <c r="J594" s="41">
        <f>ABS(J$5-(6-'4JSON'!J588))</f>
        <v>0</v>
      </c>
      <c r="K594" s="41">
        <f>ABS(K$5-(6-'4JSON'!K588))</f>
        <v>1</v>
      </c>
      <c r="L594" s="41">
        <f>ABS(L$5-(6-'4JSON'!L588))</f>
        <v>0</v>
      </c>
      <c r="M594" s="36">
        <f t="shared" si="1"/>
        <v>7</v>
      </c>
      <c r="N594" s="42">
        <f t="shared" si="2"/>
        <v>0.8055555556</v>
      </c>
    </row>
    <row r="595">
      <c r="A595" s="35">
        <f>'4JSON'!A589</f>
        <v>9416</v>
      </c>
      <c r="B595" s="25" t="str">
        <f>'4JSON'!B589</f>
        <v>Forging Machine Operators</v>
      </c>
      <c r="C595" s="41" t="str">
        <f>'4JSON'!C589</f>
        <v>Metalworking and forging machine operators</v>
      </c>
      <c r="D595" s="41">
        <f>ABS(D$5-(6-'4JSON'!D589))</f>
        <v>0</v>
      </c>
      <c r="E595" s="41">
        <f>ABS(E$5-(6-'4JSON'!E589))</f>
        <v>1</v>
      </c>
      <c r="F595" s="41">
        <f>ABS(F$5-(6-'4JSON'!F589))</f>
        <v>1</v>
      </c>
      <c r="G595" s="41">
        <f>ABS(G$5-(6-'4JSON'!G589))</f>
        <v>1</v>
      </c>
      <c r="H595" s="41">
        <f>ABS(H$5-(6-'4JSON'!H589))</f>
        <v>1</v>
      </c>
      <c r="I595" s="41">
        <f>ABS(I$5-(6-'4JSON'!I589))</f>
        <v>1</v>
      </c>
      <c r="J595" s="41">
        <f>ABS(J$5-(6-'4JSON'!J589))</f>
        <v>1</v>
      </c>
      <c r="K595" s="41">
        <f>ABS(K$5-(6-'4JSON'!K589))</f>
        <v>1</v>
      </c>
      <c r="L595" s="41">
        <f>ABS(L$5-(6-'4JSON'!L589))</f>
        <v>0</v>
      </c>
      <c r="M595" s="36">
        <f t="shared" si="1"/>
        <v>7</v>
      </c>
      <c r="N595" s="42">
        <f t="shared" si="2"/>
        <v>0.8055555556</v>
      </c>
    </row>
    <row r="596">
      <c r="A596" s="35">
        <f>'4JSON'!A590</f>
        <v>9412</v>
      </c>
      <c r="B596" s="25" t="str">
        <f>'4JSON'!B590</f>
        <v>Foundry Furnace Operators</v>
      </c>
      <c r="C596" s="41" t="str">
        <f>'4JSON'!C590</f>
        <v>Foundry workers</v>
      </c>
      <c r="D596" s="41">
        <f>ABS(D$5-(6-'4JSON'!D590))</f>
        <v>0</v>
      </c>
      <c r="E596" s="41">
        <f>ABS(E$5-(6-'4JSON'!E590))</f>
        <v>1</v>
      </c>
      <c r="F596" s="41">
        <f>ABS(F$5-(6-'4JSON'!F590))</f>
        <v>1</v>
      </c>
      <c r="G596" s="41">
        <f>ABS(G$5-(6-'4JSON'!G590))</f>
        <v>1</v>
      </c>
      <c r="H596" s="41">
        <f>ABS(H$5-(6-'4JSON'!H590))</f>
        <v>2</v>
      </c>
      <c r="I596" s="41">
        <f>ABS(I$5-(6-'4JSON'!I590))</f>
        <v>1</v>
      </c>
      <c r="J596" s="41">
        <f>ABS(J$5-(6-'4JSON'!J590))</f>
        <v>0</v>
      </c>
      <c r="K596" s="41">
        <f>ABS(K$5-(6-'4JSON'!K590))</f>
        <v>1</v>
      </c>
      <c r="L596" s="41">
        <f>ABS(L$5-(6-'4JSON'!L590))</f>
        <v>0</v>
      </c>
      <c r="M596" s="36">
        <f t="shared" si="1"/>
        <v>7</v>
      </c>
      <c r="N596" s="42">
        <f t="shared" si="2"/>
        <v>0.8055555556</v>
      </c>
    </row>
    <row r="597">
      <c r="A597" s="35">
        <f>'4JSON'!A591</f>
        <v>9534</v>
      </c>
      <c r="B597" s="25" t="str">
        <f>'4JSON'!B591</f>
        <v>Furniture Finishers</v>
      </c>
      <c r="C597" s="41" t="str">
        <f>'4JSON'!C591</f>
        <v>Furniture finishers and refinishers</v>
      </c>
      <c r="D597" s="41">
        <f>ABS(D$5-(6-'4JSON'!D591))</f>
        <v>0</v>
      </c>
      <c r="E597" s="41">
        <f>ABS(E$5-(6-'4JSON'!E591))</f>
        <v>1</v>
      </c>
      <c r="F597" s="41">
        <f>ABS(F$5-(6-'4JSON'!F591))</f>
        <v>1</v>
      </c>
      <c r="G597" s="41">
        <f>ABS(G$5-(6-'4JSON'!G591))</f>
        <v>1</v>
      </c>
      <c r="H597" s="41">
        <f>ABS(H$5-(6-'4JSON'!H591))</f>
        <v>2</v>
      </c>
      <c r="I597" s="41">
        <f>ABS(I$5-(6-'4JSON'!I591))</f>
        <v>1</v>
      </c>
      <c r="J597" s="41">
        <f>ABS(J$5-(6-'4JSON'!J591))</f>
        <v>0</v>
      </c>
      <c r="K597" s="41">
        <f>ABS(K$5-(6-'4JSON'!K591))</f>
        <v>1</v>
      </c>
      <c r="L597" s="41">
        <f>ABS(L$5-(6-'4JSON'!L591))</f>
        <v>0</v>
      </c>
      <c r="M597" s="36">
        <f t="shared" si="1"/>
        <v>7</v>
      </c>
      <c r="N597" s="42">
        <f t="shared" si="2"/>
        <v>0.8055555556</v>
      </c>
    </row>
    <row r="598">
      <c r="A598" s="35">
        <f>'4JSON'!A592</f>
        <v>9534</v>
      </c>
      <c r="B598" s="25" t="str">
        <f>'4JSON'!B592</f>
        <v>Furniture Refinishers</v>
      </c>
      <c r="C598" s="41" t="str">
        <f>'4JSON'!C592</f>
        <v>Furniture finishers and refinishers</v>
      </c>
      <c r="D598" s="41">
        <f>ABS(D$5-(6-'4JSON'!D592))</f>
        <v>0</v>
      </c>
      <c r="E598" s="41">
        <f>ABS(E$5-(6-'4JSON'!E592))</f>
        <v>1</v>
      </c>
      <c r="F598" s="41">
        <f>ABS(F$5-(6-'4JSON'!F592))</f>
        <v>1</v>
      </c>
      <c r="G598" s="41">
        <f>ABS(G$5-(6-'4JSON'!G592))</f>
        <v>1</v>
      </c>
      <c r="H598" s="41">
        <f>ABS(H$5-(6-'4JSON'!H592))</f>
        <v>2</v>
      </c>
      <c r="I598" s="41">
        <f>ABS(I$5-(6-'4JSON'!I592))</f>
        <v>1</v>
      </c>
      <c r="J598" s="41">
        <f>ABS(J$5-(6-'4JSON'!J592))</f>
        <v>0</v>
      </c>
      <c r="K598" s="41">
        <f>ABS(K$5-(6-'4JSON'!K592))</f>
        <v>1</v>
      </c>
      <c r="L598" s="41">
        <f>ABS(L$5-(6-'4JSON'!L592))</f>
        <v>0</v>
      </c>
      <c r="M598" s="36">
        <f t="shared" si="1"/>
        <v>7</v>
      </c>
      <c r="N598" s="42">
        <f t="shared" si="2"/>
        <v>0.8055555556</v>
      </c>
    </row>
    <row r="599">
      <c r="A599" s="35">
        <f>'4JSON'!A593</f>
        <v>1252</v>
      </c>
      <c r="B599" s="25" t="str">
        <f>'4JSON'!B593</f>
        <v>Health Records Technicians</v>
      </c>
      <c r="C599" s="41" t="str">
        <f>'4JSON'!C593</f>
        <v>Health information management occupations</v>
      </c>
      <c r="D599" s="41">
        <f>ABS(D$5-(6-'4JSON'!D593))</f>
        <v>1</v>
      </c>
      <c r="E599" s="41">
        <f>ABS(E$5-(6-'4JSON'!E593))</f>
        <v>0</v>
      </c>
      <c r="F599" s="41">
        <f>ABS(F$5-(6-'4JSON'!F593))</f>
        <v>0</v>
      </c>
      <c r="G599" s="41">
        <f>ABS(G$5-(6-'4JSON'!G593))</f>
        <v>1</v>
      </c>
      <c r="H599" s="41">
        <f>ABS(H$5-(6-'4JSON'!H593))</f>
        <v>2</v>
      </c>
      <c r="I599" s="41">
        <f>ABS(I$5-(6-'4JSON'!I593))</f>
        <v>0</v>
      </c>
      <c r="J599" s="41">
        <f>ABS(J$5-(6-'4JSON'!J593))</f>
        <v>0</v>
      </c>
      <c r="K599" s="41">
        <f>ABS(K$5-(6-'4JSON'!K593))</f>
        <v>0</v>
      </c>
      <c r="L599" s="41">
        <f>ABS(L$5-(6-'4JSON'!L593))</f>
        <v>1</v>
      </c>
      <c r="M599" s="36">
        <f t="shared" si="1"/>
        <v>5</v>
      </c>
      <c r="N599" s="42">
        <f t="shared" si="2"/>
        <v>0.8611111111</v>
      </c>
    </row>
    <row r="600">
      <c r="A600" s="35">
        <f>'4JSON'!A594</f>
        <v>3232</v>
      </c>
      <c r="B600" s="25" t="str">
        <f>'4JSON'!B594</f>
        <v>Herbalists</v>
      </c>
      <c r="C600" s="41" t="str">
        <f>'4JSON'!C594</f>
        <v>Practitioners of natural healing</v>
      </c>
      <c r="D600" s="41">
        <f>ABS(D$5-(6-'4JSON'!D594))</f>
        <v>1</v>
      </c>
      <c r="E600" s="41">
        <f>ABS(E$5-(6-'4JSON'!E594))</f>
        <v>0</v>
      </c>
      <c r="F600" s="41">
        <f>ABS(F$5-(6-'4JSON'!F594))</f>
        <v>1</v>
      </c>
      <c r="G600" s="41">
        <f>ABS(G$5-(6-'4JSON'!G594))</f>
        <v>1</v>
      </c>
      <c r="H600" s="41">
        <f>ABS(H$5-(6-'4JSON'!H594))</f>
        <v>2</v>
      </c>
      <c r="I600" s="41">
        <f>ABS(I$5-(6-'4JSON'!I594))</f>
        <v>1</v>
      </c>
      <c r="J600" s="41">
        <f>ABS(J$5-(6-'4JSON'!J594))</f>
        <v>0</v>
      </c>
      <c r="K600" s="41">
        <f>ABS(K$5-(6-'4JSON'!K594))</f>
        <v>1</v>
      </c>
      <c r="L600" s="41">
        <f>ABS(L$5-(6-'4JSON'!L594))</f>
        <v>0</v>
      </c>
      <c r="M600" s="36">
        <f t="shared" si="1"/>
        <v>7</v>
      </c>
      <c r="N600" s="42">
        <f t="shared" si="2"/>
        <v>0.8055555556</v>
      </c>
    </row>
    <row r="601">
      <c r="A601" s="35">
        <f>'4JSON'!A595</f>
        <v>3232</v>
      </c>
      <c r="B601" s="25" t="str">
        <f>'4JSON'!B595</f>
        <v>Homeopaths</v>
      </c>
      <c r="C601" s="41" t="str">
        <f>'4JSON'!C595</f>
        <v>Practitioners of natural healing</v>
      </c>
      <c r="D601" s="41">
        <f>ABS(D$5-(6-'4JSON'!D595))</f>
        <v>1</v>
      </c>
      <c r="E601" s="41">
        <f>ABS(E$5-(6-'4JSON'!E595))</f>
        <v>0</v>
      </c>
      <c r="F601" s="41">
        <f>ABS(F$5-(6-'4JSON'!F595))</f>
        <v>1</v>
      </c>
      <c r="G601" s="41">
        <f>ABS(G$5-(6-'4JSON'!G595))</f>
        <v>1</v>
      </c>
      <c r="H601" s="41">
        <f>ABS(H$5-(6-'4JSON'!H595))</f>
        <v>2</v>
      </c>
      <c r="I601" s="41">
        <f>ABS(I$5-(6-'4JSON'!I595))</f>
        <v>1</v>
      </c>
      <c r="J601" s="41">
        <f>ABS(J$5-(6-'4JSON'!J595))</f>
        <v>0</v>
      </c>
      <c r="K601" s="41">
        <f>ABS(K$5-(6-'4JSON'!K595))</f>
        <v>1</v>
      </c>
      <c r="L601" s="41">
        <f>ABS(L$5-(6-'4JSON'!L595))</f>
        <v>0</v>
      </c>
      <c r="M601" s="36">
        <f t="shared" si="1"/>
        <v>7</v>
      </c>
      <c r="N601" s="42">
        <f t="shared" si="2"/>
        <v>0.8055555556</v>
      </c>
    </row>
    <row r="602">
      <c r="A602" s="35">
        <f>'4JSON'!A596</f>
        <v>8431</v>
      </c>
      <c r="B602" s="25" t="str">
        <f>'4JSON'!B596</f>
        <v>General Farm Workers</v>
      </c>
      <c r="C602" s="41" t="str">
        <f>'4JSON'!C596</f>
        <v>General farm workers</v>
      </c>
      <c r="D602" s="41">
        <f>ABS(D$5-(6-'4JSON'!D596))</f>
        <v>0</v>
      </c>
      <c r="E602" s="41">
        <f>ABS(E$5-(6-'4JSON'!E596))</f>
        <v>1</v>
      </c>
      <c r="F602" s="41">
        <f>ABS(F$5-(6-'4JSON'!F596))</f>
        <v>1</v>
      </c>
      <c r="G602" s="41">
        <f>ABS(G$5-(6-'4JSON'!G596))</f>
        <v>1</v>
      </c>
      <c r="H602" s="41">
        <f>ABS(H$5-(6-'4JSON'!H596))</f>
        <v>2</v>
      </c>
      <c r="I602" s="41">
        <f>ABS(I$5-(6-'4JSON'!I596))</f>
        <v>1</v>
      </c>
      <c r="J602" s="41">
        <f>ABS(J$5-(6-'4JSON'!J596))</f>
        <v>0</v>
      </c>
      <c r="K602" s="41">
        <f>ABS(K$5-(6-'4JSON'!K596))</f>
        <v>1</v>
      </c>
      <c r="L602" s="41">
        <f>ABS(L$5-(6-'4JSON'!L596))</f>
        <v>0</v>
      </c>
      <c r="M602" s="36">
        <f t="shared" si="1"/>
        <v>7</v>
      </c>
      <c r="N602" s="42">
        <f t="shared" si="2"/>
        <v>0.8055555556</v>
      </c>
    </row>
    <row r="603">
      <c r="A603" s="35">
        <f>'4JSON'!A597</f>
        <v>2263</v>
      </c>
      <c r="B603" s="25" t="str">
        <f>'4JSON'!B597</f>
        <v>Inspectors in Public and Environmental Health and Occupational Health and Safety</v>
      </c>
      <c r="C603" s="41" t="str">
        <f>'4JSON'!C597</f>
        <v>Inspectors in public and environmental health and occupational health and safety</v>
      </c>
      <c r="D603" s="41">
        <f>ABS(D$5-(6-'4JSON'!D597))</f>
        <v>1</v>
      </c>
      <c r="E603" s="41">
        <f>ABS(E$5-(6-'4JSON'!E597))</f>
        <v>0</v>
      </c>
      <c r="F603" s="41">
        <f>ABS(F$5-(6-'4JSON'!F597))</f>
        <v>0</v>
      </c>
      <c r="G603" s="41">
        <f>ABS(G$5-(6-'4JSON'!G597))</f>
        <v>0</v>
      </c>
      <c r="H603" s="41">
        <f>ABS(H$5-(6-'4JSON'!H597))</f>
        <v>1</v>
      </c>
      <c r="I603" s="41">
        <f>ABS(I$5-(6-'4JSON'!I597))</f>
        <v>0</v>
      </c>
      <c r="J603" s="41">
        <f>ABS(J$5-(6-'4JSON'!J597))</f>
        <v>1</v>
      </c>
      <c r="K603" s="41">
        <f>ABS(K$5-(6-'4JSON'!K597))</f>
        <v>1</v>
      </c>
      <c r="L603" s="41">
        <f>ABS(L$5-(6-'4JSON'!L597))</f>
        <v>1</v>
      </c>
      <c r="M603" s="36">
        <f t="shared" si="1"/>
        <v>5</v>
      </c>
      <c r="N603" s="42">
        <f t="shared" si="2"/>
        <v>0.8611111111</v>
      </c>
    </row>
    <row r="604">
      <c r="A604" s="35">
        <f>'4JSON'!A598</f>
        <v>7293</v>
      </c>
      <c r="B604" s="25" t="str">
        <f>'4JSON'!B598</f>
        <v>Insulators</v>
      </c>
      <c r="C604" s="41" t="str">
        <f>'4JSON'!C598</f>
        <v>Insulators</v>
      </c>
      <c r="D604" s="41">
        <f>ABS(D$5-(6-'4JSON'!D598))</f>
        <v>1</v>
      </c>
      <c r="E604" s="41">
        <f>ABS(E$5-(6-'4JSON'!E598))</f>
        <v>0</v>
      </c>
      <c r="F604" s="41">
        <f>ABS(F$5-(6-'4JSON'!F598))</f>
        <v>1</v>
      </c>
      <c r="G604" s="41">
        <f>ABS(G$5-(6-'4JSON'!G598))</f>
        <v>0</v>
      </c>
      <c r="H604" s="41">
        <f>ABS(H$5-(6-'4JSON'!H598))</f>
        <v>2</v>
      </c>
      <c r="I604" s="41">
        <f>ABS(I$5-(6-'4JSON'!I598))</f>
        <v>2</v>
      </c>
      <c r="J604" s="41">
        <f>ABS(J$5-(6-'4JSON'!J598))</f>
        <v>0</v>
      </c>
      <c r="K604" s="41">
        <f>ABS(K$5-(6-'4JSON'!K598))</f>
        <v>1</v>
      </c>
      <c r="L604" s="41">
        <f>ABS(L$5-(6-'4JSON'!L598))</f>
        <v>0</v>
      </c>
      <c r="M604" s="36">
        <f t="shared" si="1"/>
        <v>7</v>
      </c>
      <c r="N604" s="42">
        <f t="shared" si="2"/>
        <v>0.8055555556</v>
      </c>
    </row>
    <row r="605">
      <c r="A605" s="35">
        <f>'4JSON'!A599</f>
        <v>1434</v>
      </c>
      <c r="B605" s="25" t="str">
        <f>'4JSON'!B599</f>
        <v>Insurance Clerks</v>
      </c>
      <c r="C605" s="41" t="str">
        <f>'4JSON'!C599</f>
        <v>Banking, insurance and other financial clerks</v>
      </c>
      <c r="D605" s="41">
        <f>ABS(D$5-(6-'4JSON'!D599))</f>
        <v>1</v>
      </c>
      <c r="E605" s="41">
        <f>ABS(E$5-(6-'4JSON'!E599))</f>
        <v>0</v>
      </c>
      <c r="F605" s="41">
        <f>ABS(F$5-(6-'4JSON'!F599))</f>
        <v>0</v>
      </c>
      <c r="G605" s="41">
        <f>ABS(G$5-(6-'4JSON'!G599))</f>
        <v>1</v>
      </c>
      <c r="H605" s="41">
        <f>ABS(H$5-(6-'4JSON'!H599))</f>
        <v>2</v>
      </c>
      <c r="I605" s="41">
        <f>ABS(I$5-(6-'4JSON'!I599))</f>
        <v>0</v>
      </c>
      <c r="J605" s="41">
        <f>ABS(J$5-(6-'4JSON'!J599))</f>
        <v>0</v>
      </c>
      <c r="K605" s="41">
        <f>ABS(K$5-(6-'4JSON'!K599))</f>
        <v>0</v>
      </c>
      <c r="L605" s="41">
        <f>ABS(L$5-(6-'4JSON'!L599))</f>
        <v>1</v>
      </c>
      <c r="M605" s="36">
        <f t="shared" si="1"/>
        <v>5</v>
      </c>
      <c r="N605" s="42">
        <f t="shared" si="2"/>
        <v>0.8611111111</v>
      </c>
    </row>
    <row r="606">
      <c r="A606" s="35">
        <f>'4JSON'!A600</f>
        <v>5226</v>
      </c>
      <c r="B606" s="25" t="str">
        <f>'4JSON'!B600</f>
        <v>Key Grips</v>
      </c>
      <c r="C606" s="41" t="str">
        <f>'4JSON'!C600</f>
        <v>Other technical and co-ordinating occupations in motion pictures, broadcasting and the performing arts</v>
      </c>
      <c r="D606" s="41">
        <f>ABS(D$5-(6-'4JSON'!D600))</f>
        <v>1</v>
      </c>
      <c r="E606" s="41">
        <f>ABS(E$5-(6-'4JSON'!E600))</f>
        <v>0</v>
      </c>
      <c r="F606" s="41">
        <f>ABS(F$5-(6-'4JSON'!F600))</f>
        <v>1</v>
      </c>
      <c r="G606" s="41">
        <f>ABS(G$5-(6-'4JSON'!G600))</f>
        <v>0</v>
      </c>
      <c r="H606" s="41">
        <f>ABS(H$5-(6-'4JSON'!H600))</f>
        <v>1</v>
      </c>
      <c r="I606" s="41">
        <f>ABS(I$5-(6-'4JSON'!I600))</f>
        <v>1</v>
      </c>
      <c r="J606" s="41">
        <f>ABS(J$5-(6-'4JSON'!J600))</f>
        <v>1</v>
      </c>
      <c r="K606" s="41">
        <f>ABS(K$5-(6-'4JSON'!K600))</f>
        <v>1</v>
      </c>
      <c r="L606" s="41">
        <f>ABS(L$5-(6-'4JSON'!L600))</f>
        <v>1</v>
      </c>
      <c r="M606" s="36">
        <f t="shared" si="1"/>
        <v>7</v>
      </c>
      <c r="N606" s="42">
        <f t="shared" si="2"/>
        <v>0.8055555556</v>
      </c>
    </row>
    <row r="607">
      <c r="A607" s="35">
        <f>'4JSON'!A601</f>
        <v>3144</v>
      </c>
      <c r="B607" s="25" t="str">
        <f>'4JSON'!B601</f>
        <v>Kinesiologists</v>
      </c>
      <c r="C607" s="41" t="str">
        <f>'4JSON'!C601</f>
        <v>Other professional occupations in therapy and assessment</v>
      </c>
      <c r="D607" s="41">
        <f>ABS(D$5-(6-'4JSON'!D601))</f>
        <v>2</v>
      </c>
      <c r="E607" s="41">
        <f>ABS(E$5-(6-'4JSON'!E601))</f>
        <v>1</v>
      </c>
      <c r="F607" s="41">
        <f>ABS(F$5-(6-'4JSON'!F601))</f>
        <v>0</v>
      </c>
      <c r="G607" s="41">
        <f>ABS(G$5-(6-'4JSON'!G601))</f>
        <v>0</v>
      </c>
      <c r="H607" s="41">
        <f>ABS(H$5-(6-'4JSON'!H601))</f>
        <v>1</v>
      </c>
      <c r="I607" s="41">
        <f>ABS(I$5-(6-'4JSON'!I601))</f>
        <v>1</v>
      </c>
      <c r="J607" s="41">
        <f>ABS(J$5-(6-'4JSON'!J601))</f>
        <v>0</v>
      </c>
      <c r="K607" s="41">
        <f>ABS(K$5-(6-'4JSON'!K601))</f>
        <v>1</v>
      </c>
      <c r="L607" s="41">
        <f>ABS(L$5-(6-'4JSON'!L601))</f>
        <v>1</v>
      </c>
      <c r="M607" s="36">
        <f t="shared" si="1"/>
        <v>7</v>
      </c>
      <c r="N607" s="42">
        <f t="shared" si="2"/>
        <v>0.8055555556</v>
      </c>
    </row>
    <row r="608">
      <c r="A608" s="35">
        <f>'4JSON'!A602</f>
        <v>2225</v>
      </c>
      <c r="B608" s="25" t="str">
        <f>'4JSON'!B602</f>
        <v>Lawn Care Specialists</v>
      </c>
      <c r="C608" s="41" t="str">
        <f>'4JSON'!C602</f>
        <v>Landscape and horticulture technicians and specialists</v>
      </c>
      <c r="D608" s="41">
        <f>ABS(D$5-(6-'4JSON'!D602))</f>
        <v>1</v>
      </c>
      <c r="E608" s="41">
        <f>ABS(E$5-(6-'4JSON'!E602))</f>
        <v>0</v>
      </c>
      <c r="F608" s="41">
        <f>ABS(F$5-(6-'4JSON'!F602))</f>
        <v>1</v>
      </c>
      <c r="G608" s="41">
        <f>ABS(G$5-(6-'4JSON'!G602))</f>
        <v>1</v>
      </c>
      <c r="H608" s="41">
        <f>ABS(H$5-(6-'4JSON'!H602))</f>
        <v>2</v>
      </c>
      <c r="I608" s="41">
        <f>ABS(I$5-(6-'4JSON'!I602))</f>
        <v>1</v>
      </c>
      <c r="J608" s="41">
        <f>ABS(J$5-(6-'4JSON'!J602))</f>
        <v>0</v>
      </c>
      <c r="K608" s="41">
        <f>ABS(K$5-(6-'4JSON'!K602))</f>
        <v>1</v>
      </c>
      <c r="L608" s="41">
        <f>ABS(L$5-(6-'4JSON'!L602))</f>
        <v>0</v>
      </c>
      <c r="M608" s="36">
        <f t="shared" si="1"/>
        <v>7</v>
      </c>
      <c r="N608" s="42">
        <f t="shared" si="2"/>
        <v>0.8055555556</v>
      </c>
    </row>
    <row r="609">
      <c r="A609" s="35">
        <f>'4JSON'!A603</f>
        <v>6622</v>
      </c>
      <c r="B609" s="25" t="str">
        <f>'4JSON'!B603</f>
        <v>Grocery Clerks and Store Shelf Stockers</v>
      </c>
      <c r="C609" s="41" t="str">
        <f>'4JSON'!C603</f>
        <v>Store shelf stockers, clerks and order fillers</v>
      </c>
      <c r="D609" s="41">
        <f>ABS(D$5-(6-'4JSON'!D603))</f>
        <v>0</v>
      </c>
      <c r="E609" s="41">
        <f>ABS(E$5-(6-'4JSON'!E603))</f>
        <v>1</v>
      </c>
      <c r="F609" s="41">
        <f>ABS(F$5-(6-'4JSON'!F603))</f>
        <v>1</v>
      </c>
      <c r="G609" s="41">
        <f>ABS(G$5-(6-'4JSON'!G603))</f>
        <v>1</v>
      </c>
      <c r="H609" s="41">
        <f>ABS(H$5-(6-'4JSON'!H603))</f>
        <v>2</v>
      </c>
      <c r="I609" s="41">
        <f>ABS(I$5-(6-'4JSON'!I603))</f>
        <v>1</v>
      </c>
      <c r="J609" s="41">
        <f>ABS(J$5-(6-'4JSON'!J603))</f>
        <v>0</v>
      </c>
      <c r="K609" s="41">
        <f>ABS(K$5-(6-'4JSON'!K603))</f>
        <v>1</v>
      </c>
      <c r="L609" s="41">
        <f>ABS(L$5-(6-'4JSON'!L603))</f>
        <v>0</v>
      </c>
      <c r="M609" s="36">
        <f t="shared" si="1"/>
        <v>7</v>
      </c>
      <c r="N609" s="42">
        <f t="shared" si="2"/>
        <v>0.8055555556</v>
      </c>
    </row>
    <row r="610">
      <c r="A610" s="35">
        <f>'4JSON'!A604</f>
        <v>9527</v>
      </c>
      <c r="B610" s="25" t="str">
        <f>'4JSON'!B604</f>
        <v>Inspectors and Testers, Electrical Apparatus Manufacturing</v>
      </c>
      <c r="C610" s="41" t="str">
        <f>'4JSON'!C604</f>
        <v>Machine operators and inspectors, electrical apparatus manufacturing</v>
      </c>
      <c r="D610" s="41">
        <f>ABS(D$5-(6-'4JSON'!D604))</f>
        <v>1</v>
      </c>
      <c r="E610" s="41">
        <f>ABS(E$5-(6-'4JSON'!E604))</f>
        <v>1</v>
      </c>
      <c r="F610" s="41">
        <f>ABS(F$5-(6-'4JSON'!F604))</f>
        <v>1</v>
      </c>
      <c r="G610" s="41">
        <f>ABS(G$5-(6-'4JSON'!G604))</f>
        <v>1</v>
      </c>
      <c r="H610" s="41">
        <f>ABS(H$5-(6-'4JSON'!H604))</f>
        <v>2</v>
      </c>
      <c r="I610" s="41">
        <f>ABS(I$5-(6-'4JSON'!I604))</f>
        <v>2</v>
      </c>
      <c r="J610" s="41">
        <f>ABS(J$5-(6-'4JSON'!J604))</f>
        <v>0</v>
      </c>
      <c r="K610" s="41">
        <f>ABS(K$5-(6-'4JSON'!K604))</f>
        <v>1</v>
      </c>
      <c r="L610" s="41">
        <f>ABS(L$5-(6-'4JSON'!L604))</f>
        <v>0</v>
      </c>
      <c r="M610" s="36">
        <f t="shared" si="1"/>
        <v>9</v>
      </c>
      <c r="N610" s="42">
        <f t="shared" si="2"/>
        <v>0.75</v>
      </c>
    </row>
    <row r="611">
      <c r="A611" s="35">
        <f>'4JSON'!A605</f>
        <v>9436</v>
      </c>
      <c r="B611" s="25" t="str">
        <f>'4JSON'!B605</f>
        <v>Lumber Graders</v>
      </c>
      <c r="C611" s="41" t="str">
        <f>'4JSON'!C605</f>
        <v>Lumber graders and other wood processing inspectors and graders</v>
      </c>
      <c r="D611" s="41">
        <f>ABS(D$5-(6-'4JSON'!D605))</f>
        <v>0</v>
      </c>
      <c r="E611" s="41">
        <f>ABS(E$5-(6-'4JSON'!E605))</f>
        <v>1</v>
      </c>
      <c r="F611" s="41">
        <f>ABS(F$5-(6-'4JSON'!F605))</f>
        <v>1</v>
      </c>
      <c r="G611" s="41">
        <f>ABS(G$5-(6-'4JSON'!G605))</f>
        <v>1</v>
      </c>
      <c r="H611" s="41">
        <f>ABS(H$5-(6-'4JSON'!H605))</f>
        <v>1</v>
      </c>
      <c r="I611" s="41">
        <f>ABS(I$5-(6-'4JSON'!I605))</f>
        <v>1</v>
      </c>
      <c r="J611" s="41">
        <f>ABS(J$5-(6-'4JSON'!J605))</f>
        <v>1</v>
      </c>
      <c r="K611" s="41">
        <f>ABS(K$5-(6-'4JSON'!K605))</f>
        <v>0</v>
      </c>
      <c r="L611" s="41">
        <f>ABS(L$5-(6-'4JSON'!L605))</f>
        <v>1</v>
      </c>
      <c r="M611" s="36">
        <f t="shared" si="1"/>
        <v>7</v>
      </c>
      <c r="N611" s="42">
        <f t="shared" si="2"/>
        <v>0.8055555556</v>
      </c>
    </row>
    <row r="612">
      <c r="A612" s="35">
        <f>'4JSON'!A606</f>
        <v>2275</v>
      </c>
      <c r="B612" s="25" t="str">
        <f>'4JSON'!B606</f>
        <v>Marine Traffic Regulators</v>
      </c>
      <c r="C612" s="41" t="str">
        <f>'4JSON'!C606</f>
        <v>Railway traffic controllers and marine traffic regulators</v>
      </c>
      <c r="D612" s="41">
        <f>ABS(D$5-(6-'4JSON'!D606))</f>
        <v>1</v>
      </c>
      <c r="E612" s="41">
        <f>ABS(E$5-(6-'4JSON'!E606))</f>
        <v>0</v>
      </c>
      <c r="F612" s="41">
        <f>ABS(F$5-(6-'4JSON'!F606))</f>
        <v>0</v>
      </c>
      <c r="G612" s="41">
        <f>ABS(G$5-(6-'4JSON'!G606))</f>
        <v>0</v>
      </c>
      <c r="H612" s="41">
        <f>ABS(H$5-(6-'4JSON'!H606))</f>
        <v>1</v>
      </c>
      <c r="I612" s="41">
        <f>ABS(I$5-(6-'4JSON'!I606))</f>
        <v>0</v>
      </c>
      <c r="J612" s="41">
        <f>ABS(J$5-(6-'4JSON'!J606))</f>
        <v>1</v>
      </c>
      <c r="K612" s="41">
        <f>ABS(K$5-(6-'4JSON'!K606))</f>
        <v>1</v>
      </c>
      <c r="L612" s="41">
        <f>ABS(L$5-(6-'4JSON'!L606))</f>
        <v>1</v>
      </c>
      <c r="M612" s="36">
        <f t="shared" si="1"/>
        <v>5</v>
      </c>
      <c r="N612" s="42">
        <f t="shared" si="2"/>
        <v>0.8611111111</v>
      </c>
    </row>
    <row r="613">
      <c r="A613" s="35">
        <f>'4JSON'!A607</f>
        <v>9412</v>
      </c>
      <c r="B613" s="25" t="str">
        <f>'4JSON'!B607</f>
        <v>Machine Mouldmakers and Coremakers</v>
      </c>
      <c r="C613" s="41" t="str">
        <f>'4JSON'!C607</f>
        <v>Foundry workers</v>
      </c>
      <c r="D613" s="41">
        <f>ABS(D$5-(6-'4JSON'!D607))</f>
        <v>0</v>
      </c>
      <c r="E613" s="41">
        <f>ABS(E$5-(6-'4JSON'!E607))</f>
        <v>1</v>
      </c>
      <c r="F613" s="41">
        <f>ABS(F$5-(6-'4JSON'!F607))</f>
        <v>1</v>
      </c>
      <c r="G613" s="41">
        <f>ABS(G$5-(6-'4JSON'!G607))</f>
        <v>1</v>
      </c>
      <c r="H613" s="41">
        <f>ABS(H$5-(6-'4JSON'!H607))</f>
        <v>2</v>
      </c>
      <c r="I613" s="41">
        <f>ABS(I$5-(6-'4JSON'!I607))</f>
        <v>1</v>
      </c>
      <c r="J613" s="41">
        <f>ABS(J$5-(6-'4JSON'!J607))</f>
        <v>0</v>
      </c>
      <c r="K613" s="41">
        <f>ABS(K$5-(6-'4JSON'!K607))</f>
        <v>1</v>
      </c>
      <c r="L613" s="41">
        <f>ABS(L$5-(6-'4JSON'!L607))</f>
        <v>0</v>
      </c>
      <c r="M613" s="36">
        <f t="shared" si="1"/>
        <v>7</v>
      </c>
      <c r="N613" s="42">
        <f t="shared" si="2"/>
        <v>0.8055555556</v>
      </c>
    </row>
    <row r="614">
      <c r="A614" s="35">
        <f>'4JSON'!A608</f>
        <v>6562</v>
      </c>
      <c r="B614" s="25" t="str">
        <f>'4JSON'!B608</f>
        <v>Manicurists and Pedicurists</v>
      </c>
      <c r="C614" s="41" t="str">
        <f>'4JSON'!C608</f>
        <v>Estheticians, electrologists and related occupations</v>
      </c>
      <c r="D614" s="41">
        <f>ABS(D$5-(6-'4JSON'!D608))</f>
        <v>0</v>
      </c>
      <c r="E614" s="41">
        <f>ABS(E$5-(6-'4JSON'!E608))</f>
        <v>1</v>
      </c>
      <c r="F614" s="41">
        <f>ABS(F$5-(6-'4JSON'!F608))</f>
        <v>2</v>
      </c>
      <c r="G614" s="41">
        <f>ABS(G$5-(6-'4JSON'!G608))</f>
        <v>1</v>
      </c>
      <c r="H614" s="41">
        <f>ABS(H$5-(6-'4JSON'!H608))</f>
        <v>1</v>
      </c>
      <c r="I614" s="41">
        <f>ABS(I$5-(6-'4JSON'!I608))</f>
        <v>2</v>
      </c>
      <c r="J614" s="41">
        <f>ABS(J$5-(6-'4JSON'!J608))</f>
        <v>0</v>
      </c>
      <c r="K614" s="41">
        <f>ABS(K$5-(6-'4JSON'!K608))</f>
        <v>0</v>
      </c>
      <c r="L614" s="41">
        <f>ABS(L$5-(6-'4JSON'!L608))</f>
        <v>0</v>
      </c>
      <c r="M614" s="36">
        <f t="shared" si="1"/>
        <v>7</v>
      </c>
      <c r="N614" s="42">
        <f t="shared" si="2"/>
        <v>0.8055555556</v>
      </c>
    </row>
    <row r="615">
      <c r="A615" s="35">
        <f>'4JSON'!A609</f>
        <v>7452</v>
      </c>
      <c r="B615" s="25" t="str">
        <f>'4JSON'!B609</f>
        <v>Material Handlers (Equipment Operators)</v>
      </c>
      <c r="C615" s="41" t="str">
        <f>'4JSON'!C609</f>
        <v>Material handlers</v>
      </c>
      <c r="D615" s="41">
        <f>ABS(D$5-(6-'4JSON'!D609))</f>
        <v>0</v>
      </c>
      <c r="E615" s="41">
        <f>ABS(E$5-(6-'4JSON'!E609))</f>
        <v>1</v>
      </c>
      <c r="F615" s="41">
        <f>ABS(F$5-(6-'4JSON'!F609))</f>
        <v>1</v>
      </c>
      <c r="G615" s="41">
        <f>ABS(G$5-(6-'4JSON'!G609))</f>
        <v>1</v>
      </c>
      <c r="H615" s="41">
        <f>ABS(H$5-(6-'4JSON'!H609))</f>
        <v>2</v>
      </c>
      <c r="I615" s="41">
        <f>ABS(I$5-(6-'4JSON'!I609))</f>
        <v>1</v>
      </c>
      <c r="J615" s="41">
        <f>ABS(J$5-(6-'4JSON'!J609))</f>
        <v>0</v>
      </c>
      <c r="K615" s="41">
        <f>ABS(K$5-(6-'4JSON'!K609))</f>
        <v>1</v>
      </c>
      <c r="L615" s="41">
        <f>ABS(L$5-(6-'4JSON'!L609))</f>
        <v>0</v>
      </c>
      <c r="M615" s="36">
        <f t="shared" si="1"/>
        <v>7</v>
      </c>
      <c r="N615" s="42">
        <f t="shared" si="2"/>
        <v>0.8055555556</v>
      </c>
    </row>
    <row r="616">
      <c r="A616" s="35">
        <f>'4JSON'!A610</f>
        <v>7452</v>
      </c>
      <c r="B616" s="25" t="str">
        <f>'4JSON'!B610</f>
        <v>Material Handlers (Manual)</v>
      </c>
      <c r="C616" s="41" t="str">
        <f>'4JSON'!C610</f>
        <v>Material handlers</v>
      </c>
      <c r="D616" s="41">
        <f>ABS(D$5-(6-'4JSON'!D610))</f>
        <v>0</v>
      </c>
      <c r="E616" s="41">
        <f>ABS(E$5-(6-'4JSON'!E610))</f>
        <v>1</v>
      </c>
      <c r="F616" s="41">
        <f>ABS(F$5-(6-'4JSON'!F610))</f>
        <v>1</v>
      </c>
      <c r="G616" s="41">
        <f>ABS(G$5-(6-'4JSON'!G610))</f>
        <v>1</v>
      </c>
      <c r="H616" s="41">
        <f>ABS(H$5-(6-'4JSON'!H610))</f>
        <v>2</v>
      </c>
      <c r="I616" s="41">
        <f>ABS(I$5-(6-'4JSON'!I610))</f>
        <v>1</v>
      </c>
      <c r="J616" s="41">
        <f>ABS(J$5-(6-'4JSON'!J610))</f>
        <v>0</v>
      </c>
      <c r="K616" s="41">
        <f>ABS(K$5-(6-'4JSON'!K610))</f>
        <v>1</v>
      </c>
      <c r="L616" s="41">
        <f>ABS(L$5-(6-'4JSON'!L610))</f>
        <v>0</v>
      </c>
      <c r="M616" s="36">
        <f t="shared" si="1"/>
        <v>7</v>
      </c>
      <c r="N616" s="42">
        <f t="shared" si="2"/>
        <v>0.8055555556</v>
      </c>
    </row>
    <row r="617">
      <c r="A617" s="35">
        <f>'4JSON'!A611</f>
        <v>8241</v>
      </c>
      <c r="B617" s="25" t="str">
        <f>'4JSON'!B611</f>
        <v>Mechanical Harvester and Forwarder Operators</v>
      </c>
      <c r="C617" s="41" t="str">
        <f>'4JSON'!C611</f>
        <v>Logging machinery operators</v>
      </c>
      <c r="D617" s="41">
        <f>ABS(D$5-(6-'4JSON'!D611))</f>
        <v>1</v>
      </c>
      <c r="E617" s="41">
        <f>ABS(E$5-(6-'4JSON'!E611))</f>
        <v>1</v>
      </c>
      <c r="F617" s="41">
        <f>ABS(F$5-(6-'4JSON'!F611))</f>
        <v>2</v>
      </c>
      <c r="G617" s="41">
        <f>ABS(G$5-(6-'4JSON'!G611))</f>
        <v>0</v>
      </c>
      <c r="H617" s="41">
        <f>ABS(H$5-(6-'4JSON'!H611))</f>
        <v>2</v>
      </c>
      <c r="I617" s="41">
        <f>ABS(I$5-(6-'4JSON'!I611))</f>
        <v>2</v>
      </c>
      <c r="J617" s="41">
        <f>ABS(J$5-(6-'4JSON'!J611))</f>
        <v>0</v>
      </c>
      <c r="K617" s="41">
        <f>ABS(K$5-(6-'4JSON'!K611))</f>
        <v>1</v>
      </c>
      <c r="L617" s="41">
        <f>ABS(L$5-(6-'4JSON'!L611))</f>
        <v>0</v>
      </c>
      <c r="M617" s="36">
        <f t="shared" si="1"/>
        <v>9</v>
      </c>
      <c r="N617" s="42">
        <f t="shared" si="2"/>
        <v>0.75</v>
      </c>
    </row>
    <row r="618">
      <c r="A618" s="35">
        <f>'4JSON'!A612</f>
        <v>4216</v>
      </c>
      <c r="B618" s="25" t="str">
        <f>'4JSON'!B612</f>
        <v>Modelling and Finishing School Instructors</v>
      </c>
      <c r="C618" s="41" t="str">
        <f>'4JSON'!C612</f>
        <v>Other instructors</v>
      </c>
      <c r="D618" s="41">
        <f>ABS(D$5-(6-'4JSON'!D612))</f>
        <v>1</v>
      </c>
      <c r="E618" s="41">
        <f>ABS(E$5-(6-'4JSON'!E612))</f>
        <v>0</v>
      </c>
      <c r="F618" s="41">
        <f>ABS(F$5-(6-'4JSON'!F612))</f>
        <v>1</v>
      </c>
      <c r="G618" s="41">
        <f>ABS(G$5-(6-'4JSON'!G612))</f>
        <v>0</v>
      </c>
      <c r="H618" s="41">
        <f>ABS(H$5-(6-'4JSON'!H612))</f>
        <v>1</v>
      </c>
      <c r="I618" s="41">
        <f>ABS(I$5-(6-'4JSON'!I612))</f>
        <v>1</v>
      </c>
      <c r="J618" s="41">
        <f>ABS(J$5-(6-'4JSON'!J612))</f>
        <v>1</v>
      </c>
      <c r="K618" s="41">
        <f>ABS(K$5-(6-'4JSON'!K612))</f>
        <v>1</v>
      </c>
      <c r="L618" s="41">
        <f>ABS(L$5-(6-'4JSON'!L612))</f>
        <v>1</v>
      </c>
      <c r="M618" s="36">
        <f t="shared" si="1"/>
        <v>7</v>
      </c>
      <c r="N618" s="42">
        <f t="shared" si="2"/>
        <v>0.8055555556</v>
      </c>
    </row>
    <row r="619">
      <c r="A619" s="35">
        <f>'4JSON'!A613</f>
        <v>9522</v>
      </c>
      <c r="B619" s="25" t="str">
        <f>'4JSON'!B613</f>
        <v>Motor Vehicle Inspectors and Testers</v>
      </c>
      <c r="C619" s="41" t="str">
        <f>'4JSON'!C613</f>
        <v>Motor vehicle assemblers, inspectors and testers</v>
      </c>
      <c r="D619" s="41">
        <f>ABS(D$5-(6-'4JSON'!D613))</f>
        <v>1</v>
      </c>
      <c r="E619" s="41">
        <f>ABS(E$5-(6-'4JSON'!E613))</f>
        <v>0</v>
      </c>
      <c r="F619" s="41">
        <f>ABS(F$5-(6-'4JSON'!F613))</f>
        <v>1</v>
      </c>
      <c r="G619" s="41">
        <f>ABS(G$5-(6-'4JSON'!G613))</f>
        <v>0</v>
      </c>
      <c r="H619" s="41">
        <f>ABS(H$5-(6-'4JSON'!H613))</f>
        <v>1</v>
      </c>
      <c r="I619" s="41">
        <f>ABS(I$5-(6-'4JSON'!I613))</f>
        <v>1</v>
      </c>
      <c r="J619" s="41">
        <f>ABS(J$5-(6-'4JSON'!J613))</f>
        <v>1</v>
      </c>
      <c r="K619" s="41">
        <f>ABS(K$5-(6-'4JSON'!K613))</f>
        <v>1</v>
      </c>
      <c r="L619" s="41">
        <f>ABS(L$5-(6-'4JSON'!L613))</f>
        <v>1</v>
      </c>
      <c r="M619" s="36">
        <f t="shared" si="1"/>
        <v>7</v>
      </c>
      <c r="N619" s="42">
        <f t="shared" si="2"/>
        <v>0.8055555556</v>
      </c>
    </row>
    <row r="620">
      <c r="A620" s="35">
        <f>'4JSON'!A614</f>
        <v>8241</v>
      </c>
      <c r="B620" s="25" t="str">
        <f>'4JSON'!B614</f>
        <v>Mechanical Tree Processor and Loader Operators</v>
      </c>
      <c r="C620" s="41" t="str">
        <f>'4JSON'!C614</f>
        <v>Logging machinery operators</v>
      </c>
      <c r="D620" s="41">
        <f>ABS(D$5-(6-'4JSON'!D614))</f>
        <v>1</v>
      </c>
      <c r="E620" s="41">
        <f>ABS(E$5-(6-'4JSON'!E614))</f>
        <v>1</v>
      </c>
      <c r="F620" s="41">
        <f>ABS(F$5-(6-'4JSON'!F614))</f>
        <v>2</v>
      </c>
      <c r="G620" s="41">
        <f>ABS(G$5-(6-'4JSON'!G614))</f>
        <v>0</v>
      </c>
      <c r="H620" s="41">
        <f>ABS(H$5-(6-'4JSON'!H614))</f>
        <v>2</v>
      </c>
      <c r="I620" s="41">
        <f>ABS(I$5-(6-'4JSON'!I614))</f>
        <v>2</v>
      </c>
      <c r="J620" s="41">
        <f>ABS(J$5-(6-'4JSON'!J614))</f>
        <v>0</v>
      </c>
      <c r="K620" s="41">
        <f>ABS(K$5-(6-'4JSON'!K614))</f>
        <v>1</v>
      </c>
      <c r="L620" s="41">
        <f>ABS(L$5-(6-'4JSON'!L614))</f>
        <v>0</v>
      </c>
      <c r="M620" s="36">
        <f t="shared" si="1"/>
        <v>9</v>
      </c>
      <c r="N620" s="42">
        <f t="shared" si="2"/>
        <v>0.75</v>
      </c>
    </row>
    <row r="621">
      <c r="A621" s="35">
        <f>'4JSON'!A615</f>
        <v>8232</v>
      </c>
      <c r="B621" s="25" t="str">
        <f>'4JSON'!B615</f>
        <v>Oil and Gas Well Drillers and Well Servicers</v>
      </c>
      <c r="C621" s="41" t="str">
        <f>'4JSON'!C615</f>
        <v>Oil and gas well drillers, servicers, testers and related workers</v>
      </c>
      <c r="D621" s="41">
        <f>ABS(D$5-(6-'4JSON'!D615))</f>
        <v>1</v>
      </c>
      <c r="E621" s="41">
        <f>ABS(E$5-(6-'4JSON'!E615))</f>
        <v>0</v>
      </c>
      <c r="F621" s="41">
        <f>ABS(F$5-(6-'4JSON'!F615))</f>
        <v>1</v>
      </c>
      <c r="G621" s="41">
        <f>ABS(G$5-(6-'4JSON'!G615))</f>
        <v>1</v>
      </c>
      <c r="H621" s="41">
        <f>ABS(H$5-(6-'4JSON'!H615))</f>
        <v>2</v>
      </c>
      <c r="I621" s="41">
        <f>ABS(I$5-(6-'4JSON'!I615))</f>
        <v>1</v>
      </c>
      <c r="J621" s="41">
        <f>ABS(J$5-(6-'4JSON'!J615))</f>
        <v>0</v>
      </c>
      <c r="K621" s="41">
        <f>ABS(K$5-(6-'4JSON'!K615))</f>
        <v>1</v>
      </c>
      <c r="L621" s="41">
        <f>ABS(L$5-(6-'4JSON'!L615))</f>
        <v>0</v>
      </c>
      <c r="M621" s="36">
        <f t="shared" si="1"/>
        <v>7</v>
      </c>
      <c r="N621" s="42">
        <f t="shared" si="2"/>
        <v>0.8055555556</v>
      </c>
    </row>
    <row r="622">
      <c r="A622" s="35">
        <f>'4JSON'!A616</f>
        <v>9412</v>
      </c>
      <c r="B622" s="25" t="str">
        <f>'4JSON'!B616</f>
        <v>Metal Casters</v>
      </c>
      <c r="C622" s="41" t="str">
        <f>'4JSON'!C616</f>
        <v>Foundry workers</v>
      </c>
      <c r="D622" s="41">
        <f>ABS(D$5-(6-'4JSON'!D616))</f>
        <v>0</v>
      </c>
      <c r="E622" s="41">
        <f>ABS(E$5-(6-'4JSON'!E616))</f>
        <v>1</v>
      </c>
      <c r="F622" s="41">
        <f>ABS(F$5-(6-'4JSON'!F616))</f>
        <v>1</v>
      </c>
      <c r="G622" s="41">
        <f>ABS(G$5-(6-'4JSON'!G616))</f>
        <v>1</v>
      </c>
      <c r="H622" s="41">
        <f>ABS(H$5-(6-'4JSON'!H616))</f>
        <v>2</v>
      </c>
      <c r="I622" s="41">
        <f>ABS(I$5-(6-'4JSON'!I616))</f>
        <v>1</v>
      </c>
      <c r="J622" s="41">
        <f>ABS(J$5-(6-'4JSON'!J616))</f>
        <v>0</v>
      </c>
      <c r="K622" s="41">
        <f>ABS(K$5-(6-'4JSON'!K616))</f>
        <v>1</v>
      </c>
      <c r="L622" s="41">
        <f>ABS(L$5-(6-'4JSON'!L616))</f>
        <v>0</v>
      </c>
      <c r="M622" s="36">
        <f t="shared" si="1"/>
        <v>7</v>
      </c>
      <c r="N622" s="42">
        <f t="shared" si="2"/>
        <v>0.8055555556</v>
      </c>
    </row>
    <row r="623">
      <c r="A623" s="35">
        <f>'4JSON'!A617</f>
        <v>3125</v>
      </c>
      <c r="B623" s="25" t="str">
        <f>'4JSON'!B617</f>
        <v>Orthoptists</v>
      </c>
      <c r="C623" s="41" t="str">
        <f>'4JSON'!C617</f>
        <v>Other professional occupations in health diagnosing and treating</v>
      </c>
      <c r="D623" s="41">
        <f>ABS(D$5-(6-'4JSON'!D617))</f>
        <v>1</v>
      </c>
      <c r="E623" s="41">
        <f>ABS(E$5-(6-'4JSON'!E617))</f>
        <v>0</v>
      </c>
      <c r="F623" s="41">
        <f>ABS(F$5-(6-'4JSON'!F617))</f>
        <v>0</v>
      </c>
      <c r="G623" s="41">
        <f>ABS(G$5-(6-'4JSON'!G617))</f>
        <v>0</v>
      </c>
      <c r="H623" s="41">
        <f>ABS(H$5-(6-'4JSON'!H617))</f>
        <v>0</v>
      </c>
      <c r="I623" s="41">
        <f>ABS(I$5-(6-'4JSON'!I617))</f>
        <v>1</v>
      </c>
      <c r="J623" s="41">
        <f>ABS(J$5-(6-'4JSON'!J617))</f>
        <v>1</v>
      </c>
      <c r="K623" s="41">
        <f>ABS(K$5-(6-'4JSON'!K617))</f>
        <v>0</v>
      </c>
      <c r="L623" s="41">
        <f>ABS(L$5-(6-'4JSON'!L617))</f>
        <v>0</v>
      </c>
      <c r="M623" s="36">
        <f t="shared" si="1"/>
        <v>3</v>
      </c>
      <c r="N623" s="42">
        <f t="shared" si="2"/>
        <v>0.9166666667</v>
      </c>
    </row>
    <row r="624">
      <c r="A624" s="35">
        <f>'4JSON'!A618</f>
        <v>1434</v>
      </c>
      <c r="B624" s="25" t="str">
        <f>'4JSON'!B618</f>
        <v>Other Financial Clerks</v>
      </c>
      <c r="C624" s="41" t="str">
        <f>'4JSON'!C618</f>
        <v>Banking, insurance and other financial clerks</v>
      </c>
      <c r="D624" s="41">
        <f>ABS(D$5-(6-'4JSON'!D618))</f>
        <v>1</v>
      </c>
      <c r="E624" s="41">
        <f>ABS(E$5-(6-'4JSON'!E618))</f>
        <v>0</v>
      </c>
      <c r="F624" s="41">
        <f>ABS(F$5-(6-'4JSON'!F618))</f>
        <v>0</v>
      </c>
      <c r="G624" s="41">
        <f>ABS(G$5-(6-'4JSON'!G618))</f>
        <v>1</v>
      </c>
      <c r="H624" s="41">
        <f>ABS(H$5-(6-'4JSON'!H618))</f>
        <v>2</v>
      </c>
      <c r="I624" s="41">
        <f>ABS(I$5-(6-'4JSON'!I618))</f>
        <v>0</v>
      </c>
      <c r="J624" s="41">
        <f>ABS(J$5-(6-'4JSON'!J618))</f>
        <v>0</v>
      </c>
      <c r="K624" s="41">
        <f>ABS(K$5-(6-'4JSON'!K618))</f>
        <v>0</v>
      </c>
      <c r="L624" s="41">
        <f>ABS(L$5-(6-'4JSON'!L618))</f>
        <v>1</v>
      </c>
      <c r="M624" s="36">
        <f t="shared" si="1"/>
        <v>5</v>
      </c>
      <c r="N624" s="42">
        <f t="shared" si="2"/>
        <v>0.8611111111</v>
      </c>
    </row>
    <row r="625">
      <c r="A625" s="35">
        <f>'4JSON'!A619</f>
        <v>3413</v>
      </c>
      <c r="B625" s="25" t="str">
        <f>'4JSON'!B619</f>
        <v>Nurse Aides, Orderlies and Patient Service Associates</v>
      </c>
      <c r="C625" s="41" t="str">
        <f>'4JSON'!C619</f>
        <v>Nurse aides, orderlies and patient service associates</v>
      </c>
      <c r="D625" s="41">
        <f>ABS(D$5-(6-'4JSON'!D619))</f>
        <v>1</v>
      </c>
      <c r="E625" s="41">
        <f>ABS(E$5-(6-'4JSON'!E619))</f>
        <v>1</v>
      </c>
      <c r="F625" s="41">
        <f>ABS(F$5-(6-'4JSON'!F619))</f>
        <v>1</v>
      </c>
      <c r="G625" s="41">
        <f>ABS(G$5-(6-'4JSON'!G619))</f>
        <v>1</v>
      </c>
      <c r="H625" s="41">
        <f>ABS(H$5-(6-'4JSON'!H619))</f>
        <v>2</v>
      </c>
      <c r="I625" s="41">
        <f>ABS(I$5-(6-'4JSON'!I619))</f>
        <v>1</v>
      </c>
      <c r="J625" s="41">
        <f>ABS(J$5-(6-'4JSON'!J619))</f>
        <v>1</v>
      </c>
      <c r="K625" s="41">
        <f>ABS(K$5-(6-'4JSON'!K619))</f>
        <v>1</v>
      </c>
      <c r="L625" s="41">
        <f>ABS(L$5-(6-'4JSON'!L619))</f>
        <v>0</v>
      </c>
      <c r="M625" s="36">
        <f t="shared" si="1"/>
        <v>9</v>
      </c>
      <c r="N625" s="42">
        <f t="shared" si="2"/>
        <v>0.75</v>
      </c>
    </row>
    <row r="626">
      <c r="A626" s="35">
        <f>'4JSON'!A620</f>
        <v>3414</v>
      </c>
      <c r="B626" s="25" t="str">
        <f>'4JSON'!B620</f>
        <v>Optical/Ophthalmic Laboratory Technicians and Assistants</v>
      </c>
      <c r="C626" s="41" t="str">
        <f>'4JSON'!C620</f>
        <v>Other assisting occupations in support of health services</v>
      </c>
      <c r="D626" s="41">
        <f>ABS(D$5-(6-'4JSON'!D620))</f>
        <v>0</v>
      </c>
      <c r="E626" s="41">
        <f>ABS(E$5-(6-'4JSON'!E620))</f>
        <v>1</v>
      </c>
      <c r="F626" s="41">
        <f>ABS(F$5-(6-'4JSON'!F620))</f>
        <v>1</v>
      </c>
      <c r="G626" s="41">
        <f>ABS(G$5-(6-'4JSON'!G620))</f>
        <v>1</v>
      </c>
      <c r="H626" s="41">
        <f>ABS(H$5-(6-'4JSON'!H620))</f>
        <v>2</v>
      </c>
      <c r="I626" s="41">
        <f>ABS(I$5-(6-'4JSON'!I620))</f>
        <v>1</v>
      </c>
      <c r="J626" s="41">
        <f>ABS(J$5-(6-'4JSON'!J620))</f>
        <v>1</v>
      </c>
      <c r="K626" s="41">
        <f>ABS(K$5-(6-'4JSON'!K620))</f>
        <v>0</v>
      </c>
      <c r="L626" s="41">
        <f>ABS(L$5-(6-'4JSON'!L620))</f>
        <v>0</v>
      </c>
      <c r="M626" s="36">
        <f t="shared" si="1"/>
        <v>7</v>
      </c>
      <c r="N626" s="42">
        <f t="shared" si="2"/>
        <v>0.8055555556</v>
      </c>
    </row>
    <row r="627">
      <c r="A627" s="35">
        <f>'4JSON'!A621</f>
        <v>9235</v>
      </c>
      <c r="B627" s="25" t="str">
        <f>'4JSON'!B621</f>
        <v>Papermaking and Coating Control Operators</v>
      </c>
      <c r="C627" s="41" t="str">
        <f>'4JSON'!C621</f>
        <v>Pulping, papermaking and coating control operators</v>
      </c>
      <c r="D627" s="41">
        <f>ABS(D$5-(6-'4JSON'!D621))</f>
        <v>1</v>
      </c>
      <c r="E627" s="41">
        <f>ABS(E$5-(6-'4JSON'!E621))</f>
        <v>0</v>
      </c>
      <c r="F627" s="41">
        <f>ABS(F$5-(6-'4JSON'!F621))</f>
        <v>1</v>
      </c>
      <c r="G627" s="41">
        <f>ABS(G$5-(6-'4JSON'!G621))</f>
        <v>0</v>
      </c>
      <c r="H627" s="41">
        <f>ABS(H$5-(6-'4JSON'!H621))</f>
        <v>1</v>
      </c>
      <c r="I627" s="41">
        <f>ABS(I$5-(6-'4JSON'!I621))</f>
        <v>1</v>
      </c>
      <c r="J627" s="41">
        <f>ABS(J$5-(6-'4JSON'!J621))</f>
        <v>1</v>
      </c>
      <c r="K627" s="41">
        <f>ABS(K$5-(6-'4JSON'!K621))</f>
        <v>1</v>
      </c>
      <c r="L627" s="41">
        <f>ABS(L$5-(6-'4JSON'!L621))</f>
        <v>1</v>
      </c>
      <c r="M627" s="36">
        <f t="shared" si="1"/>
        <v>7</v>
      </c>
      <c r="N627" s="42">
        <f t="shared" si="2"/>
        <v>0.8055555556</v>
      </c>
    </row>
    <row r="628">
      <c r="A628" s="35">
        <f>'4JSON'!A622</f>
        <v>7612</v>
      </c>
      <c r="B628" s="25" t="str">
        <f>'4JSON'!B622</f>
        <v>Other Trades Helpers and Labourers</v>
      </c>
      <c r="C628" s="41" t="str">
        <f>'4JSON'!C622</f>
        <v>Other trades helpers and labourers</v>
      </c>
      <c r="D628" s="41">
        <f>ABS(D$5-(6-'4JSON'!D622))</f>
        <v>0</v>
      </c>
      <c r="E628" s="41">
        <f>ABS(E$5-(6-'4JSON'!E622))</f>
        <v>1</v>
      </c>
      <c r="F628" s="41">
        <f>ABS(F$5-(6-'4JSON'!F622))</f>
        <v>1</v>
      </c>
      <c r="G628" s="41">
        <f>ABS(G$5-(6-'4JSON'!G622))</f>
        <v>1</v>
      </c>
      <c r="H628" s="41">
        <f>ABS(H$5-(6-'4JSON'!H622))</f>
        <v>2</v>
      </c>
      <c r="I628" s="41">
        <f>ABS(I$5-(6-'4JSON'!I622))</f>
        <v>1</v>
      </c>
      <c r="J628" s="41">
        <f>ABS(J$5-(6-'4JSON'!J622))</f>
        <v>0</v>
      </c>
      <c r="K628" s="41">
        <f>ABS(K$5-(6-'4JSON'!K622))</f>
        <v>1</v>
      </c>
      <c r="L628" s="41">
        <f>ABS(L$5-(6-'4JSON'!L622))</f>
        <v>0</v>
      </c>
      <c r="M628" s="36">
        <f t="shared" si="1"/>
        <v>7</v>
      </c>
      <c r="N628" s="42">
        <f t="shared" si="2"/>
        <v>0.8055555556</v>
      </c>
    </row>
    <row r="629">
      <c r="A629" s="35">
        <f>'4JSON'!A623</f>
        <v>4161</v>
      </c>
      <c r="B629" s="25" t="str">
        <f>'4JSON'!B623</f>
        <v>Patent Agents</v>
      </c>
      <c r="C629" s="41" t="str">
        <f>'4JSON'!C623</f>
        <v>Natural and applied science policy researchers, consultants and program officers</v>
      </c>
      <c r="D629" s="41">
        <f>ABS(D$5-(6-'4JSON'!D623))</f>
        <v>2</v>
      </c>
      <c r="E629" s="41">
        <f>ABS(E$5-(6-'4JSON'!E623))</f>
        <v>1</v>
      </c>
      <c r="F629" s="41">
        <f>ABS(F$5-(6-'4JSON'!F623))</f>
        <v>0</v>
      </c>
      <c r="G629" s="41">
        <f>ABS(G$5-(6-'4JSON'!G623))</f>
        <v>0</v>
      </c>
      <c r="H629" s="41">
        <f>ABS(H$5-(6-'4JSON'!H623))</f>
        <v>1</v>
      </c>
      <c r="I629" s="41">
        <f>ABS(I$5-(6-'4JSON'!I623))</f>
        <v>0</v>
      </c>
      <c r="J629" s="41">
        <f>ABS(J$5-(6-'4JSON'!J623))</f>
        <v>1</v>
      </c>
      <c r="K629" s="41">
        <f>ABS(K$5-(6-'4JSON'!K623))</f>
        <v>1</v>
      </c>
      <c r="L629" s="41">
        <f>ABS(L$5-(6-'4JSON'!L623))</f>
        <v>1</v>
      </c>
      <c r="M629" s="36">
        <f t="shared" si="1"/>
        <v>7</v>
      </c>
      <c r="N629" s="42">
        <f t="shared" si="2"/>
        <v>0.8055555556</v>
      </c>
    </row>
    <row r="630">
      <c r="A630" s="35">
        <f>'4JSON'!A624</f>
        <v>9436</v>
      </c>
      <c r="B630" s="25" t="str">
        <f>'4JSON'!B624</f>
        <v>Other Wood Processing Inspectors and Graders</v>
      </c>
      <c r="C630" s="41" t="str">
        <f>'4JSON'!C624</f>
        <v>Lumber graders and other wood processing inspectors and graders</v>
      </c>
      <c r="D630" s="41">
        <f>ABS(D$5-(6-'4JSON'!D624))</f>
        <v>0</v>
      </c>
      <c r="E630" s="41">
        <f>ABS(E$5-(6-'4JSON'!E624))</f>
        <v>1</v>
      </c>
      <c r="F630" s="41">
        <f>ABS(F$5-(6-'4JSON'!F624))</f>
        <v>1</v>
      </c>
      <c r="G630" s="41">
        <f>ABS(G$5-(6-'4JSON'!G624))</f>
        <v>1</v>
      </c>
      <c r="H630" s="41">
        <f>ABS(H$5-(6-'4JSON'!H624))</f>
        <v>1</v>
      </c>
      <c r="I630" s="41">
        <f>ABS(I$5-(6-'4JSON'!I624))</f>
        <v>1</v>
      </c>
      <c r="J630" s="41">
        <f>ABS(J$5-(6-'4JSON'!J624))</f>
        <v>1</v>
      </c>
      <c r="K630" s="41">
        <f>ABS(K$5-(6-'4JSON'!K624))</f>
        <v>0</v>
      </c>
      <c r="L630" s="41">
        <f>ABS(L$5-(6-'4JSON'!L624))</f>
        <v>1</v>
      </c>
      <c r="M630" s="36">
        <f t="shared" si="1"/>
        <v>7</v>
      </c>
      <c r="N630" s="42">
        <f t="shared" si="2"/>
        <v>0.8055555556</v>
      </c>
    </row>
    <row r="631">
      <c r="A631" s="35">
        <f>'4JSON'!A625</f>
        <v>2255</v>
      </c>
      <c r="B631" s="25" t="str">
        <f>'4JSON'!B625</f>
        <v>Photogrammetric Technologists and Technicians</v>
      </c>
      <c r="C631" s="41" t="str">
        <f>'4JSON'!C625</f>
        <v>Technical occupations in geomatics and meteorology</v>
      </c>
      <c r="D631" s="41">
        <f>ABS(D$5-(6-'4JSON'!D625))</f>
        <v>2</v>
      </c>
      <c r="E631" s="41">
        <f>ABS(E$5-(6-'4JSON'!E625))</f>
        <v>0</v>
      </c>
      <c r="F631" s="41">
        <f>ABS(F$5-(6-'4JSON'!F625))</f>
        <v>1</v>
      </c>
      <c r="G631" s="41">
        <f>ABS(G$5-(6-'4JSON'!G625))</f>
        <v>1</v>
      </c>
      <c r="H631" s="41">
        <f>ABS(H$5-(6-'4JSON'!H625))</f>
        <v>0</v>
      </c>
      <c r="I631" s="41">
        <f>ABS(I$5-(6-'4JSON'!I625))</f>
        <v>0</v>
      </c>
      <c r="J631" s="41">
        <f>ABS(J$5-(6-'4JSON'!J625))</f>
        <v>1</v>
      </c>
      <c r="K631" s="41">
        <f>ABS(K$5-(6-'4JSON'!K625))</f>
        <v>1</v>
      </c>
      <c r="L631" s="41">
        <f>ABS(L$5-(6-'4JSON'!L625))</f>
        <v>1</v>
      </c>
      <c r="M631" s="36">
        <f t="shared" si="1"/>
        <v>7</v>
      </c>
      <c r="N631" s="42">
        <f t="shared" si="2"/>
        <v>0.8055555556</v>
      </c>
    </row>
    <row r="632">
      <c r="A632" s="35">
        <f>'4JSON'!A626</f>
        <v>2115</v>
      </c>
      <c r="B632" s="25" t="str">
        <f>'4JSON'!B626</f>
        <v>Physical Rehabilitation Technicians</v>
      </c>
      <c r="C632" s="41" t="str">
        <f>'4JSON'!C626</f>
        <v>Other professional occupations in physical sciences</v>
      </c>
      <c r="D632" s="41">
        <f>ABS(D$5-(6-'4JSON'!D626))</f>
        <v>1</v>
      </c>
      <c r="E632" s="41">
        <f>ABS(E$5-(6-'4JSON'!E626))</f>
        <v>0</v>
      </c>
      <c r="F632" s="41">
        <f>ABS(F$5-(6-'4JSON'!F626))</f>
        <v>1</v>
      </c>
      <c r="G632" s="41">
        <f>ABS(G$5-(6-'4JSON'!G626))</f>
        <v>1</v>
      </c>
      <c r="H632" s="41">
        <f>ABS(H$5-(6-'4JSON'!H626))</f>
        <v>2</v>
      </c>
      <c r="I632" s="41">
        <f>ABS(I$5-(6-'4JSON'!I626))</f>
        <v>1</v>
      </c>
      <c r="J632" s="41">
        <f>ABS(J$5-(6-'4JSON'!J626))</f>
        <v>1</v>
      </c>
      <c r="K632" s="41">
        <f>ABS(K$5-(6-'4JSON'!K626))</f>
        <v>0</v>
      </c>
      <c r="L632" s="41">
        <f>ABS(L$5-(6-'4JSON'!L626))</f>
        <v>0</v>
      </c>
      <c r="M632" s="36">
        <f t="shared" si="1"/>
        <v>7</v>
      </c>
      <c r="N632" s="42">
        <f t="shared" si="2"/>
        <v>0.8055555556</v>
      </c>
    </row>
    <row r="633">
      <c r="A633" s="35">
        <f>'4JSON'!A627</f>
        <v>4423</v>
      </c>
      <c r="B633" s="25" t="str">
        <f>'4JSON'!B627</f>
        <v>Parking Control Officers</v>
      </c>
      <c r="C633" s="41" t="str">
        <f>'4JSON'!C627</f>
        <v>By-law enforcement and other regulatory officers, n.e.c.</v>
      </c>
      <c r="D633" s="41">
        <f>ABS(D$5-(6-'4JSON'!D627))</f>
        <v>1</v>
      </c>
      <c r="E633" s="41">
        <f>ABS(E$5-(6-'4JSON'!E627))</f>
        <v>1</v>
      </c>
      <c r="F633" s="41">
        <f>ABS(F$5-(6-'4JSON'!F627))</f>
        <v>1</v>
      </c>
      <c r="G633" s="41">
        <f>ABS(G$5-(6-'4JSON'!G627))</f>
        <v>1</v>
      </c>
      <c r="H633" s="41">
        <f>ABS(H$5-(6-'4JSON'!H627))</f>
        <v>2</v>
      </c>
      <c r="I633" s="41">
        <f>ABS(I$5-(6-'4JSON'!I627))</f>
        <v>1</v>
      </c>
      <c r="J633" s="41">
        <f>ABS(J$5-(6-'4JSON'!J627))</f>
        <v>0</v>
      </c>
      <c r="K633" s="41">
        <f>ABS(K$5-(6-'4JSON'!K627))</f>
        <v>1</v>
      </c>
      <c r="L633" s="41">
        <f>ABS(L$5-(6-'4JSON'!L627))</f>
        <v>1</v>
      </c>
      <c r="M633" s="36">
        <f t="shared" si="1"/>
        <v>9</v>
      </c>
      <c r="N633" s="42">
        <f t="shared" si="2"/>
        <v>0.75</v>
      </c>
    </row>
    <row r="634">
      <c r="A634" s="35">
        <f>'4JSON'!A628</f>
        <v>7444</v>
      </c>
      <c r="B634" s="25" t="str">
        <f>'4JSON'!B628</f>
        <v>Pest Controllers and Fumigators</v>
      </c>
      <c r="C634" s="41" t="str">
        <f>'4JSON'!C628</f>
        <v>Pest controllers and fumigators</v>
      </c>
      <c r="D634" s="41">
        <f>ABS(D$5-(6-'4JSON'!D628))</f>
        <v>1</v>
      </c>
      <c r="E634" s="41">
        <f>ABS(E$5-(6-'4JSON'!E628))</f>
        <v>1</v>
      </c>
      <c r="F634" s="41">
        <f>ABS(F$5-(6-'4JSON'!F628))</f>
        <v>1</v>
      </c>
      <c r="G634" s="41">
        <f>ABS(G$5-(6-'4JSON'!G628))</f>
        <v>1</v>
      </c>
      <c r="H634" s="41">
        <f>ABS(H$5-(6-'4JSON'!H628))</f>
        <v>1</v>
      </c>
      <c r="I634" s="41">
        <f>ABS(I$5-(6-'4JSON'!I628))</f>
        <v>2</v>
      </c>
      <c r="J634" s="41">
        <f>ABS(J$5-(6-'4JSON'!J628))</f>
        <v>1</v>
      </c>
      <c r="K634" s="41">
        <f>ABS(K$5-(6-'4JSON'!K628))</f>
        <v>1</v>
      </c>
      <c r="L634" s="41">
        <f>ABS(L$5-(6-'4JSON'!L628))</f>
        <v>0</v>
      </c>
      <c r="M634" s="36">
        <f t="shared" si="1"/>
        <v>9</v>
      </c>
      <c r="N634" s="42">
        <f t="shared" si="2"/>
        <v>0.75</v>
      </c>
    </row>
    <row r="635">
      <c r="A635" s="35">
        <f>'4JSON'!A629</f>
        <v>4012</v>
      </c>
      <c r="B635" s="25" t="str">
        <f>'4JSON'!B629</f>
        <v>Post-Secondary Research Assistants</v>
      </c>
      <c r="C635" s="41" t="str">
        <f>'4JSON'!C629</f>
        <v>Post-secondary teaching and research assistants</v>
      </c>
      <c r="D635" s="41">
        <f>ABS(D$5-(6-'4JSON'!D629))</f>
        <v>2</v>
      </c>
      <c r="E635" s="41">
        <f>ABS(E$5-(6-'4JSON'!E629))</f>
        <v>1</v>
      </c>
      <c r="F635" s="41">
        <f>ABS(F$5-(6-'4JSON'!F629))</f>
        <v>0</v>
      </c>
      <c r="G635" s="41">
        <f>ABS(G$5-(6-'4JSON'!G629))</f>
        <v>0</v>
      </c>
      <c r="H635" s="41">
        <f>ABS(H$5-(6-'4JSON'!H629))</f>
        <v>1</v>
      </c>
      <c r="I635" s="41">
        <f>ABS(I$5-(6-'4JSON'!I629))</f>
        <v>0</v>
      </c>
      <c r="J635" s="41">
        <f>ABS(J$5-(6-'4JSON'!J629))</f>
        <v>1</v>
      </c>
      <c r="K635" s="41">
        <f>ABS(K$5-(6-'4JSON'!K629))</f>
        <v>1</v>
      </c>
      <c r="L635" s="41">
        <f>ABS(L$5-(6-'4JSON'!L629))</f>
        <v>1</v>
      </c>
      <c r="M635" s="36">
        <f t="shared" si="1"/>
        <v>7</v>
      </c>
      <c r="N635" s="42">
        <f t="shared" si="2"/>
        <v>0.8055555556</v>
      </c>
    </row>
    <row r="636">
      <c r="A636" s="35">
        <f>'4JSON'!A630</f>
        <v>4012</v>
      </c>
      <c r="B636" s="25" t="str">
        <f>'4JSON'!B630</f>
        <v>Post-Secondary Teaching Assistants</v>
      </c>
      <c r="C636" s="41" t="str">
        <f>'4JSON'!C630</f>
        <v>Post-secondary teaching and research assistants</v>
      </c>
      <c r="D636" s="41">
        <f>ABS(D$5-(6-'4JSON'!D630))</f>
        <v>2</v>
      </c>
      <c r="E636" s="41">
        <f>ABS(E$5-(6-'4JSON'!E630))</f>
        <v>1</v>
      </c>
      <c r="F636" s="41">
        <f>ABS(F$5-(6-'4JSON'!F630))</f>
        <v>0</v>
      </c>
      <c r="G636" s="41">
        <f>ABS(G$5-(6-'4JSON'!G630))</f>
        <v>0</v>
      </c>
      <c r="H636" s="41">
        <f>ABS(H$5-(6-'4JSON'!H630))</f>
        <v>1</v>
      </c>
      <c r="I636" s="41">
        <f>ABS(I$5-(6-'4JSON'!I630))</f>
        <v>0</v>
      </c>
      <c r="J636" s="41">
        <f>ABS(J$5-(6-'4JSON'!J630))</f>
        <v>1</v>
      </c>
      <c r="K636" s="41">
        <f>ABS(K$5-(6-'4JSON'!K630))</f>
        <v>1</v>
      </c>
      <c r="L636" s="41">
        <f>ABS(L$5-(6-'4JSON'!L630))</f>
        <v>1</v>
      </c>
      <c r="M636" s="36">
        <f t="shared" si="1"/>
        <v>7</v>
      </c>
      <c r="N636" s="42">
        <f t="shared" si="2"/>
        <v>0.8055555556</v>
      </c>
    </row>
    <row r="637">
      <c r="A637" s="35">
        <f>'4JSON'!A631</f>
        <v>9535</v>
      </c>
      <c r="B637" s="25" t="str">
        <f>'4JSON'!B631</f>
        <v>Plastic Products Assemblers and Finishers</v>
      </c>
      <c r="C637" s="41" t="str">
        <f>'4JSON'!C631</f>
        <v>Plastic products assemblers, finishers and inspectors</v>
      </c>
      <c r="D637" s="41">
        <f>ABS(D$5-(6-'4JSON'!D631))</f>
        <v>0</v>
      </c>
      <c r="E637" s="41">
        <f>ABS(E$5-(6-'4JSON'!E631))</f>
        <v>1</v>
      </c>
      <c r="F637" s="41">
        <f>ABS(F$5-(6-'4JSON'!F631))</f>
        <v>1</v>
      </c>
      <c r="G637" s="41">
        <f>ABS(G$5-(6-'4JSON'!G631))</f>
        <v>1</v>
      </c>
      <c r="H637" s="41">
        <f>ABS(H$5-(6-'4JSON'!H631))</f>
        <v>2</v>
      </c>
      <c r="I637" s="41">
        <f>ABS(I$5-(6-'4JSON'!I631))</f>
        <v>1</v>
      </c>
      <c r="J637" s="41">
        <f>ABS(J$5-(6-'4JSON'!J631))</f>
        <v>0</v>
      </c>
      <c r="K637" s="41">
        <f>ABS(K$5-(6-'4JSON'!K631))</f>
        <v>1</v>
      </c>
      <c r="L637" s="41">
        <f>ABS(L$5-(6-'4JSON'!L631))</f>
        <v>0</v>
      </c>
      <c r="M637" s="36">
        <f t="shared" si="1"/>
        <v>7</v>
      </c>
      <c r="N637" s="42">
        <f t="shared" si="2"/>
        <v>0.8055555556</v>
      </c>
    </row>
    <row r="638">
      <c r="A638" s="35">
        <f>'4JSON'!A632</f>
        <v>1452</v>
      </c>
      <c r="B638" s="25" t="str">
        <f>'4JSON'!B632</f>
        <v>Proofreaders</v>
      </c>
      <c r="C638" s="41" t="str">
        <f>'4JSON'!C632</f>
        <v>Correspondence, publication and regulatory clerks</v>
      </c>
      <c r="D638" s="41">
        <f>ABS(D$5-(6-'4JSON'!D632))</f>
        <v>1</v>
      </c>
      <c r="E638" s="41">
        <f>ABS(E$5-(6-'4JSON'!E632))</f>
        <v>0</v>
      </c>
      <c r="F638" s="41">
        <f>ABS(F$5-(6-'4JSON'!F632))</f>
        <v>1</v>
      </c>
      <c r="G638" s="41">
        <f>ABS(G$5-(6-'4JSON'!G632))</f>
        <v>1</v>
      </c>
      <c r="H638" s="41">
        <f>ABS(H$5-(6-'4JSON'!H632))</f>
        <v>1</v>
      </c>
      <c r="I638" s="41">
        <f>ABS(I$5-(6-'4JSON'!I632))</f>
        <v>2</v>
      </c>
      <c r="J638" s="41">
        <f>ABS(J$5-(6-'4JSON'!J632))</f>
        <v>0</v>
      </c>
      <c r="K638" s="41">
        <f>ABS(K$5-(6-'4JSON'!K632))</f>
        <v>0</v>
      </c>
      <c r="L638" s="41">
        <f>ABS(L$5-(6-'4JSON'!L632))</f>
        <v>1</v>
      </c>
      <c r="M638" s="36">
        <f t="shared" si="1"/>
        <v>7</v>
      </c>
      <c r="N638" s="42">
        <f t="shared" si="2"/>
        <v>0.8055555556</v>
      </c>
    </row>
    <row r="639">
      <c r="A639" s="35">
        <f>'4JSON'!A633</f>
        <v>5226</v>
      </c>
      <c r="B639" s="25" t="str">
        <f>'4JSON'!B633</f>
        <v>Property Masters</v>
      </c>
      <c r="C639" s="41" t="str">
        <f>'4JSON'!C633</f>
        <v>Other technical and co-ordinating occupations in motion pictures, broadcasting and the performing arts</v>
      </c>
      <c r="D639" s="41">
        <f>ABS(D$5-(6-'4JSON'!D633))</f>
        <v>1</v>
      </c>
      <c r="E639" s="41">
        <f>ABS(E$5-(6-'4JSON'!E633))</f>
        <v>0</v>
      </c>
      <c r="F639" s="41">
        <f>ABS(F$5-(6-'4JSON'!F633))</f>
        <v>0</v>
      </c>
      <c r="G639" s="41">
        <f>ABS(G$5-(6-'4JSON'!G633))</f>
        <v>0</v>
      </c>
      <c r="H639" s="41">
        <f>ABS(H$5-(6-'4JSON'!H633))</f>
        <v>1</v>
      </c>
      <c r="I639" s="41">
        <f>ABS(I$5-(6-'4JSON'!I633))</f>
        <v>0</v>
      </c>
      <c r="J639" s="41">
        <f>ABS(J$5-(6-'4JSON'!J633))</f>
        <v>1</v>
      </c>
      <c r="K639" s="41">
        <f>ABS(K$5-(6-'4JSON'!K633))</f>
        <v>1</v>
      </c>
      <c r="L639" s="41">
        <f>ABS(L$5-(6-'4JSON'!L633))</f>
        <v>1</v>
      </c>
      <c r="M639" s="36">
        <f t="shared" si="1"/>
        <v>5</v>
      </c>
      <c r="N639" s="42">
        <f t="shared" si="2"/>
        <v>0.8611111111</v>
      </c>
    </row>
    <row r="640">
      <c r="A640" s="35">
        <f>'4JSON'!A634</f>
        <v>9535</v>
      </c>
      <c r="B640" s="25" t="str">
        <f>'4JSON'!B634</f>
        <v>Plastics Products Inspectors</v>
      </c>
      <c r="C640" s="41" t="str">
        <f>'4JSON'!C634</f>
        <v>Plastic products assemblers, finishers and inspectors</v>
      </c>
      <c r="D640" s="41">
        <f>ABS(D$5-(6-'4JSON'!D634))</f>
        <v>0</v>
      </c>
      <c r="E640" s="41">
        <f>ABS(E$5-(6-'4JSON'!E634))</f>
        <v>1</v>
      </c>
      <c r="F640" s="41">
        <f>ABS(F$5-(6-'4JSON'!F634))</f>
        <v>1</v>
      </c>
      <c r="G640" s="41">
        <f>ABS(G$5-(6-'4JSON'!G634))</f>
        <v>1</v>
      </c>
      <c r="H640" s="41">
        <f>ABS(H$5-(6-'4JSON'!H634))</f>
        <v>2</v>
      </c>
      <c r="I640" s="41">
        <f>ABS(I$5-(6-'4JSON'!I634))</f>
        <v>1</v>
      </c>
      <c r="J640" s="41">
        <f>ABS(J$5-(6-'4JSON'!J634))</f>
        <v>0</v>
      </c>
      <c r="K640" s="41">
        <f>ABS(K$5-(6-'4JSON'!K634))</f>
        <v>1</v>
      </c>
      <c r="L640" s="41">
        <f>ABS(L$5-(6-'4JSON'!L634))</f>
        <v>0</v>
      </c>
      <c r="M640" s="36">
        <f t="shared" si="1"/>
        <v>7</v>
      </c>
      <c r="N640" s="42">
        <f t="shared" si="2"/>
        <v>0.8055555556</v>
      </c>
    </row>
    <row r="641">
      <c r="A641" s="35">
        <f>'4JSON'!A635</f>
        <v>9235</v>
      </c>
      <c r="B641" s="25" t="str">
        <f>'4JSON'!B635</f>
        <v>Pulping Control Operators</v>
      </c>
      <c r="C641" s="41" t="str">
        <f>'4JSON'!C635</f>
        <v>Pulping, papermaking and coating control operators</v>
      </c>
      <c r="D641" s="41">
        <f>ABS(D$5-(6-'4JSON'!D635))</f>
        <v>1</v>
      </c>
      <c r="E641" s="41">
        <f>ABS(E$5-(6-'4JSON'!E635))</f>
        <v>0</v>
      </c>
      <c r="F641" s="41">
        <f>ABS(F$5-(6-'4JSON'!F635))</f>
        <v>0</v>
      </c>
      <c r="G641" s="41">
        <f>ABS(G$5-(6-'4JSON'!G635))</f>
        <v>0</v>
      </c>
      <c r="H641" s="41">
        <f>ABS(H$5-(6-'4JSON'!H635))</f>
        <v>1</v>
      </c>
      <c r="I641" s="41">
        <f>ABS(I$5-(6-'4JSON'!I635))</f>
        <v>0</v>
      </c>
      <c r="J641" s="41">
        <f>ABS(J$5-(6-'4JSON'!J635))</f>
        <v>1</v>
      </c>
      <c r="K641" s="41">
        <f>ABS(K$5-(6-'4JSON'!K635))</f>
        <v>1</v>
      </c>
      <c r="L641" s="41">
        <f>ABS(L$5-(6-'4JSON'!L635))</f>
        <v>1</v>
      </c>
      <c r="M641" s="36">
        <f t="shared" si="1"/>
        <v>5</v>
      </c>
      <c r="N641" s="42">
        <f t="shared" si="2"/>
        <v>0.8611111111</v>
      </c>
    </row>
    <row r="642">
      <c r="A642" s="35">
        <f>'4JSON'!A636</f>
        <v>1225</v>
      </c>
      <c r="B642" s="25" t="str">
        <f>'4JSON'!B636</f>
        <v>Purchasing Agents and Officers</v>
      </c>
      <c r="C642" s="41" t="str">
        <f>'4JSON'!C636</f>
        <v>Purchasing agents and officers</v>
      </c>
      <c r="D642" s="41">
        <f>ABS(D$5-(6-'4JSON'!D636))</f>
        <v>2</v>
      </c>
      <c r="E642" s="41">
        <f>ABS(E$5-(6-'4JSON'!E636))</f>
        <v>1</v>
      </c>
      <c r="F642" s="41">
        <f>ABS(F$5-(6-'4JSON'!F636))</f>
        <v>0</v>
      </c>
      <c r="G642" s="41">
        <f>ABS(G$5-(6-'4JSON'!G636))</f>
        <v>0</v>
      </c>
      <c r="H642" s="41">
        <f>ABS(H$5-(6-'4JSON'!H636))</f>
        <v>1</v>
      </c>
      <c r="I642" s="41">
        <f>ABS(I$5-(6-'4JSON'!I636))</f>
        <v>0</v>
      </c>
      <c r="J642" s="41">
        <f>ABS(J$5-(6-'4JSON'!J636))</f>
        <v>1</v>
      </c>
      <c r="K642" s="41">
        <f>ABS(K$5-(6-'4JSON'!K636))</f>
        <v>1</v>
      </c>
      <c r="L642" s="41">
        <f>ABS(L$5-(6-'4JSON'!L636))</f>
        <v>1</v>
      </c>
      <c r="M642" s="36">
        <f t="shared" si="1"/>
        <v>7</v>
      </c>
      <c r="N642" s="42">
        <f t="shared" si="2"/>
        <v>0.8055555556</v>
      </c>
    </row>
    <row r="643">
      <c r="A643" s="35">
        <f>'4JSON'!A637</f>
        <v>7361</v>
      </c>
      <c r="B643" s="25" t="str">
        <f>'4JSON'!B637</f>
        <v>Railway Locomotive Engineers</v>
      </c>
      <c r="C643" s="41" t="str">
        <f>'4JSON'!C637</f>
        <v>Railway and yard locomotive engineers</v>
      </c>
      <c r="D643" s="41">
        <f>ABS(D$5-(6-'4JSON'!D637))</f>
        <v>1</v>
      </c>
      <c r="E643" s="41">
        <f>ABS(E$5-(6-'4JSON'!E637))</f>
        <v>0</v>
      </c>
      <c r="F643" s="41">
        <f>ABS(F$5-(6-'4JSON'!F637))</f>
        <v>0</v>
      </c>
      <c r="G643" s="41">
        <f>ABS(G$5-(6-'4JSON'!G637))</f>
        <v>0</v>
      </c>
      <c r="H643" s="41">
        <f>ABS(H$5-(6-'4JSON'!H637))</f>
        <v>1</v>
      </c>
      <c r="I643" s="41">
        <f>ABS(I$5-(6-'4JSON'!I637))</f>
        <v>1</v>
      </c>
      <c r="J643" s="41">
        <f>ABS(J$5-(6-'4JSON'!J637))</f>
        <v>1</v>
      </c>
      <c r="K643" s="41">
        <f>ABS(K$5-(6-'4JSON'!K637))</f>
        <v>1</v>
      </c>
      <c r="L643" s="41">
        <f>ABS(L$5-(6-'4JSON'!L637))</f>
        <v>0</v>
      </c>
      <c r="M643" s="36">
        <f t="shared" si="1"/>
        <v>5</v>
      </c>
      <c r="N643" s="42">
        <f t="shared" si="2"/>
        <v>0.8611111111</v>
      </c>
    </row>
    <row r="644">
      <c r="A644" s="35">
        <f>'4JSON'!A638</f>
        <v>9432</v>
      </c>
      <c r="B644" s="25" t="str">
        <f>'4JSON'!B638</f>
        <v>Pulp Mill Machine Operators</v>
      </c>
      <c r="C644" s="41" t="str">
        <f>'4JSON'!C638</f>
        <v>Pulp mill machine operators</v>
      </c>
      <c r="D644" s="41">
        <f>ABS(D$5-(6-'4JSON'!D638))</f>
        <v>1</v>
      </c>
      <c r="E644" s="41">
        <f>ABS(E$5-(6-'4JSON'!E638))</f>
        <v>1</v>
      </c>
      <c r="F644" s="41">
        <f>ABS(F$5-(6-'4JSON'!F638))</f>
        <v>1</v>
      </c>
      <c r="G644" s="41">
        <f>ABS(G$5-(6-'4JSON'!G638))</f>
        <v>1</v>
      </c>
      <c r="H644" s="41">
        <f>ABS(H$5-(6-'4JSON'!H638))</f>
        <v>2</v>
      </c>
      <c r="I644" s="41">
        <f>ABS(I$5-(6-'4JSON'!I638))</f>
        <v>1</v>
      </c>
      <c r="J644" s="41">
        <f>ABS(J$5-(6-'4JSON'!J638))</f>
        <v>1</v>
      </c>
      <c r="K644" s="41">
        <f>ABS(K$5-(6-'4JSON'!K638))</f>
        <v>1</v>
      </c>
      <c r="L644" s="41">
        <f>ABS(L$5-(6-'4JSON'!L638))</f>
        <v>0</v>
      </c>
      <c r="M644" s="36">
        <f t="shared" si="1"/>
        <v>9</v>
      </c>
      <c r="N644" s="42">
        <f t="shared" si="2"/>
        <v>0.75</v>
      </c>
    </row>
    <row r="645">
      <c r="A645" s="35">
        <f>'4JSON'!A639</f>
        <v>2275</v>
      </c>
      <c r="B645" s="25" t="str">
        <f>'4JSON'!B639</f>
        <v>Railway Traffic Controllers</v>
      </c>
      <c r="C645" s="41" t="str">
        <f>'4JSON'!C639</f>
        <v>Railway traffic controllers and marine traffic regulators</v>
      </c>
      <c r="D645" s="41">
        <f>ABS(D$5-(6-'4JSON'!D639))</f>
        <v>1</v>
      </c>
      <c r="E645" s="41">
        <f>ABS(E$5-(6-'4JSON'!E639))</f>
        <v>0</v>
      </c>
      <c r="F645" s="41">
        <f>ABS(F$5-(6-'4JSON'!F639))</f>
        <v>0</v>
      </c>
      <c r="G645" s="41">
        <f>ABS(G$5-(6-'4JSON'!G639))</f>
        <v>1</v>
      </c>
      <c r="H645" s="41">
        <f>ABS(H$5-(6-'4JSON'!H639))</f>
        <v>2</v>
      </c>
      <c r="I645" s="41">
        <f>ABS(I$5-(6-'4JSON'!I639))</f>
        <v>0</v>
      </c>
      <c r="J645" s="41">
        <f>ABS(J$5-(6-'4JSON'!J639))</f>
        <v>1</v>
      </c>
      <c r="K645" s="41">
        <f>ABS(K$5-(6-'4JSON'!K639))</f>
        <v>1</v>
      </c>
      <c r="L645" s="41">
        <f>ABS(L$5-(6-'4JSON'!L639))</f>
        <v>1</v>
      </c>
      <c r="M645" s="36">
        <f t="shared" si="1"/>
        <v>7</v>
      </c>
      <c r="N645" s="42">
        <f t="shared" si="2"/>
        <v>0.8055555556</v>
      </c>
    </row>
    <row r="646">
      <c r="A646" s="35">
        <f>'4JSON'!A640</f>
        <v>5131</v>
      </c>
      <c r="B646" s="25" t="str">
        <f>'4JSON'!B640</f>
        <v>Record Producers</v>
      </c>
      <c r="C646" s="41" t="str">
        <f>'4JSON'!C640</f>
        <v>Producers, directors, choreographers and related occupations</v>
      </c>
      <c r="D646" s="41">
        <f>ABS(D$5-(6-'4JSON'!D640))</f>
        <v>2</v>
      </c>
      <c r="E646" s="41">
        <f>ABS(E$5-(6-'4JSON'!E640))</f>
        <v>1</v>
      </c>
      <c r="F646" s="41">
        <f>ABS(F$5-(6-'4JSON'!F640))</f>
        <v>0</v>
      </c>
      <c r="G646" s="41">
        <f>ABS(G$5-(6-'4JSON'!G640))</f>
        <v>0</v>
      </c>
      <c r="H646" s="41">
        <f>ABS(H$5-(6-'4JSON'!H640))</f>
        <v>1</v>
      </c>
      <c r="I646" s="41">
        <f>ABS(I$5-(6-'4JSON'!I640))</f>
        <v>0</v>
      </c>
      <c r="J646" s="41">
        <f>ABS(J$5-(6-'4JSON'!J640))</f>
        <v>1</v>
      </c>
      <c r="K646" s="41">
        <f>ABS(K$5-(6-'4JSON'!K640))</f>
        <v>1</v>
      </c>
      <c r="L646" s="41">
        <f>ABS(L$5-(6-'4JSON'!L640))</f>
        <v>1</v>
      </c>
      <c r="M646" s="36">
        <f t="shared" si="1"/>
        <v>7</v>
      </c>
      <c r="N646" s="42">
        <f t="shared" si="2"/>
        <v>0.8055555556</v>
      </c>
    </row>
    <row r="647">
      <c r="A647" s="35">
        <f>'4JSON'!A641</f>
        <v>1253</v>
      </c>
      <c r="B647" s="25" t="str">
        <f>'4JSON'!B641</f>
        <v>Records Management Clerks</v>
      </c>
      <c r="C647" s="41" t="str">
        <f>'4JSON'!C641</f>
        <v>Records management technicians</v>
      </c>
      <c r="D647" s="41">
        <f>ABS(D$5-(6-'4JSON'!D641))</f>
        <v>1</v>
      </c>
      <c r="E647" s="41">
        <f>ABS(E$5-(6-'4JSON'!E641))</f>
        <v>0</v>
      </c>
      <c r="F647" s="41">
        <f>ABS(F$5-(6-'4JSON'!F641))</f>
        <v>0</v>
      </c>
      <c r="G647" s="41">
        <f>ABS(G$5-(6-'4JSON'!G641))</f>
        <v>1</v>
      </c>
      <c r="H647" s="41">
        <f>ABS(H$5-(6-'4JSON'!H641))</f>
        <v>2</v>
      </c>
      <c r="I647" s="41">
        <f>ABS(I$5-(6-'4JSON'!I641))</f>
        <v>0</v>
      </c>
      <c r="J647" s="41">
        <f>ABS(J$5-(6-'4JSON'!J641))</f>
        <v>0</v>
      </c>
      <c r="K647" s="41">
        <f>ABS(K$5-(6-'4JSON'!K641))</f>
        <v>0</v>
      </c>
      <c r="L647" s="41">
        <f>ABS(L$5-(6-'4JSON'!L641))</f>
        <v>1</v>
      </c>
      <c r="M647" s="36">
        <f t="shared" si="1"/>
        <v>5</v>
      </c>
      <c r="N647" s="42">
        <f t="shared" si="2"/>
        <v>0.8611111111</v>
      </c>
    </row>
    <row r="648">
      <c r="A648" s="35">
        <f>'4JSON'!A642</f>
        <v>4167</v>
      </c>
      <c r="B648" s="25" t="str">
        <f>'4JSON'!B642</f>
        <v>Recreation and Sports Program Supervisors</v>
      </c>
      <c r="C648" s="41" t="str">
        <f>'4JSON'!C642</f>
        <v>Recreation, sports and fitness policy researchers, consultants and program officers</v>
      </c>
      <c r="D648" s="41">
        <f>ABS(D$5-(6-'4JSON'!D642))</f>
        <v>1</v>
      </c>
      <c r="E648" s="41">
        <f>ABS(E$5-(6-'4JSON'!E642))</f>
        <v>0</v>
      </c>
      <c r="F648" s="41">
        <f>ABS(F$5-(6-'4JSON'!F642))</f>
        <v>0</v>
      </c>
      <c r="G648" s="41">
        <f>ABS(G$5-(6-'4JSON'!G642))</f>
        <v>0</v>
      </c>
      <c r="H648" s="41">
        <f>ABS(H$5-(6-'4JSON'!H642))</f>
        <v>1</v>
      </c>
      <c r="I648" s="41">
        <f>ABS(I$5-(6-'4JSON'!I642))</f>
        <v>0</v>
      </c>
      <c r="J648" s="41">
        <f>ABS(J$5-(6-'4JSON'!J642))</f>
        <v>1</v>
      </c>
      <c r="K648" s="41">
        <f>ABS(K$5-(6-'4JSON'!K642))</f>
        <v>1</v>
      </c>
      <c r="L648" s="41">
        <f>ABS(L$5-(6-'4JSON'!L642))</f>
        <v>1</v>
      </c>
      <c r="M648" s="36">
        <f t="shared" si="1"/>
        <v>5</v>
      </c>
      <c r="N648" s="42">
        <f t="shared" si="2"/>
        <v>0.8611111111</v>
      </c>
    </row>
    <row r="649">
      <c r="A649" s="35">
        <f>'4JSON'!A643</f>
        <v>6222</v>
      </c>
      <c r="B649" s="25" t="str">
        <f>'4JSON'!B643</f>
        <v>Retail and Wholesale Buyers</v>
      </c>
      <c r="C649" s="41" t="str">
        <f>'4JSON'!C643</f>
        <v>Retail and wholesale buyers</v>
      </c>
      <c r="D649" s="41">
        <f>ABS(D$5-(6-'4JSON'!D643))</f>
        <v>1</v>
      </c>
      <c r="E649" s="41">
        <f>ABS(E$5-(6-'4JSON'!E643))</f>
        <v>0</v>
      </c>
      <c r="F649" s="41">
        <f>ABS(F$5-(6-'4JSON'!F643))</f>
        <v>0</v>
      </c>
      <c r="G649" s="41">
        <f>ABS(G$5-(6-'4JSON'!G643))</f>
        <v>0</v>
      </c>
      <c r="H649" s="41">
        <f>ABS(H$5-(6-'4JSON'!H643))</f>
        <v>1</v>
      </c>
      <c r="I649" s="41">
        <f>ABS(I$5-(6-'4JSON'!I643))</f>
        <v>0</v>
      </c>
      <c r="J649" s="41">
        <f>ABS(J$5-(6-'4JSON'!J643))</f>
        <v>1</v>
      </c>
      <c r="K649" s="41">
        <f>ABS(K$5-(6-'4JSON'!K643))</f>
        <v>1</v>
      </c>
      <c r="L649" s="41">
        <f>ABS(L$5-(6-'4JSON'!L643))</f>
        <v>1</v>
      </c>
      <c r="M649" s="36">
        <f t="shared" si="1"/>
        <v>5</v>
      </c>
      <c r="N649" s="42">
        <f t="shared" si="2"/>
        <v>0.8611111111</v>
      </c>
    </row>
    <row r="650">
      <c r="A650" s="35">
        <f>'4JSON'!A644</f>
        <v>7531</v>
      </c>
      <c r="B650" s="25" t="str">
        <f>'4JSON'!B644</f>
        <v>Railway Track Maintenance Workers</v>
      </c>
      <c r="C650" s="41" t="str">
        <f>'4JSON'!C644</f>
        <v>Railway yard and track maintenance workers</v>
      </c>
      <c r="D650" s="41">
        <f>ABS(D$5-(6-'4JSON'!D644))</f>
        <v>1</v>
      </c>
      <c r="E650" s="41">
        <f>ABS(E$5-(6-'4JSON'!E644))</f>
        <v>1</v>
      </c>
      <c r="F650" s="41">
        <f>ABS(F$5-(6-'4JSON'!F644))</f>
        <v>2</v>
      </c>
      <c r="G650" s="41">
        <f>ABS(G$5-(6-'4JSON'!G644))</f>
        <v>0</v>
      </c>
      <c r="H650" s="41">
        <f>ABS(H$5-(6-'4JSON'!H644))</f>
        <v>2</v>
      </c>
      <c r="I650" s="41">
        <f>ABS(I$5-(6-'4JSON'!I644))</f>
        <v>2</v>
      </c>
      <c r="J650" s="41">
        <f>ABS(J$5-(6-'4JSON'!J644))</f>
        <v>0</v>
      </c>
      <c r="K650" s="41">
        <f>ABS(K$5-(6-'4JSON'!K644))</f>
        <v>1</v>
      </c>
      <c r="L650" s="41">
        <f>ABS(L$5-(6-'4JSON'!L644))</f>
        <v>0</v>
      </c>
      <c r="M650" s="36">
        <f t="shared" si="1"/>
        <v>9</v>
      </c>
      <c r="N650" s="42">
        <f t="shared" si="2"/>
        <v>0.75</v>
      </c>
    </row>
    <row r="651">
      <c r="A651" s="35">
        <f>'4JSON'!A645</f>
        <v>9423</v>
      </c>
      <c r="B651" s="25" t="str">
        <f>'4JSON'!B645</f>
        <v>Rubber Processing Machine Operators</v>
      </c>
      <c r="C651" s="41" t="str">
        <f>'4JSON'!C645</f>
        <v>Rubber processing machine operators and related workers</v>
      </c>
      <c r="D651" s="41">
        <f>ABS(D$5-(6-'4JSON'!D645))</f>
        <v>0</v>
      </c>
      <c r="E651" s="41">
        <f>ABS(E$5-(6-'4JSON'!E645))</f>
        <v>1</v>
      </c>
      <c r="F651" s="41">
        <f>ABS(F$5-(6-'4JSON'!F645))</f>
        <v>1</v>
      </c>
      <c r="G651" s="41">
        <f>ABS(G$5-(6-'4JSON'!G645))</f>
        <v>1</v>
      </c>
      <c r="H651" s="41">
        <f>ABS(H$5-(6-'4JSON'!H645))</f>
        <v>2</v>
      </c>
      <c r="I651" s="41">
        <f>ABS(I$5-(6-'4JSON'!I645))</f>
        <v>1</v>
      </c>
      <c r="J651" s="41">
        <f>ABS(J$5-(6-'4JSON'!J645))</f>
        <v>0</v>
      </c>
      <c r="K651" s="41">
        <f>ABS(K$5-(6-'4JSON'!K645))</f>
        <v>1</v>
      </c>
      <c r="L651" s="41">
        <f>ABS(L$5-(6-'4JSON'!L645))</f>
        <v>0</v>
      </c>
      <c r="M651" s="36">
        <f t="shared" si="1"/>
        <v>7</v>
      </c>
      <c r="N651" s="42">
        <f t="shared" si="2"/>
        <v>0.8055555556</v>
      </c>
    </row>
    <row r="652">
      <c r="A652" s="35">
        <f>'4JSON'!A646</f>
        <v>9423</v>
      </c>
      <c r="B652" s="25" t="str">
        <f>'4JSON'!B646</f>
        <v>Rubber Products Inspectors</v>
      </c>
      <c r="C652" s="41" t="str">
        <f>'4JSON'!C646</f>
        <v>Rubber processing machine operators and related workers</v>
      </c>
      <c r="D652" s="41">
        <f>ABS(D$5-(6-'4JSON'!D646))</f>
        <v>0</v>
      </c>
      <c r="E652" s="41">
        <f>ABS(E$5-(6-'4JSON'!E646))</f>
        <v>1</v>
      </c>
      <c r="F652" s="41">
        <f>ABS(F$5-(6-'4JSON'!F646))</f>
        <v>1</v>
      </c>
      <c r="G652" s="41">
        <f>ABS(G$5-(6-'4JSON'!G646))</f>
        <v>1</v>
      </c>
      <c r="H652" s="41">
        <f>ABS(H$5-(6-'4JSON'!H646))</f>
        <v>2</v>
      </c>
      <c r="I652" s="41">
        <f>ABS(I$5-(6-'4JSON'!I646))</f>
        <v>1</v>
      </c>
      <c r="J652" s="41">
        <f>ABS(J$5-(6-'4JSON'!J646))</f>
        <v>0</v>
      </c>
      <c r="K652" s="41">
        <f>ABS(K$5-(6-'4JSON'!K646))</f>
        <v>1</v>
      </c>
      <c r="L652" s="41">
        <f>ABS(L$5-(6-'4JSON'!L646))</f>
        <v>0</v>
      </c>
      <c r="M652" s="36">
        <f t="shared" si="1"/>
        <v>7</v>
      </c>
      <c r="N652" s="42">
        <f t="shared" si="2"/>
        <v>0.8055555556</v>
      </c>
    </row>
    <row r="653">
      <c r="A653" s="35">
        <f>'4JSON'!A647</f>
        <v>1521</v>
      </c>
      <c r="B653" s="25" t="str">
        <f>'4JSON'!B647</f>
        <v>Shippers and Receivers</v>
      </c>
      <c r="C653" s="41" t="str">
        <f>'4JSON'!C647</f>
        <v>Shippers and receivers</v>
      </c>
      <c r="D653" s="41">
        <f>ABS(D$5-(6-'4JSON'!D647))</f>
        <v>1</v>
      </c>
      <c r="E653" s="41">
        <f>ABS(E$5-(6-'4JSON'!E647))</f>
        <v>0</v>
      </c>
      <c r="F653" s="41">
        <f>ABS(F$5-(6-'4JSON'!F647))</f>
        <v>0</v>
      </c>
      <c r="G653" s="41">
        <f>ABS(G$5-(6-'4JSON'!G647))</f>
        <v>1</v>
      </c>
      <c r="H653" s="41">
        <f>ABS(H$5-(6-'4JSON'!H647))</f>
        <v>2</v>
      </c>
      <c r="I653" s="41">
        <f>ABS(I$5-(6-'4JSON'!I647))</f>
        <v>0</v>
      </c>
      <c r="J653" s="41">
        <f>ABS(J$5-(6-'4JSON'!J647))</f>
        <v>0</v>
      </c>
      <c r="K653" s="41">
        <f>ABS(K$5-(6-'4JSON'!K647))</f>
        <v>0</v>
      </c>
      <c r="L653" s="41">
        <f>ABS(L$5-(6-'4JSON'!L647))</f>
        <v>1</v>
      </c>
      <c r="M653" s="36">
        <f t="shared" si="1"/>
        <v>5</v>
      </c>
      <c r="N653" s="42">
        <f t="shared" si="2"/>
        <v>0.8611111111</v>
      </c>
    </row>
    <row r="654">
      <c r="A654" s="35">
        <f>'4JSON'!A648</f>
        <v>6321</v>
      </c>
      <c r="B654" s="25" t="str">
        <f>'4JSON'!B648</f>
        <v>Sous-Chefs</v>
      </c>
      <c r="C654" s="41" t="str">
        <f>'4JSON'!C648</f>
        <v>Chefs</v>
      </c>
      <c r="D654" s="41">
        <f>ABS(D$5-(6-'4JSON'!D648))</f>
        <v>1</v>
      </c>
      <c r="E654" s="41">
        <f>ABS(E$5-(6-'4JSON'!E648))</f>
        <v>0</v>
      </c>
      <c r="F654" s="41">
        <f>ABS(F$5-(6-'4JSON'!F648))</f>
        <v>0</v>
      </c>
      <c r="G654" s="41">
        <f>ABS(G$5-(6-'4JSON'!G648))</f>
        <v>1</v>
      </c>
      <c r="H654" s="41">
        <f>ABS(H$5-(6-'4JSON'!H648))</f>
        <v>2</v>
      </c>
      <c r="I654" s="41">
        <f>ABS(I$5-(6-'4JSON'!I648))</f>
        <v>1</v>
      </c>
      <c r="J654" s="41">
        <f>ABS(J$5-(6-'4JSON'!J648))</f>
        <v>0</v>
      </c>
      <c r="K654" s="41">
        <f>ABS(K$5-(6-'4JSON'!K648))</f>
        <v>0</v>
      </c>
      <c r="L654" s="41">
        <f>ABS(L$5-(6-'4JSON'!L648))</f>
        <v>0</v>
      </c>
      <c r="M654" s="36">
        <f t="shared" si="1"/>
        <v>5</v>
      </c>
      <c r="N654" s="42">
        <f t="shared" si="2"/>
        <v>0.8611111111</v>
      </c>
    </row>
    <row r="655">
      <c r="A655" s="35">
        <f>'4JSON'!A649</f>
        <v>3111</v>
      </c>
      <c r="B655" s="25" t="str">
        <f>'4JSON'!B649</f>
        <v>Specialists in Clinical Medicine</v>
      </c>
      <c r="C655" s="41" t="str">
        <f>'4JSON'!C649</f>
        <v>Specialist physicians</v>
      </c>
      <c r="D655" s="41">
        <f>ABS(D$5-(6-'4JSON'!D649))</f>
        <v>3</v>
      </c>
      <c r="E655" s="41">
        <f>ABS(E$5-(6-'4JSON'!E649))</f>
        <v>2</v>
      </c>
      <c r="F655" s="41">
        <f>ABS(F$5-(6-'4JSON'!F649))</f>
        <v>1</v>
      </c>
      <c r="G655" s="41">
        <f>ABS(G$5-(6-'4JSON'!G649))</f>
        <v>1</v>
      </c>
      <c r="H655" s="41">
        <f>ABS(H$5-(6-'4JSON'!H649))</f>
        <v>0</v>
      </c>
      <c r="I655" s="41">
        <f>ABS(I$5-(6-'4JSON'!I649))</f>
        <v>0</v>
      </c>
      <c r="J655" s="41">
        <f>ABS(J$5-(6-'4JSON'!J649))</f>
        <v>0</v>
      </c>
      <c r="K655" s="41">
        <f>ABS(K$5-(6-'4JSON'!K649))</f>
        <v>1</v>
      </c>
      <c r="L655" s="41">
        <f>ABS(L$5-(6-'4JSON'!L649))</f>
        <v>1</v>
      </c>
      <c r="M655" s="36">
        <f t="shared" si="1"/>
        <v>9</v>
      </c>
      <c r="N655" s="42">
        <f t="shared" si="2"/>
        <v>0.75</v>
      </c>
    </row>
    <row r="656">
      <c r="A656" s="35">
        <f>'4JSON'!A650</f>
        <v>3111</v>
      </c>
      <c r="B656" s="25" t="str">
        <f>'4JSON'!B650</f>
        <v>Specialists in Surgery</v>
      </c>
      <c r="C656" s="41" t="str">
        <f>'4JSON'!C650</f>
        <v>Specialist physicians</v>
      </c>
      <c r="D656" s="41">
        <f>ABS(D$5-(6-'4JSON'!D650))</f>
        <v>3</v>
      </c>
      <c r="E656" s="41">
        <f>ABS(E$5-(6-'4JSON'!E650))</f>
        <v>2</v>
      </c>
      <c r="F656" s="41">
        <f>ABS(F$5-(6-'4JSON'!F650))</f>
        <v>1</v>
      </c>
      <c r="G656" s="41">
        <f>ABS(G$5-(6-'4JSON'!G650))</f>
        <v>2</v>
      </c>
      <c r="H656" s="41">
        <f>ABS(H$5-(6-'4JSON'!H650))</f>
        <v>1</v>
      </c>
      <c r="I656" s="41">
        <f>ABS(I$5-(6-'4JSON'!I650))</f>
        <v>0</v>
      </c>
      <c r="J656" s="41">
        <f>ABS(J$5-(6-'4JSON'!J650))</f>
        <v>2</v>
      </c>
      <c r="K656" s="41">
        <f>ABS(K$5-(6-'4JSON'!K650))</f>
        <v>2</v>
      </c>
      <c r="L656" s="41">
        <f>ABS(L$5-(6-'4JSON'!L650))</f>
        <v>2</v>
      </c>
      <c r="M656" s="36">
        <f t="shared" si="1"/>
        <v>15</v>
      </c>
      <c r="N656" s="42">
        <f t="shared" si="2"/>
        <v>0.5833333333</v>
      </c>
    </row>
    <row r="657">
      <c r="A657" s="35">
        <f>'4JSON'!A651</f>
        <v>3141</v>
      </c>
      <c r="B657" s="25" t="str">
        <f>'4JSON'!B651</f>
        <v>Speech-Language Pathologists</v>
      </c>
      <c r="C657" s="41" t="str">
        <f>'4JSON'!C651</f>
        <v>Audiologists and speech-language pathologists</v>
      </c>
      <c r="D657" s="41">
        <f>ABS(D$5-(6-'4JSON'!D651))</f>
        <v>2</v>
      </c>
      <c r="E657" s="41">
        <f>ABS(E$5-(6-'4JSON'!E651))</f>
        <v>1</v>
      </c>
      <c r="F657" s="41">
        <f>ABS(F$5-(6-'4JSON'!F651))</f>
        <v>0</v>
      </c>
      <c r="G657" s="41">
        <f>ABS(G$5-(6-'4JSON'!G651))</f>
        <v>0</v>
      </c>
      <c r="H657" s="41">
        <f>ABS(H$5-(6-'4JSON'!H651))</f>
        <v>1</v>
      </c>
      <c r="I657" s="41">
        <f>ABS(I$5-(6-'4JSON'!I651))</f>
        <v>0</v>
      </c>
      <c r="J657" s="41">
        <f>ABS(J$5-(6-'4JSON'!J651))</f>
        <v>1</v>
      </c>
      <c r="K657" s="41">
        <f>ABS(K$5-(6-'4JSON'!K651))</f>
        <v>1</v>
      </c>
      <c r="L657" s="41">
        <f>ABS(L$5-(6-'4JSON'!L651))</f>
        <v>1</v>
      </c>
      <c r="M657" s="36">
        <f t="shared" si="1"/>
        <v>7</v>
      </c>
      <c r="N657" s="42">
        <f t="shared" si="2"/>
        <v>0.8055555556</v>
      </c>
    </row>
    <row r="658">
      <c r="A658" s="35">
        <f>'4JSON'!A652</f>
        <v>9241</v>
      </c>
      <c r="B658" s="25" t="str">
        <f>'4JSON'!B652</f>
        <v>Stationary Engineers and Auxiliary Equipment Operators</v>
      </c>
      <c r="C658" s="41" t="str">
        <f>'4JSON'!C652</f>
        <v>Power engineers and power systems operators</v>
      </c>
      <c r="D658" s="41">
        <f>ABS(D$5-(6-'4JSON'!D652))</f>
        <v>1</v>
      </c>
      <c r="E658" s="41">
        <f>ABS(E$5-(6-'4JSON'!E652))</f>
        <v>0</v>
      </c>
      <c r="F658" s="41">
        <f>ABS(F$5-(6-'4JSON'!F652))</f>
        <v>0</v>
      </c>
      <c r="G658" s="41">
        <f>ABS(G$5-(6-'4JSON'!G652))</f>
        <v>0</v>
      </c>
      <c r="H658" s="41">
        <f>ABS(H$5-(6-'4JSON'!H652))</f>
        <v>2</v>
      </c>
      <c r="I658" s="41">
        <f>ABS(I$5-(6-'4JSON'!I652))</f>
        <v>1</v>
      </c>
      <c r="J658" s="41">
        <f>ABS(J$5-(6-'4JSON'!J652))</f>
        <v>0</v>
      </c>
      <c r="K658" s="41">
        <f>ABS(K$5-(6-'4JSON'!K652))</f>
        <v>1</v>
      </c>
      <c r="L658" s="41">
        <f>ABS(L$5-(6-'4JSON'!L652))</f>
        <v>0</v>
      </c>
      <c r="M658" s="36">
        <f t="shared" si="1"/>
        <v>5</v>
      </c>
      <c r="N658" s="42">
        <f t="shared" si="2"/>
        <v>0.8611111111</v>
      </c>
    </row>
    <row r="659">
      <c r="A659" s="35">
        <f>'4JSON'!A653</f>
        <v>1454</v>
      </c>
      <c r="B659" s="25" t="str">
        <f>'4JSON'!B653</f>
        <v>Statistical Clerks</v>
      </c>
      <c r="C659" s="41" t="str">
        <f>'4JSON'!C653</f>
        <v>Survey interviewers and statistical clerks</v>
      </c>
      <c r="D659" s="41">
        <f>ABS(D$5-(6-'4JSON'!D653))</f>
        <v>1</v>
      </c>
      <c r="E659" s="41">
        <f>ABS(E$5-(6-'4JSON'!E653))</f>
        <v>0</v>
      </c>
      <c r="F659" s="41">
        <f>ABS(F$5-(6-'4JSON'!F653))</f>
        <v>0</v>
      </c>
      <c r="G659" s="41">
        <f>ABS(G$5-(6-'4JSON'!G653))</f>
        <v>1</v>
      </c>
      <c r="H659" s="41">
        <f>ABS(H$5-(6-'4JSON'!H653))</f>
        <v>2</v>
      </c>
      <c r="I659" s="41">
        <f>ABS(I$5-(6-'4JSON'!I653))</f>
        <v>0</v>
      </c>
      <c r="J659" s="41">
        <f>ABS(J$5-(6-'4JSON'!J653))</f>
        <v>0</v>
      </c>
      <c r="K659" s="41">
        <f>ABS(K$5-(6-'4JSON'!K653))</f>
        <v>0</v>
      </c>
      <c r="L659" s="41">
        <f>ABS(L$5-(6-'4JSON'!L653))</f>
        <v>1</v>
      </c>
      <c r="M659" s="36">
        <f t="shared" si="1"/>
        <v>5</v>
      </c>
      <c r="N659" s="42">
        <f t="shared" si="2"/>
        <v>0.8611111111</v>
      </c>
    </row>
    <row r="660">
      <c r="A660" s="35">
        <f>'4JSON'!A654</f>
        <v>8221</v>
      </c>
      <c r="B660" s="25" t="str">
        <f>'4JSON'!B654</f>
        <v>Supervisors, Mining and Quarrying</v>
      </c>
      <c r="C660" s="41" t="str">
        <f>'4JSON'!C654</f>
        <v>Supervisors, mining and quarrying</v>
      </c>
      <c r="D660" s="41">
        <f>ABS(D$5-(6-'4JSON'!D654))</f>
        <v>1</v>
      </c>
      <c r="E660" s="41">
        <f>ABS(E$5-(6-'4JSON'!E654))</f>
        <v>0</v>
      </c>
      <c r="F660" s="41">
        <f>ABS(F$5-(6-'4JSON'!F654))</f>
        <v>1</v>
      </c>
      <c r="G660" s="41">
        <f>ABS(G$5-(6-'4JSON'!G654))</f>
        <v>0</v>
      </c>
      <c r="H660" s="41">
        <f>ABS(H$5-(6-'4JSON'!H654))</f>
        <v>1</v>
      </c>
      <c r="I660" s="41">
        <f>ABS(I$5-(6-'4JSON'!I654))</f>
        <v>1</v>
      </c>
      <c r="J660" s="41">
        <f>ABS(J$5-(6-'4JSON'!J654))</f>
        <v>1</v>
      </c>
      <c r="K660" s="41">
        <f>ABS(K$5-(6-'4JSON'!K654))</f>
        <v>1</v>
      </c>
      <c r="L660" s="41">
        <f>ABS(L$5-(6-'4JSON'!L654))</f>
        <v>1</v>
      </c>
      <c r="M660" s="36">
        <f t="shared" si="1"/>
        <v>7</v>
      </c>
      <c r="N660" s="42">
        <f t="shared" si="2"/>
        <v>0.8055555556</v>
      </c>
    </row>
    <row r="661">
      <c r="A661" s="35">
        <f>'4JSON'!A655</f>
        <v>8222</v>
      </c>
      <c r="B661" s="25" t="str">
        <f>'4JSON'!B655</f>
        <v>Supervisors, Oil and Gas Drilling and Service</v>
      </c>
      <c r="C661" s="41" t="str">
        <f>'4JSON'!C655</f>
        <v>Contractors and supervisors, oil and gas drilling and services</v>
      </c>
      <c r="D661" s="41">
        <f>ABS(D$5-(6-'4JSON'!D655))</f>
        <v>1</v>
      </c>
      <c r="E661" s="41">
        <f>ABS(E$5-(6-'4JSON'!E655))</f>
        <v>0</v>
      </c>
      <c r="F661" s="41">
        <f>ABS(F$5-(6-'4JSON'!F655))</f>
        <v>0</v>
      </c>
      <c r="G661" s="41">
        <f>ABS(G$5-(6-'4JSON'!G655))</f>
        <v>0</v>
      </c>
      <c r="H661" s="41">
        <f>ABS(H$5-(6-'4JSON'!H655))</f>
        <v>2</v>
      </c>
      <c r="I661" s="41">
        <f>ABS(I$5-(6-'4JSON'!I655))</f>
        <v>1</v>
      </c>
      <c r="J661" s="41">
        <f>ABS(J$5-(6-'4JSON'!J655))</f>
        <v>0</v>
      </c>
      <c r="K661" s="41">
        <f>ABS(K$5-(6-'4JSON'!K655))</f>
        <v>1</v>
      </c>
      <c r="L661" s="41">
        <f>ABS(L$5-(6-'4JSON'!L655))</f>
        <v>0</v>
      </c>
      <c r="M661" s="36">
        <f t="shared" si="1"/>
        <v>5</v>
      </c>
      <c r="N661" s="42">
        <f t="shared" si="2"/>
        <v>0.8611111111</v>
      </c>
    </row>
    <row r="662">
      <c r="A662" s="35">
        <f>'4JSON'!A656</f>
        <v>9226</v>
      </c>
      <c r="B662" s="25" t="str">
        <f>'4JSON'!B656</f>
        <v>Supervisors, Other Mechanical and Metal Products Manufacturing</v>
      </c>
      <c r="C662" s="41" t="str">
        <f>'4JSON'!C656</f>
        <v>Supervisors, other mechanical and metal products manufacturing</v>
      </c>
      <c r="D662" s="41">
        <f>ABS(D$5-(6-'4JSON'!D656))</f>
        <v>1</v>
      </c>
      <c r="E662" s="41">
        <f>ABS(E$5-(6-'4JSON'!E656))</f>
        <v>0</v>
      </c>
      <c r="F662" s="41">
        <f>ABS(F$5-(6-'4JSON'!F656))</f>
        <v>0</v>
      </c>
      <c r="G662" s="41">
        <f>ABS(G$5-(6-'4JSON'!G656))</f>
        <v>1</v>
      </c>
      <c r="H662" s="41">
        <f>ABS(H$5-(6-'4JSON'!H656))</f>
        <v>1</v>
      </c>
      <c r="I662" s="41">
        <f>ABS(I$5-(6-'4JSON'!I656))</f>
        <v>0</v>
      </c>
      <c r="J662" s="41">
        <f>ABS(J$5-(6-'4JSON'!J656))</f>
        <v>1</v>
      </c>
      <c r="K662" s="41">
        <f>ABS(K$5-(6-'4JSON'!K656))</f>
        <v>1</v>
      </c>
      <c r="L662" s="41">
        <f>ABS(L$5-(6-'4JSON'!L656))</f>
        <v>0</v>
      </c>
      <c r="M662" s="36">
        <f t="shared" si="1"/>
        <v>5</v>
      </c>
      <c r="N662" s="42">
        <f t="shared" si="2"/>
        <v>0.8611111111</v>
      </c>
    </row>
    <row r="663">
      <c r="A663" s="35">
        <f>'4JSON'!A657</f>
        <v>9214</v>
      </c>
      <c r="B663" s="25" t="str">
        <f>'4JSON'!B657</f>
        <v>Supervisors, Plastic and Rubber Products Manufacturing</v>
      </c>
      <c r="C663" s="41" t="str">
        <f>'4JSON'!C657</f>
        <v>Supervisors, plastic and rubber products manufacturing</v>
      </c>
      <c r="D663" s="41">
        <f>ABS(D$5-(6-'4JSON'!D657))</f>
        <v>1</v>
      </c>
      <c r="E663" s="41">
        <f>ABS(E$5-(6-'4JSON'!E657))</f>
        <v>0</v>
      </c>
      <c r="F663" s="41">
        <f>ABS(F$5-(6-'4JSON'!F657))</f>
        <v>0</v>
      </c>
      <c r="G663" s="41">
        <f>ABS(G$5-(6-'4JSON'!G657))</f>
        <v>1</v>
      </c>
      <c r="H663" s="41">
        <f>ABS(H$5-(6-'4JSON'!H657))</f>
        <v>2</v>
      </c>
      <c r="I663" s="41">
        <f>ABS(I$5-(6-'4JSON'!I657))</f>
        <v>0</v>
      </c>
      <c r="J663" s="41">
        <f>ABS(J$5-(6-'4JSON'!J657))</f>
        <v>0</v>
      </c>
      <c r="K663" s="41">
        <f>ABS(K$5-(6-'4JSON'!K657))</f>
        <v>1</v>
      </c>
      <c r="L663" s="41">
        <f>ABS(L$5-(6-'4JSON'!L657))</f>
        <v>0</v>
      </c>
      <c r="M663" s="36">
        <f t="shared" si="1"/>
        <v>5</v>
      </c>
      <c r="N663" s="42">
        <f t="shared" si="2"/>
        <v>0.8611111111</v>
      </c>
    </row>
    <row r="664">
      <c r="A664" s="35">
        <f>'4JSON'!A658</f>
        <v>9217</v>
      </c>
      <c r="B664" s="25" t="str">
        <f>'4JSON'!B658</f>
        <v>Supervisors, Textile Processing</v>
      </c>
      <c r="C664" s="41" t="str">
        <f>'4JSON'!C658</f>
        <v>Supervisors, textile, fabric, fur and leather products processing and manufacturing</v>
      </c>
      <c r="D664" s="41">
        <f>ABS(D$5-(6-'4JSON'!D658))</f>
        <v>1</v>
      </c>
      <c r="E664" s="41">
        <f>ABS(E$5-(6-'4JSON'!E658))</f>
        <v>0</v>
      </c>
      <c r="F664" s="41">
        <f>ABS(F$5-(6-'4JSON'!F658))</f>
        <v>0</v>
      </c>
      <c r="G664" s="41">
        <f>ABS(G$5-(6-'4JSON'!G658))</f>
        <v>1</v>
      </c>
      <c r="H664" s="41">
        <f>ABS(H$5-(6-'4JSON'!H658))</f>
        <v>2</v>
      </c>
      <c r="I664" s="41">
        <f>ABS(I$5-(6-'4JSON'!I658))</f>
        <v>0</v>
      </c>
      <c r="J664" s="41">
        <f>ABS(J$5-(6-'4JSON'!J658))</f>
        <v>0</v>
      </c>
      <c r="K664" s="41">
        <f>ABS(K$5-(6-'4JSON'!K658))</f>
        <v>1</v>
      </c>
      <c r="L664" s="41">
        <f>ABS(L$5-(6-'4JSON'!L658))</f>
        <v>0</v>
      </c>
      <c r="M664" s="36">
        <f t="shared" si="1"/>
        <v>5</v>
      </c>
      <c r="N664" s="42">
        <f t="shared" si="2"/>
        <v>0.8611111111</v>
      </c>
    </row>
    <row r="665">
      <c r="A665" s="35">
        <f>'4JSON'!A659</f>
        <v>1454</v>
      </c>
      <c r="B665" s="25" t="str">
        <f>'4JSON'!B659</f>
        <v>Survey Interviewers</v>
      </c>
      <c r="C665" s="41" t="str">
        <f>'4JSON'!C659</f>
        <v>Survey interviewers and statistical clerks</v>
      </c>
      <c r="D665" s="41">
        <f>ABS(D$5-(6-'4JSON'!D659))</f>
        <v>1</v>
      </c>
      <c r="E665" s="41">
        <f>ABS(E$5-(6-'4JSON'!E659))</f>
        <v>0</v>
      </c>
      <c r="F665" s="41">
        <f>ABS(F$5-(6-'4JSON'!F659))</f>
        <v>0</v>
      </c>
      <c r="G665" s="41">
        <f>ABS(G$5-(6-'4JSON'!G659))</f>
        <v>1</v>
      </c>
      <c r="H665" s="41">
        <f>ABS(H$5-(6-'4JSON'!H659))</f>
        <v>2</v>
      </c>
      <c r="I665" s="41">
        <f>ABS(I$5-(6-'4JSON'!I659))</f>
        <v>0</v>
      </c>
      <c r="J665" s="41">
        <f>ABS(J$5-(6-'4JSON'!J659))</f>
        <v>0</v>
      </c>
      <c r="K665" s="41">
        <f>ABS(K$5-(6-'4JSON'!K659))</f>
        <v>0</v>
      </c>
      <c r="L665" s="41">
        <f>ABS(L$5-(6-'4JSON'!L659))</f>
        <v>1</v>
      </c>
      <c r="M665" s="36">
        <f t="shared" si="1"/>
        <v>5</v>
      </c>
      <c r="N665" s="42">
        <f t="shared" si="2"/>
        <v>0.8611111111</v>
      </c>
    </row>
    <row r="666">
      <c r="A666" s="35">
        <f>'4JSON'!A660</f>
        <v>6221</v>
      </c>
      <c r="B666" s="25" t="str">
        <f>'4JSON'!B660</f>
        <v>Technical Sales Specialists - Wholesale Trade</v>
      </c>
      <c r="C666" s="41" t="str">
        <f>'4JSON'!C660</f>
        <v>Technical sales specialists - wholesale trade</v>
      </c>
      <c r="D666" s="41">
        <f>ABS(D$5-(6-'4JSON'!D660))</f>
        <v>2</v>
      </c>
      <c r="E666" s="41">
        <f>ABS(E$5-(6-'4JSON'!E660))</f>
        <v>1</v>
      </c>
      <c r="F666" s="41">
        <f>ABS(F$5-(6-'4JSON'!F660))</f>
        <v>0</v>
      </c>
      <c r="G666" s="41">
        <f>ABS(G$5-(6-'4JSON'!G660))</f>
        <v>0</v>
      </c>
      <c r="H666" s="41">
        <f>ABS(H$5-(6-'4JSON'!H660))</f>
        <v>1</v>
      </c>
      <c r="I666" s="41">
        <f>ABS(I$5-(6-'4JSON'!I660))</f>
        <v>0</v>
      </c>
      <c r="J666" s="41">
        <f>ABS(J$5-(6-'4JSON'!J660))</f>
        <v>1</v>
      </c>
      <c r="K666" s="41">
        <f>ABS(K$5-(6-'4JSON'!K660))</f>
        <v>1</v>
      </c>
      <c r="L666" s="41">
        <f>ABS(L$5-(6-'4JSON'!L660))</f>
        <v>1</v>
      </c>
      <c r="M666" s="36">
        <f t="shared" si="1"/>
        <v>7</v>
      </c>
      <c r="N666" s="42">
        <f t="shared" si="2"/>
        <v>0.8055555556</v>
      </c>
    </row>
    <row r="667">
      <c r="A667" s="35">
        <f>'4JSON'!A661</f>
        <v>5121</v>
      </c>
      <c r="B667" s="25" t="str">
        <f>'4JSON'!B661</f>
        <v>Technical Writers</v>
      </c>
      <c r="C667" s="41" t="str">
        <f>'4JSON'!C661</f>
        <v>Authors and writers</v>
      </c>
      <c r="D667" s="41">
        <f>ABS(D$5-(6-'4JSON'!D661))</f>
        <v>2</v>
      </c>
      <c r="E667" s="41">
        <f>ABS(E$5-(6-'4JSON'!E661))</f>
        <v>2</v>
      </c>
      <c r="F667" s="41">
        <f>ABS(F$5-(6-'4JSON'!F661))</f>
        <v>1</v>
      </c>
      <c r="G667" s="41">
        <f>ABS(G$5-(6-'4JSON'!G661))</f>
        <v>0</v>
      </c>
      <c r="H667" s="41">
        <f>ABS(H$5-(6-'4JSON'!H661))</f>
        <v>1</v>
      </c>
      <c r="I667" s="41">
        <f>ABS(I$5-(6-'4JSON'!I661))</f>
        <v>0</v>
      </c>
      <c r="J667" s="41">
        <f>ABS(J$5-(6-'4JSON'!J661))</f>
        <v>1</v>
      </c>
      <c r="K667" s="41">
        <f>ABS(K$5-(6-'4JSON'!K661))</f>
        <v>1</v>
      </c>
      <c r="L667" s="41">
        <f>ABS(L$5-(6-'4JSON'!L661))</f>
        <v>1</v>
      </c>
      <c r="M667" s="36">
        <f t="shared" si="1"/>
        <v>9</v>
      </c>
      <c r="N667" s="42">
        <f t="shared" si="2"/>
        <v>0.75</v>
      </c>
    </row>
    <row r="668">
      <c r="A668" s="35">
        <f>'4JSON'!A662</f>
        <v>9465</v>
      </c>
      <c r="B668" s="25" t="str">
        <f>'4JSON'!B662</f>
        <v>Testers and Graders, Food and Beverage Processing</v>
      </c>
      <c r="C668" s="41" t="str">
        <f>'4JSON'!C662</f>
        <v>Testers and graders, food, beverage and associated products processing</v>
      </c>
      <c r="D668" s="41">
        <f>ABS(D$5-(6-'4JSON'!D662))</f>
        <v>1</v>
      </c>
      <c r="E668" s="41">
        <f>ABS(E$5-(6-'4JSON'!E662))</f>
        <v>1</v>
      </c>
      <c r="F668" s="41">
        <f>ABS(F$5-(6-'4JSON'!F662))</f>
        <v>1</v>
      </c>
      <c r="G668" s="41">
        <f>ABS(G$5-(6-'4JSON'!G662))</f>
        <v>1</v>
      </c>
      <c r="H668" s="41">
        <f>ABS(H$5-(6-'4JSON'!H662))</f>
        <v>1</v>
      </c>
      <c r="I668" s="41">
        <f>ABS(I$5-(6-'4JSON'!I662))</f>
        <v>1</v>
      </c>
      <c r="J668" s="41">
        <f>ABS(J$5-(6-'4JSON'!J662))</f>
        <v>1</v>
      </c>
      <c r="K668" s="41">
        <f>ABS(K$5-(6-'4JSON'!K662))</f>
        <v>1</v>
      </c>
      <c r="L668" s="41">
        <f>ABS(L$5-(6-'4JSON'!L662))</f>
        <v>1</v>
      </c>
      <c r="M668" s="36">
        <f t="shared" si="1"/>
        <v>9</v>
      </c>
      <c r="N668" s="42">
        <f t="shared" si="2"/>
        <v>0.75</v>
      </c>
    </row>
    <row r="669">
      <c r="A669" s="35">
        <f>'4JSON'!A663</f>
        <v>3414</v>
      </c>
      <c r="B669" s="25" t="str">
        <f>'4JSON'!B663</f>
        <v>Therapy Assistants</v>
      </c>
      <c r="C669" s="41" t="str">
        <f>'4JSON'!C663</f>
        <v>Other assisting occupations in support of health services</v>
      </c>
      <c r="D669" s="41">
        <f>ABS(D$5-(6-'4JSON'!D663))</f>
        <v>1</v>
      </c>
      <c r="E669" s="41">
        <f>ABS(E$5-(6-'4JSON'!E663))</f>
        <v>0</v>
      </c>
      <c r="F669" s="41">
        <f>ABS(F$5-(6-'4JSON'!F663))</f>
        <v>1</v>
      </c>
      <c r="G669" s="41">
        <f>ABS(G$5-(6-'4JSON'!G663))</f>
        <v>1</v>
      </c>
      <c r="H669" s="41">
        <f>ABS(H$5-(6-'4JSON'!H663))</f>
        <v>2</v>
      </c>
      <c r="I669" s="41">
        <f>ABS(I$5-(6-'4JSON'!I663))</f>
        <v>0</v>
      </c>
      <c r="J669" s="41">
        <f>ABS(J$5-(6-'4JSON'!J663))</f>
        <v>1</v>
      </c>
      <c r="K669" s="41">
        <f>ABS(K$5-(6-'4JSON'!K663))</f>
        <v>1</v>
      </c>
      <c r="L669" s="41">
        <f>ABS(L$5-(6-'4JSON'!L663))</f>
        <v>0</v>
      </c>
      <c r="M669" s="36">
        <f t="shared" si="1"/>
        <v>7</v>
      </c>
      <c r="N669" s="42">
        <f t="shared" si="2"/>
        <v>0.8055555556</v>
      </c>
    </row>
    <row r="670">
      <c r="A670" s="35">
        <f>'4JSON'!A664</f>
        <v>2282</v>
      </c>
      <c r="B670" s="25" t="str">
        <f>'4JSON'!B664</f>
        <v>User Support Technicians</v>
      </c>
      <c r="C670" s="41" t="str">
        <f>'4JSON'!C664</f>
        <v>User support technicians</v>
      </c>
      <c r="D670" s="41">
        <f>ABS(D$5-(6-'4JSON'!D664))</f>
        <v>2</v>
      </c>
      <c r="E670" s="41">
        <f>ABS(E$5-(6-'4JSON'!E664))</f>
        <v>1</v>
      </c>
      <c r="F670" s="41">
        <f>ABS(F$5-(6-'4JSON'!F664))</f>
        <v>0</v>
      </c>
      <c r="G670" s="41">
        <f>ABS(G$5-(6-'4JSON'!G664))</f>
        <v>0</v>
      </c>
      <c r="H670" s="41">
        <f>ABS(H$5-(6-'4JSON'!H664))</f>
        <v>1</v>
      </c>
      <c r="I670" s="41">
        <f>ABS(I$5-(6-'4JSON'!I664))</f>
        <v>0</v>
      </c>
      <c r="J670" s="41">
        <f>ABS(J$5-(6-'4JSON'!J664))</f>
        <v>1</v>
      </c>
      <c r="K670" s="41">
        <f>ABS(K$5-(6-'4JSON'!K664))</f>
        <v>1</v>
      </c>
      <c r="L670" s="41">
        <f>ABS(L$5-(6-'4JSON'!L664))</f>
        <v>1</v>
      </c>
      <c r="M670" s="36">
        <f t="shared" si="1"/>
        <v>7</v>
      </c>
      <c r="N670" s="42">
        <f t="shared" si="2"/>
        <v>0.8055555556</v>
      </c>
    </row>
    <row r="671">
      <c r="A671" s="35">
        <f>'4JSON'!A665</f>
        <v>1314</v>
      </c>
      <c r="B671" s="25" t="str">
        <f>'4JSON'!B665</f>
        <v>Valuators</v>
      </c>
      <c r="C671" s="41" t="str">
        <f>'4JSON'!C665</f>
        <v>Assessors, valuators and appraisers</v>
      </c>
      <c r="D671" s="41">
        <f>ABS(D$5-(6-'4JSON'!D665))</f>
        <v>2</v>
      </c>
      <c r="E671" s="41">
        <f>ABS(E$5-(6-'4JSON'!E665))</f>
        <v>0</v>
      </c>
      <c r="F671" s="41">
        <f>ABS(F$5-(6-'4JSON'!F665))</f>
        <v>1</v>
      </c>
      <c r="G671" s="41">
        <f>ABS(G$5-(6-'4JSON'!G665))</f>
        <v>0</v>
      </c>
      <c r="H671" s="41">
        <f>ABS(H$5-(6-'4JSON'!H665))</f>
        <v>1</v>
      </c>
      <c r="I671" s="41">
        <f>ABS(I$5-(6-'4JSON'!I665))</f>
        <v>0</v>
      </c>
      <c r="J671" s="41">
        <f>ABS(J$5-(6-'4JSON'!J665))</f>
        <v>1</v>
      </c>
      <c r="K671" s="41">
        <f>ABS(K$5-(6-'4JSON'!K665))</f>
        <v>1</v>
      </c>
      <c r="L671" s="41">
        <f>ABS(L$5-(6-'4JSON'!L665))</f>
        <v>1</v>
      </c>
      <c r="M671" s="36">
        <f t="shared" si="1"/>
        <v>7</v>
      </c>
      <c r="N671" s="42">
        <f t="shared" si="2"/>
        <v>0.8055555556</v>
      </c>
    </row>
    <row r="672">
      <c r="A672" s="35">
        <f>'4JSON'!A666</f>
        <v>1241</v>
      </c>
      <c r="B672" s="25" t="str">
        <f>'4JSON'!B666</f>
        <v>Administrative Clerks</v>
      </c>
      <c r="C672" s="41" t="str">
        <f>'4JSON'!C666</f>
        <v>Administrative assistants</v>
      </c>
      <c r="D672" s="41">
        <f>ABS(D$5-(6-'4JSON'!D666))</f>
        <v>1</v>
      </c>
      <c r="E672" s="41">
        <f>ABS(E$5-(6-'4JSON'!E666))</f>
        <v>0</v>
      </c>
      <c r="F672" s="41">
        <f>ABS(F$5-(6-'4JSON'!F666))</f>
        <v>0</v>
      </c>
      <c r="G672" s="41">
        <f>ABS(G$5-(6-'4JSON'!G666))</f>
        <v>1</v>
      </c>
      <c r="H672" s="41">
        <f>ABS(H$5-(6-'4JSON'!H666))</f>
        <v>2</v>
      </c>
      <c r="I672" s="41">
        <f>ABS(I$5-(6-'4JSON'!I666))</f>
        <v>0</v>
      </c>
      <c r="J672" s="41">
        <f>ABS(J$5-(6-'4JSON'!J666))</f>
        <v>1</v>
      </c>
      <c r="K672" s="41">
        <f>ABS(K$5-(6-'4JSON'!K666))</f>
        <v>0</v>
      </c>
      <c r="L672" s="41">
        <f>ABS(L$5-(6-'4JSON'!L666))</f>
        <v>1</v>
      </c>
      <c r="M672" s="36">
        <f t="shared" si="1"/>
        <v>6</v>
      </c>
      <c r="N672" s="42">
        <f t="shared" si="2"/>
        <v>0.8333333333</v>
      </c>
    </row>
    <row r="673">
      <c r="A673" s="35">
        <f>'4JSON'!A667</f>
        <v>1123</v>
      </c>
      <c r="B673" s="25" t="str">
        <f>'4JSON'!B667</f>
        <v>Advertising and Promotion Consultants</v>
      </c>
      <c r="C673" s="41" t="str">
        <f>'4JSON'!C667</f>
        <v>Professional occupations in advertising, marketing and public relations</v>
      </c>
      <c r="D673" s="41">
        <f>ABS(D$5-(6-'4JSON'!D667))</f>
        <v>2</v>
      </c>
      <c r="E673" s="41">
        <f>ABS(E$5-(6-'4JSON'!E667))</f>
        <v>1</v>
      </c>
      <c r="F673" s="41">
        <f>ABS(F$5-(6-'4JSON'!F667))</f>
        <v>0</v>
      </c>
      <c r="G673" s="41">
        <f>ABS(G$5-(6-'4JSON'!G667))</f>
        <v>0</v>
      </c>
      <c r="H673" s="41">
        <f>ABS(H$5-(6-'4JSON'!H667))</f>
        <v>1</v>
      </c>
      <c r="I673" s="41">
        <f>ABS(I$5-(6-'4JSON'!I667))</f>
        <v>1</v>
      </c>
      <c r="J673" s="41">
        <f>ABS(J$5-(6-'4JSON'!J667))</f>
        <v>1</v>
      </c>
      <c r="K673" s="41">
        <f>ABS(K$5-(6-'4JSON'!K667))</f>
        <v>1</v>
      </c>
      <c r="L673" s="41">
        <f>ABS(L$5-(6-'4JSON'!L667))</f>
        <v>1</v>
      </c>
      <c r="M673" s="36">
        <f t="shared" si="1"/>
        <v>8</v>
      </c>
      <c r="N673" s="42">
        <f t="shared" si="2"/>
        <v>0.7777777778</v>
      </c>
    </row>
    <row r="674">
      <c r="A674" s="35">
        <f>'4JSON'!A668</f>
        <v>2123</v>
      </c>
      <c r="B674" s="25" t="str">
        <f>'4JSON'!B668</f>
        <v>Agricultural Representatives, Consultants and Specialists</v>
      </c>
      <c r="C674" s="41" t="str">
        <f>'4JSON'!C668</f>
        <v>Agricultural representatives, consultants and specialists</v>
      </c>
      <c r="D674" s="41">
        <f>ABS(D$5-(6-'4JSON'!D668))</f>
        <v>3</v>
      </c>
      <c r="E674" s="41">
        <f>ABS(E$5-(6-'4JSON'!E668))</f>
        <v>1</v>
      </c>
      <c r="F674" s="41">
        <f>ABS(F$5-(6-'4JSON'!F668))</f>
        <v>1</v>
      </c>
      <c r="G674" s="41">
        <f>ABS(G$5-(6-'4JSON'!G668))</f>
        <v>1</v>
      </c>
      <c r="H674" s="41">
        <f>ABS(H$5-(6-'4JSON'!H668))</f>
        <v>1</v>
      </c>
      <c r="I674" s="41">
        <f>ABS(I$5-(6-'4JSON'!I668))</f>
        <v>0</v>
      </c>
      <c r="J674" s="41">
        <f>ABS(J$5-(6-'4JSON'!J668))</f>
        <v>1</v>
      </c>
      <c r="K674" s="41">
        <f>ABS(K$5-(6-'4JSON'!K668))</f>
        <v>0</v>
      </c>
      <c r="L674" s="41">
        <f>ABS(L$5-(6-'4JSON'!L668))</f>
        <v>0</v>
      </c>
      <c r="M674" s="36">
        <f t="shared" si="1"/>
        <v>8</v>
      </c>
      <c r="N674" s="42">
        <f t="shared" si="2"/>
        <v>0.7777777778</v>
      </c>
    </row>
    <row r="675">
      <c r="A675" s="35">
        <f>'4JSON'!A669</f>
        <v>4423</v>
      </c>
      <c r="B675" s="25" t="str">
        <f>'4JSON'!B669</f>
        <v>Animal Control Officers</v>
      </c>
      <c r="C675" s="41" t="str">
        <f>'4JSON'!C669</f>
        <v>By-law enforcement and other regulatory officers, n.e.c.</v>
      </c>
      <c r="D675" s="41">
        <f>ABS(D$5-(6-'4JSON'!D669))</f>
        <v>0</v>
      </c>
      <c r="E675" s="41">
        <f>ABS(E$5-(6-'4JSON'!E669))</f>
        <v>1</v>
      </c>
      <c r="F675" s="41">
        <f>ABS(F$5-(6-'4JSON'!F669))</f>
        <v>1</v>
      </c>
      <c r="G675" s="41">
        <f>ABS(G$5-(6-'4JSON'!G669))</f>
        <v>1</v>
      </c>
      <c r="H675" s="41">
        <f>ABS(H$5-(6-'4JSON'!H669))</f>
        <v>2</v>
      </c>
      <c r="I675" s="41">
        <f>ABS(I$5-(6-'4JSON'!I669))</f>
        <v>1</v>
      </c>
      <c r="J675" s="41">
        <f>ABS(J$5-(6-'4JSON'!J669))</f>
        <v>1</v>
      </c>
      <c r="K675" s="41">
        <f>ABS(K$5-(6-'4JSON'!K669))</f>
        <v>1</v>
      </c>
      <c r="L675" s="41">
        <f>ABS(L$5-(6-'4JSON'!L669))</f>
        <v>0</v>
      </c>
      <c r="M675" s="36">
        <f t="shared" si="1"/>
        <v>8</v>
      </c>
      <c r="N675" s="42">
        <f t="shared" si="2"/>
        <v>0.7777777778</v>
      </c>
    </row>
    <row r="676">
      <c r="A676" s="35">
        <f>'4JSON'!A670</f>
        <v>8613</v>
      </c>
      <c r="B676" s="25" t="str">
        <f>'4JSON'!B670</f>
        <v>Aquaculture Support Workers</v>
      </c>
      <c r="C676" s="41" t="str">
        <f>'4JSON'!C670</f>
        <v>Aquaculture and marine harvest labourers</v>
      </c>
      <c r="D676" s="41">
        <f>ABS(D$5-(6-'4JSON'!D670))</f>
        <v>0</v>
      </c>
      <c r="E676" s="41">
        <f>ABS(E$5-(6-'4JSON'!E670))</f>
        <v>1</v>
      </c>
      <c r="F676" s="41">
        <f>ABS(F$5-(6-'4JSON'!F670))</f>
        <v>1</v>
      </c>
      <c r="G676" s="41">
        <f>ABS(G$5-(6-'4JSON'!G670))</f>
        <v>1</v>
      </c>
      <c r="H676" s="41">
        <f>ABS(H$5-(6-'4JSON'!H670))</f>
        <v>2</v>
      </c>
      <c r="I676" s="41">
        <f>ABS(I$5-(6-'4JSON'!I670))</f>
        <v>1</v>
      </c>
      <c r="J676" s="41">
        <f>ABS(J$5-(6-'4JSON'!J670))</f>
        <v>1</v>
      </c>
      <c r="K676" s="41">
        <f>ABS(K$5-(6-'4JSON'!K670))</f>
        <v>0</v>
      </c>
      <c r="L676" s="41">
        <f>ABS(L$5-(6-'4JSON'!L670))</f>
        <v>1</v>
      </c>
      <c r="M676" s="36">
        <f t="shared" si="1"/>
        <v>8</v>
      </c>
      <c r="N676" s="42">
        <f t="shared" si="2"/>
        <v>0.7777777778</v>
      </c>
    </row>
    <row r="677">
      <c r="A677" s="35">
        <f>'4JSON'!A671</f>
        <v>6564</v>
      </c>
      <c r="B677" s="25" t="str">
        <f>'4JSON'!B671</f>
        <v>Astrologers</v>
      </c>
      <c r="C677" s="41" t="str">
        <f>'4JSON'!C671</f>
        <v>Other personal service occupations</v>
      </c>
      <c r="D677" s="41">
        <f>ABS(D$5-(6-'4JSON'!D671))</f>
        <v>1</v>
      </c>
      <c r="E677" s="41">
        <f>ABS(E$5-(6-'4JSON'!E671))</f>
        <v>0</v>
      </c>
      <c r="F677" s="41">
        <f>ABS(F$5-(6-'4JSON'!F671))</f>
        <v>0</v>
      </c>
      <c r="G677" s="41">
        <f>ABS(G$5-(6-'4JSON'!G671))</f>
        <v>0</v>
      </c>
      <c r="H677" s="41">
        <f>ABS(H$5-(6-'4JSON'!H671))</f>
        <v>2</v>
      </c>
      <c r="I677" s="41">
        <f>ABS(I$5-(6-'4JSON'!I671))</f>
        <v>0</v>
      </c>
      <c r="J677" s="41">
        <f>ABS(J$5-(6-'4JSON'!J671))</f>
        <v>1</v>
      </c>
      <c r="K677" s="41">
        <f>ABS(K$5-(6-'4JSON'!K671))</f>
        <v>1</v>
      </c>
      <c r="L677" s="41">
        <f>ABS(L$5-(6-'4JSON'!L671))</f>
        <v>1</v>
      </c>
      <c r="M677" s="36">
        <f t="shared" si="1"/>
        <v>6</v>
      </c>
      <c r="N677" s="42">
        <f t="shared" si="2"/>
        <v>0.8333333333</v>
      </c>
    </row>
    <row r="678">
      <c r="A678" s="35">
        <f>'4JSON'!A672</f>
        <v>2111</v>
      </c>
      <c r="B678" s="25" t="str">
        <f>'4JSON'!B672</f>
        <v>Astronomers</v>
      </c>
      <c r="C678" s="41" t="str">
        <f>'4JSON'!C672</f>
        <v>Physicists and astronomers</v>
      </c>
      <c r="D678" s="41">
        <f>ABS(D$5-(6-'4JSON'!D672))</f>
        <v>3</v>
      </c>
      <c r="E678" s="41">
        <f>ABS(E$5-(6-'4JSON'!E672))</f>
        <v>2</v>
      </c>
      <c r="F678" s="41">
        <f>ABS(F$5-(6-'4JSON'!F672))</f>
        <v>2</v>
      </c>
      <c r="G678" s="41">
        <f>ABS(G$5-(6-'4JSON'!G672))</f>
        <v>2</v>
      </c>
      <c r="H678" s="41">
        <f>ABS(H$5-(6-'4JSON'!H672))</f>
        <v>1</v>
      </c>
      <c r="I678" s="41">
        <f>ABS(I$5-(6-'4JSON'!I672))</f>
        <v>0</v>
      </c>
      <c r="J678" s="41">
        <f>ABS(J$5-(6-'4JSON'!J672))</f>
        <v>0</v>
      </c>
      <c r="K678" s="41">
        <f>ABS(K$5-(6-'4JSON'!K672))</f>
        <v>0</v>
      </c>
      <c r="L678" s="41">
        <f>ABS(L$5-(6-'4JSON'!L672))</f>
        <v>0</v>
      </c>
      <c r="M678" s="36">
        <f t="shared" si="1"/>
        <v>10</v>
      </c>
      <c r="N678" s="42">
        <f t="shared" si="2"/>
        <v>0.7222222222</v>
      </c>
    </row>
    <row r="679">
      <c r="A679" s="35">
        <f>'4JSON'!A673</f>
        <v>6621</v>
      </c>
      <c r="B679" s="25" t="str">
        <f>'4JSON'!B673</f>
        <v>Automotive Service Station Attendants</v>
      </c>
      <c r="C679" s="41" t="str">
        <f>'4JSON'!C673</f>
        <v>Service station attendants</v>
      </c>
      <c r="D679" s="41">
        <f>ABS(D$5-(6-'4JSON'!D673))</f>
        <v>0</v>
      </c>
      <c r="E679" s="41">
        <f>ABS(E$5-(6-'4JSON'!E673))</f>
        <v>1</v>
      </c>
      <c r="F679" s="41">
        <f>ABS(F$5-(6-'4JSON'!F673))</f>
        <v>1</v>
      </c>
      <c r="G679" s="41">
        <f>ABS(G$5-(6-'4JSON'!G673))</f>
        <v>1</v>
      </c>
      <c r="H679" s="41">
        <f>ABS(H$5-(6-'4JSON'!H673))</f>
        <v>2</v>
      </c>
      <c r="I679" s="41">
        <f>ABS(I$5-(6-'4JSON'!I673))</f>
        <v>1</v>
      </c>
      <c r="J679" s="41">
        <f>ABS(J$5-(6-'4JSON'!J673))</f>
        <v>1</v>
      </c>
      <c r="K679" s="41">
        <f>ABS(K$5-(6-'4JSON'!K673))</f>
        <v>1</v>
      </c>
      <c r="L679" s="41">
        <f>ABS(L$5-(6-'4JSON'!L673))</f>
        <v>0</v>
      </c>
      <c r="M679" s="36">
        <f t="shared" si="1"/>
        <v>8</v>
      </c>
      <c r="N679" s="42">
        <f t="shared" si="2"/>
        <v>0.7777777778</v>
      </c>
    </row>
    <row r="680">
      <c r="A680" s="35">
        <f>'4JSON'!A674</f>
        <v>6512</v>
      </c>
      <c r="B680" s="25" t="str">
        <f>'4JSON'!B674</f>
        <v>Bartenders</v>
      </c>
      <c r="C680" s="41" t="str">
        <f>'4JSON'!C674</f>
        <v>Bartenders</v>
      </c>
      <c r="D680" s="41">
        <f>ABS(D$5-(6-'4JSON'!D674))</f>
        <v>0</v>
      </c>
      <c r="E680" s="41">
        <f>ABS(E$5-(6-'4JSON'!E674))</f>
        <v>1</v>
      </c>
      <c r="F680" s="41">
        <f>ABS(F$5-(6-'4JSON'!F674))</f>
        <v>0</v>
      </c>
      <c r="G680" s="41">
        <f>ABS(G$5-(6-'4JSON'!G674))</f>
        <v>1</v>
      </c>
      <c r="H680" s="41">
        <f>ABS(H$5-(6-'4JSON'!H674))</f>
        <v>2</v>
      </c>
      <c r="I680" s="41">
        <f>ABS(I$5-(6-'4JSON'!I674))</f>
        <v>1</v>
      </c>
      <c r="J680" s="41">
        <f>ABS(J$5-(6-'4JSON'!J674))</f>
        <v>0</v>
      </c>
      <c r="K680" s="41">
        <f>ABS(K$5-(6-'4JSON'!K674))</f>
        <v>1</v>
      </c>
      <c r="L680" s="41">
        <f>ABS(L$5-(6-'4JSON'!L674))</f>
        <v>0</v>
      </c>
      <c r="M680" s="36">
        <f t="shared" si="1"/>
        <v>6</v>
      </c>
      <c r="N680" s="42">
        <f t="shared" si="2"/>
        <v>0.8333333333</v>
      </c>
    </row>
    <row r="681">
      <c r="A681" s="35">
        <f>'4JSON'!A675</f>
        <v>6732</v>
      </c>
      <c r="B681" s="25" t="str">
        <f>'4JSON'!B675</f>
        <v>Carpet and Upholstery Cleaners</v>
      </c>
      <c r="C681" s="41" t="str">
        <f>'4JSON'!C675</f>
        <v>Specialized cleaners</v>
      </c>
      <c r="D681" s="41">
        <f>ABS(D$5-(6-'4JSON'!D675))</f>
        <v>0</v>
      </c>
      <c r="E681" s="41">
        <f>ABS(E$5-(6-'4JSON'!E675))</f>
        <v>1</v>
      </c>
      <c r="F681" s="41">
        <f>ABS(F$5-(6-'4JSON'!F675))</f>
        <v>1</v>
      </c>
      <c r="G681" s="41">
        <f>ABS(G$5-(6-'4JSON'!G675))</f>
        <v>1</v>
      </c>
      <c r="H681" s="41">
        <f>ABS(H$5-(6-'4JSON'!H675))</f>
        <v>2</v>
      </c>
      <c r="I681" s="41">
        <f>ABS(I$5-(6-'4JSON'!I675))</f>
        <v>1</v>
      </c>
      <c r="J681" s="41">
        <f>ABS(J$5-(6-'4JSON'!J675))</f>
        <v>1</v>
      </c>
      <c r="K681" s="41">
        <f>ABS(K$5-(6-'4JSON'!K675))</f>
        <v>1</v>
      </c>
      <c r="L681" s="41">
        <f>ABS(L$5-(6-'4JSON'!L675))</f>
        <v>0</v>
      </c>
      <c r="M681" s="36">
        <f t="shared" si="1"/>
        <v>8</v>
      </c>
      <c r="N681" s="42">
        <f t="shared" si="2"/>
        <v>0.7777777778</v>
      </c>
    </row>
    <row r="682">
      <c r="A682" s="35">
        <f>'4JSON'!A676</f>
        <v>8421</v>
      </c>
      <c r="B682" s="25" t="str">
        <f>'4JSON'!B676</f>
        <v>Chainsaw and Skidder Operators</v>
      </c>
      <c r="C682" s="41" t="str">
        <f>'4JSON'!C676</f>
        <v>Chain saw and skidder operators</v>
      </c>
      <c r="D682" s="41">
        <f>ABS(D$5-(6-'4JSON'!D676))</f>
        <v>0</v>
      </c>
      <c r="E682" s="41">
        <f>ABS(E$5-(6-'4JSON'!E676))</f>
        <v>1</v>
      </c>
      <c r="F682" s="41">
        <f>ABS(F$5-(6-'4JSON'!F676))</f>
        <v>2</v>
      </c>
      <c r="G682" s="41">
        <f>ABS(G$5-(6-'4JSON'!G676))</f>
        <v>0</v>
      </c>
      <c r="H682" s="41">
        <f>ABS(H$5-(6-'4JSON'!H676))</f>
        <v>2</v>
      </c>
      <c r="I682" s="41">
        <f>ABS(I$5-(6-'4JSON'!I676))</f>
        <v>2</v>
      </c>
      <c r="J682" s="41">
        <f>ABS(J$5-(6-'4JSON'!J676))</f>
        <v>0</v>
      </c>
      <c r="K682" s="41">
        <f>ABS(K$5-(6-'4JSON'!K676))</f>
        <v>1</v>
      </c>
      <c r="L682" s="41">
        <f>ABS(L$5-(6-'4JSON'!L676))</f>
        <v>0</v>
      </c>
      <c r="M682" s="36">
        <f t="shared" si="1"/>
        <v>8</v>
      </c>
      <c r="N682" s="42">
        <f t="shared" si="2"/>
        <v>0.7777777778</v>
      </c>
    </row>
    <row r="683">
      <c r="A683" s="35">
        <f>'4JSON'!A677</f>
        <v>1226</v>
      </c>
      <c r="B683" s="25" t="str">
        <f>'4JSON'!B677</f>
        <v>Conference and Event Planners</v>
      </c>
      <c r="C683" s="41" t="str">
        <f>'4JSON'!C677</f>
        <v>Conference and event planners</v>
      </c>
      <c r="D683" s="41">
        <f>ABS(D$5-(6-'4JSON'!D677))</f>
        <v>2</v>
      </c>
      <c r="E683" s="41">
        <f>ABS(E$5-(6-'4JSON'!E677))</f>
        <v>1</v>
      </c>
      <c r="F683" s="41">
        <f>ABS(F$5-(6-'4JSON'!F677))</f>
        <v>0</v>
      </c>
      <c r="G683" s="41">
        <f>ABS(G$5-(6-'4JSON'!G677))</f>
        <v>0</v>
      </c>
      <c r="H683" s="41">
        <f>ABS(H$5-(6-'4JSON'!H677))</f>
        <v>2</v>
      </c>
      <c r="I683" s="41">
        <f>ABS(I$5-(6-'4JSON'!I677))</f>
        <v>0</v>
      </c>
      <c r="J683" s="41">
        <f>ABS(J$5-(6-'4JSON'!J677))</f>
        <v>1</v>
      </c>
      <c r="K683" s="41">
        <f>ABS(K$5-(6-'4JSON'!K677))</f>
        <v>1</v>
      </c>
      <c r="L683" s="41">
        <f>ABS(L$5-(6-'4JSON'!L677))</f>
        <v>1</v>
      </c>
      <c r="M683" s="36">
        <f t="shared" si="1"/>
        <v>8</v>
      </c>
      <c r="N683" s="42">
        <f t="shared" si="2"/>
        <v>0.7777777778</v>
      </c>
    </row>
    <row r="684">
      <c r="A684" s="35">
        <f>'4JSON'!A678</f>
        <v>2234</v>
      </c>
      <c r="B684" s="25" t="str">
        <f>'4JSON'!B678</f>
        <v>Construction Estimators</v>
      </c>
      <c r="C684" s="41" t="str">
        <f>'4JSON'!C678</f>
        <v>Construction estimators</v>
      </c>
      <c r="D684" s="41">
        <f>ABS(D$5-(6-'4JSON'!D678))</f>
        <v>2</v>
      </c>
      <c r="E684" s="41">
        <f>ABS(E$5-(6-'4JSON'!E678))</f>
        <v>1</v>
      </c>
      <c r="F684" s="41">
        <f>ABS(F$5-(6-'4JSON'!F678))</f>
        <v>1</v>
      </c>
      <c r="G684" s="41">
        <f>ABS(G$5-(6-'4JSON'!G678))</f>
        <v>0</v>
      </c>
      <c r="H684" s="41">
        <f>ABS(H$5-(6-'4JSON'!H678))</f>
        <v>1</v>
      </c>
      <c r="I684" s="41">
        <f>ABS(I$5-(6-'4JSON'!I678))</f>
        <v>0</v>
      </c>
      <c r="J684" s="41">
        <f>ABS(J$5-(6-'4JSON'!J678))</f>
        <v>1</v>
      </c>
      <c r="K684" s="41">
        <f>ABS(K$5-(6-'4JSON'!K678))</f>
        <v>1</v>
      </c>
      <c r="L684" s="41">
        <f>ABS(L$5-(6-'4JSON'!L678))</f>
        <v>1</v>
      </c>
      <c r="M684" s="36">
        <f t="shared" si="1"/>
        <v>8</v>
      </c>
      <c r="N684" s="42">
        <f t="shared" si="2"/>
        <v>0.7777777778</v>
      </c>
    </row>
    <row r="685">
      <c r="A685" s="35">
        <f>'4JSON'!A679</f>
        <v>711</v>
      </c>
      <c r="B685" s="25" t="str">
        <f>'4JSON'!B679</f>
        <v>Construction Managers</v>
      </c>
      <c r="C685" s="41" t="str">
        <f>'4JSON'!C679</f>
        <v>Construction managers</v>
      </c>
      <c r="D685" s="41">
        <f>ABS(D$5-(6-'4JSON'!D679))</f>
        <v>2</v>
      </c>
      <c r="E685" s="41">
        <f>ABS(E$5-(6-'4JSON'!E679))</f>
        <v>1</v>
      </c>
      <c r="F685" s="41">
        <f>ABS(F$5-(6-'4JSON'!F679))</f>
        <v>1</v>
      </c>
      <c r="G685" s="41">
        <f>ABS(G$5-(6-'4JSON'!G679))</f>
        <v>0</v>
      </c>
      <c r="H685" s="41">
        <f>ABS(H$5-(6-'4JSON'!H679))</f>
        <v>1</v>
      </c>
      <c r="I685" s="41">
        <f>ABS(I$5-(6-'4JSON'!I679))</f>
        <v>0</v>
      </c>
      <c r="J685" s="41">
        <f>ABS(J$5-(6-'4JSON'!J679))</f>
        <v>1</v>
      </c>
      <c r="K685" s="41">
        <f>ABS(K$5-(6-'4JSON'!K679))</f>
        <v>1</v>
      </c>
      <c r="L685" s="41">
        <f>ABS(L$5-(6-'4JSON'!L679))</f>
        <v>1</v>
      </c>
      <c r="M685" s="36">
        <f t="shared" si="1"/>
        <v>8</v>
      </c>
      <c r="N685" s="42">
        <f t="shared" si="2"/>
        <v>0.7777777778</v>
      </c>
    </row>
    <row r="686">
      <c r="A686" s="35">
        <f>'4JSON'!A680</f>
        <v>5226</v>
      </c>
      <c r="B686" s="25" t="str">
        <f>'4JSON'!B680</f>
        <v>Costumiers</v>
      </c>
      <c r="C686" s="41" t="str">
        <f>'4JSON'!C680</f>
        <v>Other technical and co-ordinating occupations in motion pictures, broadcasting and the performing arts</v>
      </c>
      <c r="D686" s="41">
        <f>ABS(D$5-(6-'4JSON'!D680))</f>
        <v>1</v>
      </c>
      <c r="E686" s="41">
        <f>ABS(E$5-(6-'4JSON'!E680))</f>
        <v>0</v>
      </c>
      <c r="F686" s="41">
        <f>ABS(F$5-(6-'4JSON'!F680))</f>
        <v>1</v>
      </c>
      <c r="G686" s="41">
        <f>ABS(G$5-(6-'4JSON'!G680))</f>
        <v>1</v>
      </c>
      <c r="H686" s="41">
        <f>ABS(H$5-(6-'4JSON'!H680))</f>
        <v>2</v>
      </c>
      <c r="I686" s="41">
        <f>ABS(I$5-(6-'4JSON'!I680))</f>
        <v>0</v>
      </c>
      <c r="J686" s="41">
        <f>ABS(J$5-(6-'4JSON'!J680))</f>
        <v>1</v>
      </c>
      <c r="K686" s="41">
        <f>ABS(K$5-(6-'4JSON'!K680))</f>
        <v>1</v>
      </c>
      <c r="L686" s="41">
        <f>ABS(L$5-(6-'4JSON'!L680))</f>
        <v>1</v>
      </c>
      <c r="M686" s="36">
        <f t="shared" si="1"/>
        <v>8</v>
      </c>
      <c r="N686" s="42">
        <f t="shared" si="2"/>
        <v>0.7777777778</v>
      </c>
    </row>
    <row r="687">
      <c r="A687" s="35">
        <f>'4JSON'!A681</f>
        <v>1513</v>
      </c>
      <c r="B687" s="25" t="str">
        <f>'4JSON'!B681</f>
        <v>Couriers, Messengers and Door-to-Door Distributors</v>
      </c>
      <c r="C687" s="41" t="str">
        <f>'4JSON'!C681</f>
        <v>Couriers, messengers and door-to-door distributors</v>
      </c>
      <c r="D687" s="41">
        <f>ABS(D$5-(6-'4JSON'!D681))</f>
        <v>0</v>
      </c>
      <c r="E687" s="41">
        <f>ABS(E$5-(6-'4JSON'!E681))</f>
        <v>1</v>
      </c>
      <c r="F687" s="41">
        <f>ABS(F$5-(6-'4JSON'!F681))</f>
        <v>1</v>
      </c>
      <c r="G687" s="41">
        <f>ABS(G$5-(6-'4JSON'!G681))</f>
        <v>1</v>
      </c>
      <c r="H687" s="41">
        <f>ABS(H$5-(6-'4JSON'!H681))</f>
        <v>2</v>
      </c>
      <c r="I687" s="41">
        <f>ABS(I$5-(6-'4JSON'!I681))</f>
        <v>0</v>
      </c>
      <c r="J687" s="41">
        <f>ABS(J$5-(6-'4JSON'!J681))</f>
        <v>1</v>
      </c>
      <c r="K687" s="41">
        <f>ABS(K$5-(6-'4JSON'!K681))</f>
        <v>1</v>
      </c>
      <c r="L687" s="41">
        <f>ABS(L$5-(6-'4JSON'!L681))</f>
        <v>1</v>
      </c>
      <c r="M687" s="36">
        <f t="shared" si="1"/>
        <v>8</v>
      </c>
      <c r="N687" s="42">
        <f t="shared" si="2"/>
        <v>0.7777777778</v>
      </c>
    </row>
    <row r="688">
      <c r="A688" s="35">
        <f>'4JSON'!A682</f>
        <v>2172</v>
      </c>
      <c r="B688" s="25" t="str">
        <f>'4JSON'!B682</f>
        <v>Data Administrators</v>
      </c>
      <c r="C688" s="41" t="str">
        <f>'4JSON'!C682</f>
        <v>Database analysts and data administrators</v>
      </c>
      <c r="D688" s="41">
        <f>ABS(D$5-(6-'4JSON'!D682))</f>
        <v>2</v>
      </c>
      <c r="E688" s="41">
        <f>ABS(E$5-(6-'4JSON'!E682))</f>
        <v>1</v>
      </c>
      <c r="F688" s="41">
        <f>ABS(F$5-(6-'4JSON'!F682))</f>
        <v>1</v>
      </c>
      <c r="G688" s="41">
        <f>ABS(G$5-(6-'4JSON'!G682))</f>
        <v>1</v>
      </c>
      <c r="H688" s="41">
        <f>ABS(H$5-(6-'4JSON'!H682))</f>
        <v>1</v>
      </c>
      <c r="I688" s="41">
        <f>ABS(I$5-(6-'4JSON'!I682))</f>
        <v>1</v>
      </c>
      <c r="J688" s="41">
        <f>ABS(J$5-(6-'4JSON'!J682))</f>
        <v>1</v>
      </c>
      <c r="K688" s="41">
        <f>ABS(K$5-(6-'4JSON'!K682))</f>
        <v>1</v>
      </c>
      <c r="L688" s="41">
        <f>ABS(L$5-(6-'4JSON'!L682))</f>
        <v>1</v>
      </c>
      <c r="M688" s="36">
        <f t="shared" si="1"/>
        <v>10</v>
      </c>
      <c r="N688" s="42">
        <f t="shared" si="2"/>
        <v>0.7222222222</v>
      </c>
    </row>
    <row r="689">
      <c r="A689" s="35">
        <f>'4JSON'!A683</f>
        <v>6741</v>
      </c>
      <c r="B689" s="25" t="str">
        <f>'4JSON'!B683</f>
        <v>Dry Cleaning and Laundry Supervisors</v>
      </c>
      <c r="C689" s="41" t="str">
        <f>'4JSON'!C683</f>
        <v>Dry cleaning, laundry and related occupations</v>
      </c>
      <c r="D689" s="41">
        <f>ABS(D$5-(6-'4JSON'!D683))</f>
        <v>1</v>
      </c>
      <c r="E689" s="41">
        <f>ABS(E$5-(6-'4JSON'!E683))</f>
        <v>0</v>
      </c>
      <c r="F689" s="41">
        <f>ABS(F$5-(6-'4JSON'!F683))</f>
        <v>1</v>
      </c>
      <c r="G689" s="41">
        <f>ABS(G$5-(6-'4JSON'!G683))</f>
        <v>1</v>
      </c>
      <c r="H689" s="41">
        <f>ABS(H$5-(6-'4JSON'!H683))</f>
        <v>2</v>
      </c>
      <c r="I689" s="41">
        <f>ABS(I$5-(6-'4JSON'!I683))</f>
        <v>0</v>
      </c>
      <c r="J689" s="41">
        <f>ABS(J$5-(6-'4JSON'!J683))</f>
        <v>1</v>
      </c>
      <c r="K689" s="41">
        <f>ABS(K$5-(6-'4JSON'!K683))</f>
        <v>1</v>
      </c>
      <c r="L689" s="41">
        <f>ABS(L$5-(6-'4JSON'!L683))</f>
        <v>1</v>
      </c>
      <c r="M689" s="36">
        <f t="shared" si="1"/>
        <v>8</v>
      </c>
      <c r="N689" s="42">
        <f t="shared" si="2"/>
        <v>0.7777777778</v>
      </c>
    </row>
    <row r="690">
      <c r="A690" s="35">
        <f>'4JSON'!A684</f>
        <v>912</v>
      </c>
      <c r="B690" s="25" t="str">
        <f>'4JSON'!B684</f>
        <v>Electrical Power Distribution Managers</v>
      </c>
      <c r="C690" s="41" t="str">
        <f>'4JSON'!C684</f>
        <v>Utilities managers</v>
      </c>
      <c r="D690" s="41">
        <f>ABS(D$5-(6-'4JSON'!D684))</f>
        <v>2</v>
      </c>
      <c r="E690" s="41">
        <f>ABS(E$5-(6-'4JSON'!E684))</f>
        <v>1</v>
      </c>
      <c r="F690" s="41">
        <f>ABS(F$5-(6-'4JSON'!F684))</f>
        <v>1</v>
      </c>
      <c r="G690" s="41">
        <f>ABS(G$5-(6-'4JSON'!G684))</f>
        <v>0</v>
      </c>
      <c r="H690" s="41">
        <f>ABS(H$5-(6-'4JSON'!H684))</f>
        <v>1</v>
      </c>
      <c r="I690" s="41">
        <f>ABS(I$5-(6-'4JSON'!I684))</f>
        <v>0</v>
      </c>
      <c r="J690" s="41">
        <f>ABS(J$5-(6-'4JSON'!J684))</f>
        <v>1</v>
      </c>
      <c r="K690" s="41">
        <f>ABS(K$5-(6-'4JSON'!K684))</f>
        <v>1</v>
      </c>
      <c r="L690" s="41">
        <f>ABS(L$5-(6-'4JSON'!L684))</f>
        <v>1</v>
      </c>
      <c r="M690" s="36">
        <f t="shared" si="1"/>
        <v>8</v>
      </c>
      <c r="N690" s="42">
        <f t="shared" si="2"/>
        <v>0.7777777778</v>
      </c>
    </row>
    <row r="691">
      <c r="A691" s="35">
        <f>'4JSON'!A685</f>
        <v>2262</v>
      </c>
      <c r="B691" s="25" t="str">
        <f>'4JSON'!B685</f>
        <v>Engine Room Crew, Water Transport</v>
      </c>
      <c r="C691" s="41" t="str">
        <f>'4JSON'!C685</f>
        <v>Engineering inspectors and regulatory officers</v>
      </c>
      <c r="D691" s="41">
        <f>ABS(D$5-(6-'4JSON'!D685))</f>
        <v>1</v>
      </c>
      <c r="E691" s="41">
        <f>ABS(E$5-(6-'4JSON'!E685))</f>
        <v>0</v>
      </c>
      <c r="F691" s="41">
        <f>ABS(F$5-(6-'4JSON'!F685))</f>
        <v>0</v>
      </c>
      <c r="G691" s="41">
        <f>ABS(G$5-(6-'4JSON'!G685))</f>
        <v>1</v>
      </c>
      <c r="H691" s="41">
        <f>ABS(H$5-(6-'4JSON'!H685))</f>
        <v>2</v>
      </c>
      <c r="I691" s="41">
        <f>ABS(I$5-(6-'4JSON'!I685))</f>
        <v>1</v>
      </c>
      <c r="J691" s="41">
        <f>ABS(J$5-(6-'4JSON'!J685))</f>
        <v>0</v>
      </c>
      <c r="K691" s="41">
        <f>ABS(K$5-(6-'4JSON'!K685))</f>
        <v>1</v>
      </c>
      <c r="L691" s="41">
        <f>ABS(L$5-(6-'4JSON'!L685))</f>
        <v>0</v>
      </c>
      <c r="M691" s="36">
        <f t="shared" si="1"/>
        <v>6</v>
      </c>
      <c r="N691" s="42">
        <f t="shared" si="2"/>
        <v>0.8333333333</v>
      </c>
    </row>
    <row r="692">
      <c r="A692" s="35">
        <f>'4JSON'!A686</f>
        <v>4161</v>
      </c>
      <c r="B692" s="25" t="str">
        <f>'4JSON'!B686</f>
        <v>Ergonomists</v>
      </c>
      <c r="C692" s="41" t="str">
        <f>'4JSON'!C686</f>
        <v>Natural and applied science policy researchers, consultants and program officers</v>
      </c>
      <c r="D692" s="41">
        <f>ABS(D$5-(6-'4JSON'!D686))</f>
        <v>2</v>
      </c>
      <c r="E692" s="41">
        <f>ABS(E$5-(6-'4JSON'!E686))</f>
        <v>1</v>
      </c>
      <c r="F692" s="41">
        <f>ABS(F$5-(6-'4JSON'!F686))</f>
        <v>1</v>
      </c>
      <c r="G692" s="41">
        <f>ABS(G$5-(6-'4JSON'!G686))</f>
        <v>0</v>
      </c>
      <c r="H692" s="41">
        <f>ABS(H$5-(6-'4JSON'!H686))</f>
        <v>1</v>
      </c>
      <c r="I692" s="41">
        <f>ABS(I$5-(6-'4JSON'!I686))</f>
        <v>0</v>
      </c>
      <c r="J692" s="41">
        <f>ABS(J$5-(6-'4JSON'!J686))</f>
        <v>1</v>
      </c>
      <c r="K692" s="41">
        <f>ABS(K$5-(6-'4JSON'!K686))</f>
        <v>1</v>
      </c>
      <c r="L692" s="41">
        <f>ABS(L$5-(6-'4JSON'!L686))</f>
        <v>1</v>
      </c>
      <c r="M692" s="36">
        <f t="shared" si="1"/>
        <v>8</v>
      </c>
      <c r="N692" s="42">
        <f t="shared" si="2"/>
        <v>0.7777777778</v>
      </c>
    </row>
    <row r="693">
      <c r="A693" s="35">
        <f>'4JSON'!A687</f>
        <v>3144</v>
      </c>
      <c r="B693" s="25" t="str">
        <f>'4JSON'!B687</f>
        <v>Exercise Therapists</v>
      </c>
      <c r="C693" s="41" t="str">
        <f>'4JSON'!C687</f>
        <v>Other professional occupations in therapy and assessment</v>
      </c>
      <c r="D693" s="41">
        <f>ABS(D$5-(6-'4JSON'!D687))</f>
        <v>1</v>
      </c>
      <c r="E693" s="41">
        <f>ABS(E$5-(6-'4JSON'!E687))</f>
        <v>1</v>
      </c>
      <c r="F693" s="41">
        <f>ABS(F$5-(6-'4JSON'!F687))</f>
        <v>0</v>
      </c>
      <c r="G693" s="41">
        <f>ABS(G$5-(6-'4JSON'!G687))</f>
        <v>0</v>
      </c>
      <c r="H693" s="41">
        <f>ABS(H$5-(6-'4JSON'!H687))</f>
        <v>1</v>
      </c>
      <c r="I693" s="41">
        <f>ABS(I$5-(6-'4JSON'!I687))</f>
        <v>1</v>
      </c>
      <c r="J693" s="41">
        <f>ABS(J$5-(6-'4JSON'!J687))</f>
        <v>0</v>
      </c>
      <c r="K693" s="41">
        <f>ABS(K$5-(6-'4JSON'!K687))</f>
        <v>1</v>
      </c>
      <c r="L693" s="41">
        <f>ABS(L$5-(6-'4JSON'!L687))</f>
        <v>1</v>
      </c>
      <c r="M693" s="36">
        <f t="shared" si="1"/>
        <v>6</v>
      </c>
      <c r="N693" s="42">
        <f t="shared" si="2"/>
        <v>0.8333333333</v>
      </c>
    </row>
    <row r="694">
      <c r="A694" s="35">
        <f>'4JSON'!A688</f>
        <v>9472</v>
      </c>
      <c r="B694" s="25" t="str">
        <f>'4JSON'!B688</f>
        <v>Film Strippers/Assemblers</v>
      </c>
      <c r="C694" s="41" t="str">
        <f>'4JSON'!C688</f>
        <v>Camera, platemaking and other prepress occupations</v>
      </c>
      <c r="D694" s="41">
        <f>ABS(D$5-(6-'4JSON'!D688))</f>
        <v>1</v>
      </c>
      <c r="E694" s="41">
        <f>ABS(E$5-(6-'4JSON'!E688))</f>
        <v>0</v>
      </c>
      <c r="F694" s="41">
        <f>ABS(F$5-(6-'4JSON'!F688))</f>
        <v>0</v>
      </c>
      <c r="G694" s="41">
        <f>ABS(G$5-(6-'4JSON'!G688))</f>
        <v>0</v>
      </c>
      <c r="H694" s="41">
        <f>ABS(H$5-(6-'4JSON'!H688))</f>
        <v>0</v>
      </c>
      <c r="I694" s="41">
        <f>ABS(I$5-(6-'4JSON'!I688))</f>
        <v>1</v>
      </c>
      <c r="J694" s="41">
        <f>ABS(J$5-(6-'4JSON'!J688))</f>
        <v>0</v>
      </c>
      <c r="K694" s="41">
        <f>ABS(K$5-(6-'4JSON'!K688))</f>
        <v>1</v>
      </c>
      <c r="L694" s="41">
        <f>ABS(L$5-(6-'4JSON'!L688))</f>
        <v>1</v>
      </c>
      <c r="M694" s="36">
        <f t="shared" si="1"/>
        <v>4</v>
      </c>
      <c r="N694" s="42">
        <f t="shared" si="2"/>
        <v>0.8888888889</v>
      </c>
    </row>
    <row r="695">
      <c r="A695" s="35">
        <f>'4JSON'!A689</f>
        <v>432</v>
      </c>
      <c r="B695" s="25" t="str">
        <f>'4JSON'!B689</f>
        <v>Fire Chiefs and Senior Firefighting Officers</v>
      </c>
      <c r="C695" s="41" t="str">
        <f>'4JSON'!C689</f>
        <v>Fire chiefs and senior firefighting officers</v>
      </c>
      <c r="D695" s="41">
        <f>ABS(D$5-(6-'4JSON'!D689))</f>
        <v>2</v>
      </c>
      <c r="E695" s="41">
        <f>ABS(E$5-(6-'4JSON'!E689))</f>
        <v>1</v>
      </c>
      <c r="F695" s="41">
        <f>ABS(F$5-(6-'4JSON'!F689))</f>
        <v>0</v>
      </c>
      <c r="G695" s="41">
        <f>ABS(G$5-(6-'4JSON'!G689))</f>
        <v>0</v>
      </c>
      <c r="H695" s="41">
        <f>ABS(H$5-(6-'4JSON'!H689))</f>
        <v>1</v>
      </c>
      <c r="I695" s="41">
        <f>ABS(I$5-(6-'4JSON'!I689))</f>
        <v>1</v>
      </c>
      <c r="J695" s="41">
        <f>ABS(J$5-(6-'4JSON'!J689))</f>
        <v>1</v>
      </c>
      <c r="K695" s="41">
        <f>ABS(K$5-(6-'4JSON'!K689))</f>
        <v>1</v>
      </c>
      <c r="L695" s="41">
        <f>ABS(L$5-(6-'4JSON'!L689))</f>
        <v>1</v>
      </c>
      <c r="M695" s="36">
        <f t="shared" si="1"/>
        <v>8</v>
      </c>
      <c r="N695" s="42">
        <f t="shared" si="2"/>
        <v>0.7777777778</v>
      </c>
    </row>
    <row r="696">
      <c r="A696" s="35">
        <f>'4JSON'!A690</f>
        <v>2222</v>
      </c>
      <c r="B696" s="25" t="str">
        <f>'4JSON'!B690</f>
        <v>Fish and Fish Products Inspectors</v>
      </c>
      <c r="C696" s="41" t="str">
        <f>'4JSON'!C690</f>
        <v>Agricultural and fish products inspectors</v>
      </c>
      <c r="D696" s="41">
        <f>ABS(D$5-(6-'4JSON'!D690))</f>
        <v>2</v>
      </c>
      <c r="E696" s="41">
        <f>ABS(E$5-(6-'4JSON'!E690))</f>
        <v>0</v>
      </c>
      <c r="F696" s="41">
        <f>ABS(F$5-(6-'4JSON'!F690))</f>
        <v>0</v>
      </c>
      <c r="G696" s="41">
        <f>ABS(G$5-(6-'4JSON'!G690))</f>
        <v>1</v>
      </c>
      <c r="H696" s="41">
        <f>ABS(H$5-(6-'4JSON'!H690))</f>
        <v>0</v>
      </c>
      <c r="I696" s="41">
        <f>ABS(I$5-(6-'4JSON'!I690))</f>
        <v>1</v>
      </c>
      <c r="J696" s="41">
        <f>ABS(J$5-(6-'4JSON'!J690))</f>
        <v>1</v>
      </c>
      <c r="K696" s="41">
        <f>ABS(K$5-(6-'4JSON'!K690))</f>
        <v>1</v>
      </c>
      <c r="L696" s="41">
        <f>ABS(L$5-(6-'4JSON'!L690))</f>
        <v>0</v>
      </c>
      <c r="M696" s="36">
        <f t="shared" si="1"/>
        <v>6</v>
      </c>
      <c r="N696" s="42">
        <f t="shared" si="2"/>
        <v>0.8333333333</v>
      </c>
    </row>
    <row r="697">
      <c r="A697" s="35">
        <f>'4JSON'!A691</f>
        <v>5254</v>
      </c>
      <c r="B697" s="25" t="str">
        <f>'4JSON'!B691</f>
        <v>Fitness Appraisers</v>
      </c>
      <c r="C697" s="41" t="str">
        <f>'4JSON'!C691</f>
        <v>Program leaders and instructors in recreation, sport and fitness</v>
      </c>
      <c r="D697" s="41">
        <f>ABS(D$5-(6-'4JSON'!D691))</f>
        <v>1</v>
      </c>
      <c r="E697" s="41">
        <f>ABS(E$5-(6-'4JSON'!E691))</f>
        <v>1</v>
      </c>
      <c r="F697" s="41">
        <f>ABS(F$5-(6-'4JSON'!F691))</f>
        <v>0</v>
      </c>
      <c r="G697" s="41">
        <f>ABS(G$5-(6-'4JSON'!G691))</f>
        <v>0</v>
      </c>
      <c r="H697" s="41">
        <f>ABS(H$5-(6-'4JSON'!H691))</f>
        <v>1</v>
      </c>
      <c r="I697" s="41">
        <f>ABS(I$5-(6-'4JSON'!I691))</f>
        <v>1</v>
      </c>
      <c r="J697" s="41">
        <f>ABS(J$5-(6-'4JSON'!J691))</f>
        <v>0</v>
      </c>
      <c r="K697" s="41">
        <f>ABS(K$5-(6-'4JSON'!K691))</f>
        <v>1</v>
      </c>
      <c r="L697" s="41">
        <f>ABS(L$5-(6-'4JSON'!L691))</f>
        <v>1</v>
      </c>
      <c r="M697" s="36">
        <f t="shared" si="1"/>
        <v>6</v>
      </c>
      <c r="N697" s="42">
        <f t="shared" si="2"/>
        <v>0.8333333333</v>
      </c>
    </row>
    <row r="698">
      <c r="A698" s="35">
        <f>'4JSON'!A692</f>
        <v>4167</v>
      </c>
      <c r="B698" s="25" t="str">
        <f>'4JSON'!B692</f>
        <v>Fitness Consultants</v>
      </c>
      <c r="C698" s="41" t="str">
        <f>'4JSON'!C692</f>
        <v>Recreation, sports and fitness policy researchers, consultants and program officers</v>
      </c>
      <c r="D698" s="41">
        <f>ABS(D$5-(6-'4JSON'!D692))</f>
        <v>1</v>
      </c>
      <c r="E698" s="41">
        <f>ABS(E$5-(6-'4JSON'!E692))</f>
        <v>1</v>
      </c>
      <c r="F698" s="41">
        <f>ABS(F$5-(6-'4JSON'!F692))</f>
        <v>0</v>
      </c>
      <c r="G698" s="41">
        <f>ABS(G$5-(6-'4JSON'!G692))</f>
        <v>0</v>
      </c>
      <c r="H698" s="41">
        <f>ABS(H$5-(6-'4JSON'!H692))</f>
        <v>1</v>
      </c>
      <c r="I698" s="41">
        <f>ABS(I$5-(6-'4JSON'!I692))</f>
        <v>1</v>
      </c>
      <c r="J698" s="41">
        <f>ABS(J$5-(6-'4JSON'!J692))</f>
        <v>0</v>
      </c>
      <c r="K698" s="41">
        <f>ABS(K$5-(6-'4JSON'!K692))</f>
        <v>1</v>
      </c>
      <c r="L698" s="41">
        <f>ABS(L$5-(6-'4JSON'!L692))</f>
        <v>1</v>
      </c>
      <c r="M698" s="36">
        <f t="shared" si="1"/>
        <v>6</v>
      </c>
      <c r="N698" s="42">
        <f t="shared" si="2"/>
        <v>0.8333333333</v>
      </c>
    </row>
    <row r="699">
      <c r="A699" s="35">
        <f>'4JSON'!A693</f>
        <v>6522</v>
      </c>
      <c r="B699" s="25" t="str">
        <f>'4JSON'!B693</f>
        <v>Flight Attendants</v>
      </c>
      <c r="C699" s="41" t="str">
        <f>'4JSON'!C693</f>
        <v>Pursers and flight attendants</v>
      </c>
      <c r="D699" s="41">
        <f>ABS(D$5-(6-'4JSON'!D693))</f>
        <v>1</v>
      </c>
      <c r="E699" s="41">
        <f>ABS(E$5-(6-'4JSON'!E693))</f>
        <v>0</v>
      </c>
      <c r="F699" s="41">
        <f>ABS(F$5-(6-'4JSON'!F693))</f>
        <v>1</v>
      </c>
      <c r="G699" s="41">
        <f>ABS(G$5-(6-'4JSON'!G693))</f>
        <v>1</v>
      </c>
      <c r="H699" s="41">
        <f>ABS(H$5-(6-'4JSON'!H693))</f>
        <v>2</v>
      </c>
      <c r="I699" s="41">
        <f>ABS(I$5-(6-'4JSON'!I693))</f>
        <v>0</v>
      </c>
      <c r="J699" s="41">
        <f>ABS(J$5-(6-'4JSON'!J693))</f>
        <v>1</v>
      </c>
      <c r="K699" s="41">
        <f>ABS(K$5-(6-'4JSON'!K693))</f>
        <v>1</v>
      </c>
      <c r="L699" s="41">
        <f>ABS(L$5-(6-'4JSON'!L693))</f>
        <v>1</v>
      </c>
      <c r="M699" s="36">
        <f t="shared" si="1"/>
        <v>8</v>
      </c>
      <c r="N699" s="42">
        <f t="shared" si="2"/>
        <v>0.7777777778</v>
      </c>
    </row>
    <row r="700">
      <c r="A700" s="35">
        <f>'4JSON'!A694</f>
        <v>6522</v>
      </c>
      <c r="B700" s="25" t="str">
        <f>'4JSON'!B694</f>
        <v>Flight Pursers, Customer Service Directors and Passenger Service Directors</v>
      </c>
      <c r="C700" s="41" t="str">
        <f>'4JSON'!C694</f>
        <v>Pursers and flight attendants</v>
      </c>
      <c r="D700" s="41">
        <f>ABS(D$5-(6-'4JSON'!D694))</f>
        <v>1</v>
      </c>
      <c r="E700" s="41">
        <f>ABS(E$5-(6-'4JSON'!E694))</f>
        <v>0</v>
      </c>
      <c r="F700" s="41">
        <f>ABS(F$5-(6-'4JSON'!F694))</f>
        <v>1</v>
      </c>
      <c r="G700" s="41">
        <f>ABS(G$5-(6-'4JSON'!G694))</f>
        <v>1</v>
      </c>
      <c r="H700" s="41">
        <f>ABS(H$5-(6-'4JSON'!H694))</f>
        <v>2</v>
      </c>
      <c r="I700" s="41">
        <f>ABS(I$5-(6-'4JSON'!I694))</f>
        <v>0</v>
      </c>
      <c r="J700" s="41">
        <f>ABS(J$5-(6-'4JSON'!J694))</f>
        <v>1</v>
      </c>
      <c r="K700" s="41">
        <f>ABS(K$5-(6-'4JSON'!K694))</f>
        <v>1</v>
      </c>
      <c r="L700" s="41">
        <f>ABS(L$5-(6-'4JSON'!L694))</f>
        <v>1</v>
      </c>
      <c r="M700" s="36">
        <f t="shared" si="1"/>
        <v>8</v>
      </c>
      <c r="N700" s="42">
        <f t="shared" si="2"/>
        <v>0.7777777778</v>
      </c>
    </row>
    <row r="701">
      <c r="A701" s="35">
        <f>'4JSON'!A695</f>
        <v>2222</v>
      </c>
      <c r="B701" s="25" t="str">
        <f>'4JSON'!B695</f>
        <v>Fruit and Vegetables Inspectors</v>
      </c>
      <c r="C701" s="41" t="str">
        <f>'4JSON'!C695</f>
        <v>Agricultural and fish products inspectors</v>
      </c>
      <c r="D701" s="41">
        <f>ABS(D$5-(6-'4JSON'!D695))</f>
        <v>2</v>
      </c>
      <c r="E701" s="41">
        <f>ABS(E$5-(6-'4JSON'!E695))</f>
        <v>0</v>
      </c>
      <c r="F701" s="41">
        <f>ABS(F$5-(6-'4JSON'!F695))</f>
        <v>0</v>
      </c>
      <c r="G701" s="41">
        <f>ABS(G$5-(6-'4JSON'!G695))</f>
        <v>1</v>
      </c>
      <c r="H701" s="41">
        <f>ABS(H$5-(6-'4JSON'!H695))</f>
        <v>0</v>
      </c>
      <c r="I701" s="41">
        <f>ABS(I$5-(6-'4JSON'!I695))</f>
        <v>1</v>
      </c>
      <c r="J701" s="41">
        <f>ABS(J$5-(6-'4JSON'!J695))</f>
        <v>1</v>
      </c>
      <c r="K701" s="41">
        <f>ABS(K$5-(6-'4JSON'!K695))</f>
        <v>1</v>
      </c>
      <c r="L701" s="41">
        <f>ABS(L$5-(6-'4JSON'!L695))</f>
        <v>0</v>
      </c>
      <c r="M701" s="36">
        <f t="shared" si="1"/>
        <v>6</v>
      </c>
      <c r="N701" s="42">
        <f t="shared" si="2"/>
        <v>0.8333333333</v>
      </c>
    </row>
    <row r="702">
      <c r="A702" s="35">
        <f>'4JSON'!A696</f>
        <v>3112</v>
      </c>
      <c r="B702" s="25" t="str">
        <f>'4JSON'!B696</f>
        <v>General Practitioners and Family Physicians</v>
      </c>
      <c r="C702" s="41" t="str">
        <f>'4JSON'!C696</f>
        <v>General practitioners and family physicians</v>
      </c>
      <c r="D702" s="41">
        <f>ABS(D$5-(6-'4JSON'!D696))</f>
        <v>3</v>
      </c>
      <c r="E702" s="41">
        <f>ABS(E$5-(6-'4JSON'!E696))</f>
        <v>2</v>
      </c>
      <c r="F702" s="41">
        <f>ABS(F$5-(6-'4JSON'!F696))</f>
        <v>1</v>
      </c>
      <c r="G702" s="41">
        <f>ABS(G$5-(6-'4JSON'!G696))</f>
        <v>1</v>
      </c>
      <c r="H702" s="41">
        <f>ABS(H$5-(6-'4JSON'!H696))</f>
        <v>0</v>
      </c>
      <c r="I702" s="41">
        <f>ABS(I$5-(6-'4JSON'!I696))</f>
        <v>1</v>
      </c>
      <c r="J702" s="41">
        <f>ABS(J$5-(6-'4JSON'!J696))</f>
        <v>0</v>
      </c>
      <c r="K702" s="41">
        <f>ABS(K$5-(6-'4JSON'!K696))</f>
        <v>1</v>
      </c>
      <c r="L702" s="41">
        <f>ABS(L$5-(6-'4JSON'!L696))</f>
        <v>1</v>
      </c>
      <c r="M702" s="36">
        <f t="shared" si="1"/>
        <v>10</v>
      </c>
      <c r="N702" s="42">
        <f t="shared" si="2"/>
        <v>0.7222222222</v>
      </c>
    </row>
    <row r="703">
      <c r="A703" s="35">
        <f>'4JSON'!A697</f>
        <v>2222</v>
      </c>
      <c r="B703" s="25" t="str">
        <f>'4JSON'!B697</f>
        <v>Grain Inspectors</v>
      </c>
      <c r="C703" s="41" t="str">
        <f>'4JSON'!C697</f>
        <v>Agricultural and fish products inspectors</v>
      </c>
      <c r="D703" s="41">
        <f>ABS(D$5-(6-'4JSON'!D697))</f>
        <v>2</v>
      </c>
      <c r="E703" s="41">
        <f>ABS(E$5-(6-'4JSON'!E697))</f>
        <v>0</v>
      </c>
      <c r="F703" s="41">
        <f>ABS(F$5-(6-'4JSON'!F697))</f>
        <v>0</v>
      </c>
      <c r="G703" s="41">
        <f>ABS(G$5-(6-'4JSON'!G697))</f>
        <v>1</v>
      </c>
      <c r="H703" s="41">
        <f>ABS(H$5-(6-'4JSON'!H697))</f>
        <v>0</v>
      </c>
      <c r="I703" s="41">
        <f>ABS(I$5-(6-'4JSON'!I697))</f>
        <v>1</v>
      </c>
      <c r="J703" s="41">
        <f>ABS(J$5-(6-'4JSON'!J697))</f>
        <v>1</v>
      </c>
      <c r="K703" s="41">
        <f>ABS(K$5-(6-'4JSON'!K697))</f>
        <v>1</v>
      </c>
      <c r="L703" s="41">
        <f>ABS(L$5-(6-'4JSON'!L697))</f>
        <v>0</v>
      </c>
      <c r="M703" s="36">
        <f t="shared" si="1"/>
        <v>6</v>
      </c>
      <c r="N703" s="42">
        <f t="shared" si="2"/>
        <v>0.8333333333</v>
      </c>
    </row>
    <row r="704">
      <c r="A704" s="35">
        <f>'4JSON'!A698</f>
        <v>9472</v>
      </c>
      <c r="B704" s="25" t="str">
        <f>'4JSON'!B698</f>
        <v>Graphic Arts Camera Operators</v>
      </c>
      <c r="C704" s="41" t="str">
        <f>'4JSON'!C698</f>
        <v>Camera, platemaking and other prepress occupations</v>
      </c>
      <c r="D704" s="41">
        <f>ABS(D$5-(6-'4JSON'!D698))</f>
        <v>1</v>
      </c>
      <c r="E704" s="41">
        <f>ABS(E$5-(6-'4JSON'!E698))</f>
        <v>0</v>
      </c>
      <c r="F704" s="41">
        <f>ABS(F$5-(6-'4JSON'!F698))</f>
        <v>0</v>
      </c>
      <c r="G704" s="41">
        <f>ABS(G$5-(6-'4JSON'!G698))</f>
        <v>0</v>
      </c>
      <c r="H704" s="41">
        <f>ABS(H$5-(6-'4JSON'!H698))</f>
        <v>0</v>
      </c>
      <c r="I704" s="41">
        <f>ABS(I$5-(6-'4JSON'!I698))</f>
        <v>1</v>
      </c>
      <c r="J704" s="41">
        <f>ABS(J$5-(6-'4JSON'!J698))</f>
        <v>0</v>
      </c>
      <c r="K704" s="41">
        <f>ABS(K$5-(6-'4JSON'!K698))</f>
        <v>1</v>
      </c>
      <c r="L704" s="41">
        <f>ABS(L$5-(6-'4JSON'!L698))</f>
        <v>1</v>
      </c>
      <c r="M704" s="36">
        <f t="shared" si="1"/>
        <v>4</v>
      </c>
      <c r="N704" s="42">
        <f t="shared" si="2"/>
        <v>0.8888888889</v>
      </c>
    </row>
    <row r="705">
      <c r="A705" s="35">
        <f>'4JSON'!A699</f>
        <v>5227</v>
      </c>
      <c r="B705" s="25" t="str">
        <f>'4JSON'!B699</f>
        <v>Grips and Riggers</v>
      </c>
      <c r="C705" s="41" t="str">
        <f>'4JSON'!C699</f>
        <v>Support occupations in motion pictures, broadcasting, photography and the performing arts</v>
      </c>
      <c r="D705" s="41">
        <f>ABS(D$5-(6-'4JSON'!D699))</f>
        <v>0</v>
      </c>
      <c r="E705" s="41">
        <f>ABS(E$5-(6-'4JSON'!E699))</f>
        <v>1</v>
      </c>
      <c r="F705" s="41">
        <f>ABS(F$5-(6-'4JSON'!F699))</f>
        <v>2</v>
      </c>
      <c r="G705" s="41">
        <f>ABS(G$5-(6-'4JSON'!G699))</f>
        <v>0</v>
      </c>
      <c r="H705" s="41">
        <f>ABS(H$5-(6-'4JSON'!H699))</f>
        <v>2</v>
      </c>
      <c r="I705" s="41">
        <f>ABS(I$5-(6-'4JSON'!I699))</f>
        <v>2</v>
      </c>
      <c r="J705" s="41">
        <f>ABS(J$5-(6-'4JSON'!J699))</f>
        <v>0</v>
      </c>
      <c r="K705" s="41">
        <f>ABS(K$5-(6-'4JSON'!K699))</f>
        <v>1</v>
      </c>
      <c r="L705" s="41">
        <f>ABS(L$5-(6-'4JSON'!L699))</f>
        <v>0</v>
      </c>
      <c r="M705" s="36">
        <f t="shared" si="1"/>
        <v>8</v>
      </c>
      <c r="N705" s="42">
        <f t="shared" si="2"/>
        <v>0.7777777778</v>
      </c>
    </row>
    <row r="706">
      <c r="A706" s="35">
        <f>'4JSON'!A700</f>
        <v>5244</v>
      </c>
      <c r="B706" s="25" t="str">
        <f>'4JSON'!B700</f>
        <v>Glass Blowers</v>
      </c>
      <c r="C706" s="41" t="str">
        <f>'4JSON'!C700</f>
        <v>Artisans and craftspersons</v>
      </c>
      <c r="D706" s="41">
        <f>ABS(D$5-(6-'4JSON'!D700))</f>
        <v>1</v>
      </c>
      <c r="E706" s="41">
        <f>ABS(E$5-(6-'4JSON'!E700))</f>
        <v>1</v>
      </c>
      <c r="F706" s="41">
        <f>ABS(F$5-(6-'4JSON'!F700))</f>
        <v>1</v>
      </c>
      <c r="G706" s="41">
        <f>ABS(G$5-(6-'4JSON'!G700))</f>
        <v>1</v>
      </c>
      <c r="H706" s="41">
        <f>ABS(H$5-(6-'4JSON'!H700))</f>
        <v>0</v>
      </c>
      <c r="I706" s="41">
        <f>ABS(I$5-(6-'4JSON'!I700))</f>
        <v>1</v>
      </c>
      <c r="J706" s="41">
        <f>ABS(J$5-(6-'4JSON'!J700))</f>
        <v>1</v>
      </c>
      <c r="K706" s="41">
        <f>ABS(K$5-(6-'4JSON'!K700))</f>
        <v>0</v>
      </c>
      <c r="L706" s="41">
        <f>ABS(L$5-(6-'4JSON'!L700))</f>
        <v>1</v>
      </c>
      <c r="M706" s="36">
        <f t="shared" si="1"/>
        <v>7</v>
      </c>
      <c r="N706" s="42">
        <f t="shared" si="2"/>
        <v>0.8055555556</v>
      </c>
    </row>
    <row r="707">
      <c r="A707" s="35">
        <f>'4JSON'!A701</f>
        <v>8612</v>
      </c>
      <c r="B707" s="25" t="str">
        <f>'4JSON'!B701</f>
        <v>Landscaping and Grounds Maintenance Labourers</v>
      </c>
      <c r="C707" s="41" t="str">
        <f>'4JSON'!C701</f>
        <v>Landscaping and grounds maintenance labourers</v>
      </c>
      <c r="D707" s="41">
        <f>ABS(D$5-(6-'4JSON'!D701))</f>
        <v>0</v>
      </c>
      <c r="E707" s="41">
        <f>ABS(E$5-(6-'4JSON'!E701))</f>
        <v>1</v>
      </c>
      <c r="F707" s="41">
        <f>ABS(F$5-(6-'4JSON'!F701))</f>
        <v>2</v>
      </c>
      <c r="G707" s="41">
        <f>ABS(G$5-(6-'4JSON'!G701))</f>
        <v>1</v>
      </c>
      <c r="H707" s="41">
        <f>ABS(H$5-(6-'4JSON'!H701))</f>
        <v>2</v>
      </c>
      <c r="I707" s="41">
        <f>ABS(I$5-(6-'4JSON'!I701))</f>
        <v>2</v>
      </c>
      <c r="J707" s="41">
        <f>ABS(J$5-(6-'4JSON'!J701))</f>
        <v>0</v>
      </c>
      <c r="K707" s="41">
        <f>ABS(K$5-(6-'4JSON'!K701))</f>
        <v>1</v>
      </c>
      <c r="L707" s="41">
        <f>ABS(L$5-(6-'4JSON'!L701))</f>
        <v>0</v>
      </c>
      <c r="M707" s="36">
        <f t="shared" si="1"/>
        <v>9</v>
      </c>
      <c r="N707" s="42">
        <f t="shared" si="2"/>
        <v>0.75</v>
      </c>
    </row>
    <row r="708">
      <c r="A708" s="35">
        <f>'4JSON'!A702</f>
        <v>6742</v>
      </c>
      <c r="B708" s="25" t="str">
        <f>'4JSON'!B702</f>
        <v>Laundromat Attendants</v>
      </c>
      <c r="C708" s="41" t="str">
        <f>'4JSON'!C702</f>
        <v>Other service support occupations, n.e.c.</v>
      </c>
      <c r="D708" s="41">
        <f>ABS(D$5-(6-'4JSON'!D702))</f>
        <v>0</v>
      </c>
      <c r="E708" s="41">
        <f>ABS(E$5-(6-'4JSON'!E702))</f>
        <v>1</v>
      </c>
      <c r="F708" s="41">
        <f>ABS(F$5-(6-'4JSON'!F702))</f>
        <v>1</v>
      </c>
      <c r="G708" s="41">
        <f>ABS(G$5-(6-'4JSON'!G702))</f>
        <v>1</v>
      </c>
      <c r="H708" s="41">
        <f>ABS(H$5-(6-'4JSON'!H702))</f>
        <v>2</v>
      </c>
      <c r="I708" s="41">
        <f>ABS(I$5-(6-'4JSON'!I702))</f>
        <v>1</v>
      </c>
      <c r="J708" s="41">
        <f>ABS(J$5-(6-'4JSON'!J702))</f>
        <v>1</v>
      </c>
      <c r="K708" s="41">
        <f>ABS(K$5-(6-'4JSON'!K702))</f>
        <v>1</v>
      </c>
      <c r="L708" s="41">
        <f>ABS(L$5-(6-'4JSON'!L702))</f>
        <v>1</v>
      </c>
      <c r="M708" s="36">
        <f t="shared" si="1"/>
        <v>9</v>
      </c>
      <c r="N708" s="42">
        <f t="shared" si="2"/>
        <v>0.75</v>
      </c>
    </row>
    <row r="709">
      <c r="A709" s="35">
        <f>'4JSON'!A703</f>
        <v>4211</v>
      </c>
      <c r="B709" s="25" t="str">
        <f>'4JSON'!B703</f>
        <v>Legal Assistants and Paralegals</v>
      </c>
      <c r="C709" s="41" t="str">
        <f>'4JSON'!C703</f>
        <v>Paralegal and related occupations</v>
      </c>
      <c r="D709" s="41">
        <f>ABS(D$5-(6-'4JSON'!D703))</f>
        <v>1</v>
      </c>
      <c r="E709" s="41">
        <f>ABS(E$5-(6-'4JSON'!E703))</f>
        <v>0</v>
      </c>
      <c r="F709" s="41">
        <f>ABS(F$5-(6-'4JSON'!F703))</f>
        <v>0</v>
      </c>
      <c r="G709" s="41">
        <f>ABS(G$5-(6-'4JSON'!G703))</f>
        <v>1</v>
      </c>
      <c r="H709" s="41">
        <f>ABS(H$5-(6-'4JSON'!H703))</f>
        <v>2</v>
      </c>
      <c r="I709" s="41">
        <f>ABS(I$5-(6-'4JSON'!I703))</f>
        <v>0</v>
      </c>
      <c r="J709" s="41">
        <f>ABS(J$5-(6-'4JSON'!J703))</f>
        <v>1</v>
      </c>
      <c r="K709" s="41">
        <f>ABS(K$5-(6-'4JSON'!K703))</f>
        <v>1</v>
      </c>
      <c r="L709" s="41">
        <f>ABS(L$5-(6-'4JSON'!L703))</f>
        <v>1</v>
      </c>
      <c r="M709" s="36">
        <f t="shared" si="1"/>
        <v>7</v>
      </c>
      <c r="N709" s="42">
        <f t="shared" si="2"/>
        <v>0.8055555556</v>
      </c>
    </row>
    <row r="710">
      <c r="A710" s="35">
        <f>'4JSON'!A704</f>
        <v>11</v>
      </c>
      <c r="B710" s="25" t="str">
        <f>'4JSON'!B704</f>
        <v>Legislators</v>
      </c>
      <c r="C710" s="41" t="str">
        <f>'4JSON'!C704</f>
        <v>Legislators</v>
      </c>
      <c r="D710" s="41">
        <f>ABS(D$5-(6-'4JSON'!D704))</f>
        <v>2</v>
      </c>
      <c r="E710" s="41">
        <f>ABS(E$5-(6-'4JSON'!E704))</f>
        <v>1</v>
      </c>
      <c r="F710" s="41">
        <f>ABS(F$5-(6-'4JSON'!F704))</f>
        <v>0</v>
      </c>
      <c r="G710" s="41">
        <f>ABS(G$5-(6-'4JSON'!G704))</f>
        <v>1</v>
      </c>
      <c r="H710" s="41">
        <f>ABS(H$5-(6-'4JSON'!H704))</f>
        <v>2</v>
      </c>
      <c r="I710" s="41">
        <f>ABS(I$5-(6-'4JSON'!I704))</f>
        <v>0</v>
      </c>
      <c r="J710" s="41">
        <f>ABS(J$5-(6-'4JSON'!J704))</f>
        <v>1</v>
      </c>
      <c r="K710" s="41">
        <f>ABS(K$5-(6-'4JSON'!K704))</f>
        <v>1</v>
      </c>
      <c r="L710" s="41">
        <f>ABS(L$5-(6-'4JSON'!L704))</f>
        <v>1</v>
      </c>
      <c r="M710" s="36">
        <f t="shared" si="1"/>
        <v>9</v>
      </c>
      <c r="N710" s="42">
        <f t="shared" si="2"/>
        <v>0.75</v>
      </c>
    </row>
    <row r="711">
      <c r="A711" s="35">
        <f>'4JSON'!A705</f>
        <v>5111</v>
      </c>
      <c r="B711" s="25" t="str">
        <f>'4JSON'!B705</f>
        <v>Librarians</v>
      </c>
      <c r="C711" s="41" t="str">
        <f>'4JSON'!C705</f>
        <v>Librarians</v>
      </c>
      <c r="D711" s="41">
        <f>ABS(D$5-(6-'4JSON'!D705))</f>
        <v>2</v>
      </c>
      <c r="E711" s="41">
        <f>ABS(E$5-(6-'4JSON'!E705))</f>
        <v>1</v>
      </c>
      <c r="F711" s="41">
        <f>ABS(F$5-(6-'4JSON'!F705))</f>
        <v>0</v>
      </c>
      <c r="G711" s="41">
        <f>ABS(G$5-(6-'4JSON'!G705))</f>
        <v>1</v>
      </c>
      <c r="H711" s="41">
        <f>ABS(H$5-(6-'4JSON'!H705))</f>
        <v>2</v>
      </c>
      <c r="I711" s="41">
        <f>ABS(I$5-(6-'4JSON'!I705))</f>
        <v>0</v>
      </c>
      <c r="J711" s="41">
        <f>ABS(J$5-(6-'4JSON'!J705))</f>
        <v>1</v>
      </c>
      <c r="K711" s="41">
        <f>ABS(K$5-(6-'4JSON'!K705))</f>
        <v>1</v>
      </c>
      <c r="L711" s="41">
        <f>ABS(L$5-(6-'4JSON'!L705))</f>
        <v>1</v>
      </c>
      <c r="M711" s="36">
        <f t="shared" si="1"/>
        <v>9</v>
      </c>
      <c r="N711" s="42">
        <f t="shared" si="2"/>
        <v>0.75</v>
      </c>
    </row>
    <row r="712">
      <c r="A712" s="35">
        <f>'4JSON'!A706</f>
        <v>5211</v>
      </c>
      <c r="B712" s="25" t="str">
        <f>'4JSON'!B706</f>
        <v>Library Technicians and Assistants</v>
      </c>
      <c r="C712" s="41" t="str">
        <f>'4JSON'!C706</f>
        <v>Library and public archive technicians</v>
      </c>
      <c r="D712" s="41">
        <f>ABS(D$5-(6-'4JSON'!D706))</f>
        <v>1</v>
      </c>
      <c r="E712" s="41">
        <f>ABS(E$5-(6-'4JSON'!E706))</f>
        <v>0</v>
      </c>
      <c r="F712" s="41">
        <f>ABS(F$5-(6-'4JSON'!F706))</f>
        <v>1</v>
      </c>
      <c r="G712" s="41">
        <f>ABS(G$5-(6-'4JSON'!G706))</f>
        <v>1</v>
      </c>
      <c r="H712" s="41">
        <f>ABS(H$5-(6-'4JSON'!H706))</f>
        <v>2</v>
      </c>
      <c r="I712" s="41">
        <f>ABS(I$5-(6-'4JSON'!I706))</f>
        <v>1</v>
      </c>
      <c r="J712" s="41">
        <f>ABS(J$5-(6-'4JSON'!J706))</f>
        <v>1</v>
      </c>
      <c r="K712" s="41">
        <f>ABS(K$5-(6-'4JSON'!K706))</f>
        <v>1</v>
      </c>
      <c r="L712" s="41">
        <f>ABS(L$5-(6-'4JSON'!L706))</f>
        <v>1</v>
      </c>
      <c r="M712" s="36">
        <f t="shared" si="1"/>
        <v>9</v>
      </c>
      <c r="N712" s="42">
        <f t="shared" si="2"/>
        <v>0.75</v>
      </c>
    </row>
    <row r="713">
      <c r="A713" s="35">
        <f>'4JSON'!A707</f>
        <v>4423</v>
      </c>
      <c r="B713" s="25" t="str">
        <f>'4JSON'!B707</f>
        <v>Liquor Licence Inspectors</v>
      </c>
      <c r="C713" s="41" t="str">
        <f>'4JSON'!C707</f>
        <v>By-law enforcement and other regulatory officers, n.e.c.</v>
      </c>
      <c r="D713" s="41">
        <f>ABS(D$5-(6-'4JSON'!D707))</f>
        <v>1</v>
      </c>
      <c r="E713" s="41">
        <f>ABS(E$5-(6-'4JSON'!E707))</f>
        <v>0</v>
      </c>
      <c r="F713" s="41">
        <f>ABS(F$5-(6-'4JSON'!F707))</f>
        <v>1</v>
      </c>
      <c r="G713" s="41">
        <f>ABS(G$5-(6-'4JSON'!G707))</f>
        <v>1</v>
      </c>
      <c r="H713" s="41">
        <f>ABS(H$5-(6-'4JSON'!H707))</f>
        <v>2</v>
      </c>
      <c r="I713" s="41">
        <f>ABS(I$5-(6-'4JSON'!I707))</f>
        <v>1</v>
      </c>
      <c r="J713" s="41">
        <f>ABS(J$5-(6-'4JSON'!J707))</f>
        <v>1</v>
      </c>
      <c r="K713" s="41">
        <f>ABS(K$5-(6-'4JSON'!K707))</f>
        <v>1</v>
      </c>
      <c r="L713" s="41">
        <f>ABS(L$5-(6-'4JSON'!L707))</f>
        <v>1</v>
      </c>
      <c r="M713" s="36">
        <f t="shared" si="1"/>
        <v>9</v>
      </c>
      <c r="N713" s="42">
        <f t="shared" si="2"/>
        <v>0.75</v>
      </c>
    </row>
    <row r="714">
      <c r="A714" s="35">
        <f>'4JSON'!A708</f>
        <v>6511</v>
      </c>
      <c r="B714" s="25" t="str">
        <f>'4JSON'!B708</f>
        <v>Maîtres d'hôtel and Hosts/Hostesses</v>
      </c>
      <c r="C714" s="41" t="str">
        <f>'4JSON'!C708</f>
        <v>Maîtres d'hôtel and hosts/hostesses</v>
      </c>
      <c r="D714" s="41">
        <f>ABS(D$5-(6-'4JSON'!D708))</f>
        <v>1</v>
      </c>
      <c r="E714" s="41">
        <f>ABS(E$5-(6-'4JSON'!E708))</f>
        <v>0</v>
      </c>
      <c r="F714" s="41">
        <f>ABS(F$5-(6-'4JSON'!F708))</f>
        <v>1</v>
      </c>
      <c r="G714" s="41">
        <f>ABS(G$5-(6-'4JSON'!G708))</f>
        <v>1</v>
      </c>
      <c r="H714" s="41">
        <f>ABS(H$5-(6-'4JSON'!H708))</f>
        <v>2</v>
      </c>
      <c r="I714" s="41">
        <f>ABS(I$5-(6-'4JSON'!I708))</f>
        <v>1</v>
      </c>
      <c r="J714" s="41">
        <f>ABS(J$5-(6-'4JSON'!J708))</f>
        <v>1</v>
      </c>
      <c r="K714" s="41">
        <f>ABS(K$5-(6-'4JSON'!K708))</f>
        <v>1</v>
      </c>
      <c r="L714" s="41">
        <f>ABS(L$5-(6-'4JSON'!L708))</f>
        <v>1</v>
      </c>
      <c r="M714" s="36">
        <f t="shared" si="1"/>
        <v>9</v>
      </c>
      <c r="N714" s="42">
        <f t="shared" si="2"/>
        <v>0.75</v>
      </c>
    </row>
    <row r="715">
      <c r="A715" s="35">
        <f>'4JSON'!A709</f>
        <v>2113</v>
      </c>
      <c r="B715" s="25" t="str">
        <f>'4JSON'!B709</f>
        <v>Materials Scientists</v>
      </c>
      <c r="C715" s="41" t="str">
        <f>'4JSON'!C709</f>
        <v>Geoscientists and oceanographers</v>
      </c>
      <c r="D715" s="41">
        <f>ABS(D$5-(6-'4JSON'!D709))</f>
        <v>3</v>
      </c>
      <c r="E715" s="41">
        <f>ABS(E$5-(6-'4JSON'!E709))</f>
        <v>2</v>
      </c>
      <c r="F715" s="41">
        <f>ABS(F$5-(6-'4JSON'!F709))</f>
        <v>2</v>
      </c>
      <c r="G715" s="41">
        <f>ABS(G$5-(6-'4JSON'!G709))</f>
        <v>1</v>
      </c>
      <c r="H715" s="41">
        <f>ABS(H$5-(6-'4JSON'!H709))</f>
        <v>0</v>
      </c>
      <c r="I715" s="41">
        <f>ABS(I$5-(6-'4JSON'!I709))</f>
        <v>1</v>
      </c>
      <c r="J715" s="41">
        <f>ABS(J$5-(6-'4JSON'!J709))</f>
        <v>0</v>
      </c>
      <c r="K715" s="41">
        <f>ABS(K$5-(6-'4JSON'!K709))</f>
        <v>0</v>
      </c>
      <c r="L715" s="41">
        <f>ABS(L$5-(6-'4JSON'!L709))</f>
        <v>0</v>
      </c>
      <c r="M715" s="36">
        <f t="shared" si="1"/>
        <v>9</v>
      </c>
      <c r="N715" s="42">
        <f t="shared" si="2"/>
        <v>0.75</v>
      </c>
    </row>
    <row r="716">
      <c r="A716" s="35">
        <f>'4JSON'!A710</f>
        <v>2142</v>
      </c>
      <c r="B716" s="25" t="str">
        <f>'4JSON'!B710</f>
        <v>Metallurgical and Materials Engineers</v>
      </c>
      <c r="C716" s="41" t="str">
        <f>'4JSON'!C710</f>
        <v>Metallurgical and materials engineers</v>
      </c>
      <c r="D716" s="41">
        <f>ABS(D$5-(6-'4JSON'!D710))</f>
        <v>3</v>
      </c>
      <c r="E716" s="41">
        <f>ABS(E$5-(6-'4JSON'!E710))</f>
        <v>1</v>
      </c>
      <c r="F716" s="41">
        <f>ABS(F$5-(6-'4JSON'!F710))</f>
        <v>2</v>
      </c>
      <c r="G716" s="41">
        <f>ABS(G$5-(6-'4JSON'!G710))</f>
        <v>1</v>
      </c>
      <c r="H716" s="41">
        <f>ABS(H$5-(6-'4JSON'!H710))</f>
        <v>1</v>
      </c>
      <c r="I716" s="41">
        <f>ABS(I$5-(6-'4JSON'!I710))</f>
        <v>0</v>
      </c>
      <c r="J716" s="41">
        <f>ABS(J$5-(6-'4JSON'!J710))</f>
        <v>1</v>
      </c>
      <c r="K716" s="41">
        <f>ABS(K$5-(6-'4JSON'!K710))</f>
        <v>1</v>
      </c>
      <c r="L716" s="41">
        <f>ABS(L$5-(6-'4JSON'!L710))</f>
        <v>1</v>
      </c>
      <c r="M716" s="36">
        <f t="shared" si="1"/>
        <v>11</v>
      </c>
      <c r="N716" s="42">
        <f t="shared" si="2"/>
        <v>0.6944444444</v>
      </c>
    </row>
    <row r="717">
      <c r="A717" s="35">
        <f>'4JSON'!A711</f>
        <v>2115</v>
      </c>
      <c r="B717" s="25" t="str">
        <f>'4JSON'!B711</f>
        <v>Metallurgists</v>
      </c>
      <c r="C717" s="41" t="str">
        <f>'4JSON'!C711</f>
        <v>Other professional occupations in physical sciences</v>
      </c>
      <c r="D717" s="41">
        <f>ABS(D$5-(6-'4JSON'!D711))</f>
        <v>3</v>
      </c>
      <c r="E717" s="41">
        <f>ABS(E$5-(6-'4JSON'!E711))</f>
        <v>2</v>
      </c>
      <c r="F717" s="41">
        <f>ABS(F$5-(6-'4JSON'!F711))</f>
        <v>2</v>
      </c>
      <c r="G717" s="41">
        <f>ABS(G$5-(6-'4JSON'!G711))</f>
        <v>1</v>
      </c>
      <c r="H717" s="41">
        <f>ABS(H$5-(6-'4JSON'!H711))</f>
        <v>0</v>
      </c>
      <c r="I717" s="41">
        <f>ABS(I$5-(6-'4JSON'!I711))</f>
        <v>1</v>
      </c>
      <c r="J717" s="41">
        <f>ABS(J$5-(6-'4JSON'!J711))</f>
        <v>0</v>
      </c>
      <c r="K717" s="41">
        <f>ABS(K$5-(6-'4JSON'!K711))</f>
        <v>0</v>
      </c>
      <c r="L717" s="41">
        <f>ABS(L$5-(6-'4JSON'!L711))</f>
        <v>0</v>
      </c>
      <c r="M717" s="36">
        <f t="shared" si="1"/>
        <v>9</v>
      </c>
      <c r="N717" s="42">
        <f t="shared" si="2"/>
        <v>0.75</v>
      </c>
    </row>
    <row r="718">
      <c r="A718" s="35">
        <f>'4JSON'!A712</f>
        <v>2114</v>
      </c>
      <c r="B718" s="25" t="str">
        <f>'4JSON'!B712</f>
        <v>Meteorologists</v>
      </c>
      <c r="C718" s="41" t="str">
        <f>'4JSON'!C712</f>
        <v>Meteorologists and climatologists</v>
      </c>
      <c r="D718" s="41">
        <f>ABS(D$5-(6-'4JSON'!D712))</f>
        <v>3</v>
      </c>
      <c r="E718" s="41">
        <f>ABS(E$5-(6-'4JSON'!E712))</f>
        <v>2</v>
      </c>
      <c r="F718" s="41">
        <f>ABS(F$5-(6-'4JSON'!F712))</f>
        <v>2</v>
      </c>
      <c r="G718" s="41">
        <f>ABS(G$5-(6-'4JSON'!G712))</f>
        <v>2</v>
      </c>
      <c r="H718" s="41">
        <f>ABS(H$5-(6-'4JSON'!H712))</f>
        <v>0</v>
      </c>
      <c r="I718" s="41">
        <f>ABS(I$5-(6-'4JSON'!I712))</f>
        <v>0</v>
      </c>
      <c r="J718" s="41">
        <f>ABS(J$5-(6-'4JSON'!J712))</f>
        <v>1</v>
      </c>
      <c r="K718" s="41">
        <f>ABS(K$5-(6-'4JSON'!K712))</f>
        <v>1</v>
      </c>
      <c r="L718" s="41">
        <f>ABS(L$5-(6-'4JSON'!L712))</f>
        <v>0</v>
      </c>
      <c r="M718" s="36">
        <f t="shared" si="1"/>
        <v>11</v>
      </c>
      <c r="N718" s="42">
        <f t="shared" si="2"/>
        <v>0.6944444444</v>
      </c>
    </row>
    <row r="719">
      <c r="A719" s="35">
        <f>'4JSON'!A713</f>
        <v>2121</v>
      </c>
      <c r="B719" s="25" t="str">
        <f>'4JSON'!B713</f>
        <v>Microbiologists and Cell and Molecular Biologists</v>
      </c>
      <c r="C719" s="41" t="str">
        <f>'4JSON'!C713</f>
        <v>Biologists and related scientists</v>
      </c>
      <c r="D719" s="41">
        <f>ABS(D$5-(6-'4JSON'!D713))</f>
        <v>3</v>
      </c>
      <c r="E719" s="41">
        <f>ABS(E$5-(6-'4JSON'!E713))</f>
        <v>2</v>
      </c>
      <c r="F719" s="41">
        <f>ABS(F$5-(6-'4JSON'!F713))</f>
        <v>2</v>
      </c>
      <c r="G719" s="41">
        <f>ABS(G$5-(6-'4JSON'!G713))</f>
        <v>1</v>
      </c>
      <c r="H719" s="41">
        <f>ABS(H$5-(6-'4JSON'!H713))</f>
        <v>0</v>
      </c>
      <c r="I719" s="41">
        <f>ABS(I$5-(6-'4JSON'!I713))</f>
        <v>0</v>
      </c>
      <c r="J719" s="41">
        <f>ABS(J$5-(6-'4JSON'!J713))</f>
        <v>1</v>
      </c>
      <c r="K719" s="41">
        <f>ABS(K$5-(6-'4JSON'!K713))</f>
        <v>0</v>
      </c>
      <c r="L719" s="41">
        <f>ABS(L$5-(6-'4JSON'!L713))</f>
        <v>0</v>
      </c>
      <c r="M719" s="36">
        <f t="shared" si="1"/>
        <v>9</v>
      </c>
      <c r="N719" s="42">
        <f t="shared" si="2"/>
        <v>0.75</v>
      </c>
    </row>
    <row r="720">
      <c r="A720" s="35">
        <f>'4JSON'!A714</f>
        <v>2143</v>
      </c>
      <c r="B720" s="25" t="str">
        <f>'4JSON'!B714</f>
        <v>Mining Engineers</v>
      </c>
      <c r="C720" s="41" t="str">
        <f>'4JSON'!C714</f>
        <v>Mining engineers</v>
      </c>
      <c r="D720" s="41">
        <f>ABS(D$5-(6-'4JSON'!D714))</f>
        <v>3</v>
      </c>
      <c r="E720" s="41">
        <f>ABS(E$5-(6-'4JSON'!E714))</f>
        <v>1</v>
      </c>
      <c r="F720" s="41">
        <f>ABS(F$5-(6-'4JSON'!F714))</f>
        <v>2</v>
      </c>
      <c r="G720" s="41">
        <f>ABS(G$5-(6-'4JSON'!G714))</f>
        <v>2</v>
      </c>
      <c r="H720" s="41">
        <f>ABS(H$5-(6-'4JSON'!H714))</f>
        <v>1</v>
      </c>
      <c r="I720" s="41">
        <f>ABS(I$5-(6-'4JSON'!I714))</f>
        <v>1</v>
      </c>
      <c r="J720" s="41">
        <f>ABS(J$5-(6-'4JSON'!J714))</f>
        <v>1</v>
      </c>
      <c r="K720" s="41">
        <f>ABS(K$5-(6-'4JSON'!K714))</f>
        <v>1</v>
      </c>
      <c r="L720" s="41">
        <f>ABS(L$5-(6-'4JSON'!L714))</f>
        <v>1</v>
      </c>
      <c r="M720" s="36">
        <f t="shared" si="1"/>
        <v>13</v>
      </c>
      <c r="N720" s="42">
        <f t="shared" si="2"/>
        <v>0.6388888889</v>
      </c>
    </row>
    <row r="721">
      <c r="A721" s="35">
        <f>'4JSON'!A715</f>
        <v>5212</v>
      </c>
      <c r="B721" s="25" t="str">
        <f>'4JSON'!B715</f>
        <v>Museum Registrars and Cataloguers</v>
      </c>
      <c r="C721" s="41" t="str">
        <f>'4JSON'!C715</f>
        <v>Technical occupations related to museums and art galleries</v>
      </c>
      <c r="D721" s="41">
        <f>ABS(D$5-(6-'4JSON'!D715))</f>
        <v>2</v>
      </c>
      <c r="E721" s="41">
        <f>ABS(E$5-(6-'4JSON'!E715))</f>
        <v>1</v>
      </c>
      <c r="F721" s="41">
        <f>ABS(F$5-(6-'4JSON'!F715))</f>
        <v>0</v>
      </c>
      <c r="G721" s="41">
        <f>ABS(G$5-(6-'4JSON'!G715))</f>
        <v>1</v>
      </c>
      <c r="H721" s="41">
        <f>ABS(H$5-(6-'4JSON'!H715))</f>
        <v>2</v>
      </c>
      <c r="I721" s="41">
        <f>ABS(I$5-(6-'4JSON'!I715))</f>
        <v>0</v>
      </c>
      <c r="J721" s="41">
        <f>ABS(J$5-(6-'4JSON'!J715))</f>
        <v>1</v>
      </c>
      <c r="K721" s="41">
        <f>ABS(K$5-(6-'4JSON'!K715))</f>
        <v>1</v>
      </c>
      <c r="L721" s="41">
        <f>ABS(L$5-(6-'4JSON'!L715))</f>
        <v>1</v>
      </c>
      <c r="M721" s="36">
        <f t="shared" si="1"/>
        <v>9</v>
      </c>
      <c r="N721" s="42">
        <f t="shared" si="2"/>
        <v>0.75</v>
      </c>
    </row>
    <row r="722">
      <c r="A722" s="35">
        <f>'4JSON'!A716</f>
        <v>2281</v>
      </c>
      <c r="B722" s="25" t="str">
        <f>'4JSON'!B716</f>
        <v>Network System and Data Communication Engineers</v>
      </c>
      <c r="C722" s="41" t="str">
        <f>'4JSON'!C716</f>
        <v>Computer network technicians</v>
      </c>
      <c r="D722" s="41">
        <f>ABS(D$5-(6-'4JSON'!D716))</f>
        <v>3</v>
      </c>
      <c r="E722" s="41">
        <f>ABS(E$5-(6-'4JSON'!E716))</f>
        <v>1</v>
      </c>
      <c r="F722" s="41">
        <f>ABS(F$5-(6-'4JSON'!F716))</f>
        <v>2</v>
      </c>
      <c r="G722" s="41">
        <f>ABS(G$5-(6-'4JSON'!G716))</f>
        <v>1</v>
      </c>
      <c r="H722" s="41">
        <f>ABS(H$5-(6-'4JSON'!H716))</f>
        <v>1</v>
      </c>
      <c r="I722" s="41">
        <f>ABS(I$5-(6-'4JSON'!I716))</f>
        <v>0</v>
      </c>
      <c r="J722" s="41">
        <f>ABS(J$5-(6-'4JSON'!J716))</f>
        <v>1</v>
      </c>
      <c r="K722" s="41">
        <f>ABS(K$5-(6-'4JSON'!K716))</f>
        <v>1</v>
      </c>
      <c r="L722" s="41">
        <f>ABS(L$5-(6-'4JSON'!L716))</f>
        <v>1</v>
      </c>
      <c r="M722" s="36">
        <f t="shared" si="1"/>
        <v>11</v>
      </c>
      <c r="N722" s="42">
        <f t="shared" si="2"/>
        <v>0.6944444444</v>
      </c>
    </row>
    <row r="723">
      <c r="A723" s="35">
        <f>'4JSON'!A717</f>
        <v>9619</v>
      </c>
      <c r="B723" s="25" t="str">
        <f>'4JSON'!B717</f>
        <v>Other Labourers in Processing, Manufacturing and Utilities</v>
      </c>
      <c r="C723" s="41" t="str">
        <f>'4JSON'!C717</f>
        <v>Other labourers in processing, manufacturing and utilities</v>
      </c>
      <c r="D723" s="41">
        <f>ABS(D$5-(6-'4JSON'!D717))</f>
        <v>0</v>
      </c>
      <c r="E723" s="41">
        <f>ABS(E$5-(6-'4JSON'!E717))</f>
        <v>1</v>
      </c>
      <c r="F723" s="41">
        <f>ABS(F$5-(6-'4JSON'!F717))</f>
        <v>1</v>
      </c>
      <c r="G723" s="41">
        <f>ABS(G$5-(6-'4JSON'!G717))</f>
        <v>1</v>
      </c>
      <c r="H723" s="41">
        <f>ABS(H$5-(6-'4JSON'!H717))</f>
        <v>2</v>
      </c>
      <c r="I723" s="41">
        <f>ABS(I$5-(6-'4JSON'!I717))</f>
        <v>2</v>
      </c>
      <c r="J723" s="41">
        <f>ABS(J$5-(6-'4JSON'!J717))</f>
        <v>1</v>
      </c>
      <c r="K723" s="41">
        <f>ABS(K$5-(6-'4JSON'!K717))</f>
        <v>1</v>
      </c>
      <c r="L723" s="41">
        <f>ABS(L$5-(6-'4JSON'!L717))</f>
        <v>0</v>
      </c>
      <c r="M723" s="36">
        <f t="shared" si="1"/>
        <v>9</v>
      </c>
      <c r="N723" s="42">
        <f t="shared" si="2"/>
        <v>0.75</v>
      </c>
    </row>
    <row r="724">
      <c r="A724" s="35">
        <f>'4JSON'!A718</f>
        <v>9537</v>
      </c>
      <c r="B724" s="25" t="str">
        <f>'4JSON'!B718</f>
        <v>Other Products Machine Operators</v>
      </c>
      <c r="C724" s="41" t="str">
        <f>'4JSON'!C718</f>
        <v>Other products assemblers, finishers and inspectors</v>
      </c>
      <c r="D724" s="41">
        <f>ABS(D$5-(6-'4JSON'!D718))</f>
        <v>0</v>
      </c>
      <c r="E724" s="41">
        <f>ABS(E$5-(6-'4JSON'!E718))</f>
        <v>1</v>
      </c>
      <c r="F724" s="41">
        <f>ABS(F$5-(6-'4JSON'!F718))</f>
        <v>1</v>
      </c>
      <c r="G724" s="41">
        <f>ABS(G$5-(6-'4JSON'!G718))</f>
        <v>1</v>
      </c>
      <c r="H724" s="41">
        <f>ABS(H$5-(6-'4JSON'!H718))</f>
        <v>2</v>
      </c>
      <c r="I724" s="41">
        <f>ABS(I$5-(6-'4JSON'!I718))</f>
        <v>2</v>
      </c>
      <c r="J724" s="41">
        <f>ABS(J$5-(6-'4JSON'!J718))</f>
        <v>1</v>
      </c>
      <c r="K724" s="41">
        <f>ABS(K$5-(6-'4JSON'!K718))</f>
        <v>1</v>
      </c>
      <c r="L724" s="41">
        <f>ABS(L$5-(6-'4JSON'!L718))</f>
        <v>0</v>
      </c>
      <c r="M724" s="36">
        <f t="shared" si="1"/>
        <v>9</v>
      </c>
      <c r="N724" s="42">
        <f t="shared" si="2"/>
        <v>0.75</v>
      </c>
    </row>
    <row r="725">
      <c r="A725" s="35">
        <f>'4JSON'!A719</f>
        <v>6316</v>
      </c>
      <c r="B725" s="25" t="str">
        <f>'4JSON'!B719</f>
        <v>Other Service Providers</v>
      </c>
      <c r="C725" s="41" t="str">
        <f>'4JSON'!C719</f>
        <v>Other services supervisors</v>
      </c>
      <c r="D725" s="41">
        <f>ABS(D$5-(6-'4JSON'!D719))</f>
        <v>1</v>
      </c>
      <c r="E725" s="41">
        <f>ABS(E$5-(6-'4JSON'!E719))</f>
        <v>0</v>
      </c>
      <c r="F725" s="41">
        <f>ABS(F$5-(6-'4JSON'!F719))</f>
        <v>1</v>
      </c>
      <c r="G725" s="41">
        <f>ABS(G$5-(6-'4JSON'!G719))</f>
        <v>1</v>
      </c>
      <c r="H725" s="41">
        <f>ABS(H$5-(6-'4JSON'!H719))</f>
        <v>2</v>
      </c>
      <c r="I725" s="41">
        <f>ABS(I$5-(6-'4JSON'!I719))</f>
        <v>1</v>
      </c>
      <c r="J725" s="41">
        <f>ABS(J$5-(6-'4JSON'!J719))</f>
        <v>1</v>
      </c>
      <c r="K725" s="41">
        <f>ABS(K$5-(6-'4JSON'!K719))</f>
        <v>1</v>
      </c>
      <c r="L725" s="41">
        <f>ABS(L$5-(6-'4JSON'!L719))</f>
        <v>1</v>
      </c>
      <c r="M725" s="36">
        <f t="shared" si="1"/>
        <v>9</v>
      </c>
      <c r="N725" s="42">
        <f t="shared" si="2"/>
        <v>0.75</v>
      </c>
    </row>
    <row r="726">
      <c r="A726" s="35">
        <f>'4JSON'!A720</f>
        <v>651</v>
      </c>
      <c r="B726" s="25" t="str">
        <f>'4JSON'!B720</f>
        <v>Other Services Managers</v>
      </c>
      <c r="C726" s="41" t="str">
        <f>'4JSON'!C720</f>
        <v>Managers in customer and personal services, n.e.c.</v>
      </c>
      <c r="D726" s="41">
        <f>ABS(D$5-(6-'4JSON'!D720))</f>
        <v>1</v>
      </c>
      <c r="E726" s="41">
        <f>ABS(E$5-(6-'4JSON'!E720))</f>
        <v>0</v>
      </c>
      <c r="F726" s="41">
        <f>ABS(F$5-(6-'4JSON'!F720))</f>
        <v>0</v>
      </c>
      <c r="G726" s="41">
        <f>ABS(G$5-(6-'4JSON'!G720))</f>
        <v>1</v>
      </c>
      <c r="H726" s="41">
        <f>ABS(H$5-(6-'4JSON'!H720))</f>
        <v>2</v>
      </c>
      <c r="I726" s="41">
        <f>ABS(I$5-(6-'4JSON'!I720))</f>
        <v>0</v>
      </c>
      <c r="J726" s="41">
        <f>ABS(J$5-(6-'4JSON'!J720))</f>
        <v>1</v>
      </c>
      <c r="K726" s="41">
        <f>ABS(K$5-(6-'4JSON'!K720))</f>
        <v>1</v>
      </c>
      <c r="L726" s="41">
        <f>ABS(L$5-(6-'4JSON'!L720))</f>
        <v>1</v>
      </c>
      <c r="M726" s="36">
        <f t="shared" si="1"/>
        <v>7</v>
      </c>
      <c r="N726" s="42">
        <f t="shared" si="2"/>
        <v>0.8055555556</v>
      </c>
    </row>
    <row r="727">
      <c r="A727" s="35">
        <f>'4JSON'!A721</f>
        <v>4411</v>
      </c>
      <c r="B727" s="25" t="str">
        <f>'4JSON'!B721</f>
        <v>Parents' Helpers</v>
      </c>
      <c r="C727" s="41" t="str">
        <f>'4JSON'!C721</f>
        <v>Home child care providers</v>
      </c>
      <c r="D727" s="41">
        <f>ABS(D$5-(6-'4JSON'!D721))</f>
        <v>0</v>
      </c>
      <c r="E727" s="41">
        <f>ABS(E$5-(6-'4JSON'!E721))</f>
        <v>1</v>
      </c>
      <c r="F727" s="41">
        <f>ABS(F$5-(6-'4JSON'!F721))</f>
        <v>1</v>
      </c>
      <c r="G727" s="41">
        <f>ABS(G$5-(6-'4JSON'!G721))</f>
        <v>1</v>
      </c>
      <c r="H727" s="41">
        <f>ABS(H$5-(6-'4JSON'!H721))</f>
        <v>2</v>
      </c>
      <c r="I727" s="41">
        <f>ABS(I$5-(6-'4JSON'!I721))</f>
        <v>2</v>
      </c>
      <c r="J727" s="41">
        <f>ABS(J$5-(6-'4JSON'!J721))</f>
        <v>1</v>
      </c>
      <c r="K727" s="41">
        <f>ABS(K$5-(6-'4JSON'!K721))</f>
        <v>1</v>
      </c>
      <c r="L727" s="41">
        <f>ABS(L$5-(6-'4JSON'!L721))</f>
        <v>0</v>
      </c>
      <c r="M727" s="36">
        <f t="shared" si="1"/>
        <v>9</v>
      </c>
      <c r="N727" s="42">
        <f t="shared" si="2"/>
        <v>0.75</v>
      </c>
    </row>
    <row r="728">
      <c r="A728" s="35">
        <f>'4JSON'!A722</f>
        <v>6742</v>
      </c>
      <c r="B728" s="25" t="str">
        <f>'4JSON'!B722</f>
        <v>Parking Lot Attendants and Car Jockeys</v>
      </c>
      <c r="C728" s="41" t="str">
        <f>'4JSON'!C722</f>
        <v>Other service support occupations, n.e.c.</v>
      </c>
      <c r="D728" s="41">
        <f>ABS(D$5-(6-'4JSON'!D722))</f>
        <v>0</v>
      </c>
      <c r="E728" s="41">
        <f>ABS(E$5-(6-'4JSON'!E722))</f>
        <v>1</v>
      </c>
      <c r="F728" s="41">
        <f>ABS(F$5-(6-'4JSON'!F722))</f>
        <v>1</v>
      </c>
      <c r="G728" s="41">
        <f>ABS(G$5-(6-'4JSON'!G722))</f>
        <v>1</v>
      </c>
      <c r="H728" s="41">
        <f>ABS(H$5-(6-'4JSON'!H722))</f>
        <v>2</v>
      </c>
      <c r="I728" s="41">
        <f>ABS(I$5-(6-'4JSON'!I722))</f>
        <v>1</v>
      </c>
      <c r="J728" s="41">
        <f>ABS(J$5-(6-'4JSON'!J722))</f>
        <v>1</v>
      </c>
      <c r="K728" s="41">
        <f>ABS(K$5-(6-'4JSON'!K722))</f>
        <v>1</v>
      </c>
      <c r="L728" s="41">
        <f>ABS(L$5-(6-'4JSON'!L722))</f>
        <v>1</v>
      </c>
      <c r="M728" s="36">
        <f t="shared" si="1"/>
        <v>9</v>
      </c>
      <c r="N728" s="42">
        <f t="shared" si="2"/>
        <v>0.75</v>
      </c>
    </row>
    <row r="729">
      <c r="A729" s="35">
        <f>'4JSON'!A723</f>
        <v>1223</v>
      </c>
      <c r="B729" s="25" t="str">
        <f>'4JSON'!B723</f>
        <v>Personnel and Recruitment Officers</v>
      </c>
      <c r="C729" s="41" t="str">
        <f>'4JSON'!C723</f>
        <v>Human resources and recruitment officers</v>
      </c>
      <c r="D729" s="41">
        <f>ABS(D$5-(6-'4JSON'!D723))</f>
        <v>2</v>
      </c>
      <c r="E729" s="41">
        <f>ABS(E$5-(6-'4JSON'!E723))</f>
        <v>1</v>
      </c>
      <c r="F729" s="41">
        <f>ABS(F$5-(6-'4JSON'!F723))</f>
        <v>0</v>
      </c>
      <c r="G729" s="41">
        <f>ABS(G$5-(6-'4JSON'!G723))</f>
        <v>1</v>
      </c>
      <c r="H729" s="41">
        <f>ABS(H$5-(6-'4JSON'!H723))</f>
        <v>2</v>
      </c>
      <c r="I729" s="41">
        <f>ABS(I$5-(6-'4JSON'!I723))</f>
        <v>0</v>
      </c>
      <c r="J729" s="41">
        <f>ABS(J$5-(6-'4JSON'!J723))</f>
        <v>1</v>
      </c>
      <c r="K729" s="41">
        <f>ABS(K$5-(6-'4JSON'!K723))</f>
        <v>1</v>
      </c>
      <c r="L729" s="41">
        <f>ABS(L$5-(6-'4JSON'!L723))</f>
        <v>1</v>
      </c>
      <c r="M729" s="36">
        <f t="shared" si="1"/>
        <v>9</v>
      </c>
      <c r="N729" s="42">
        <f t="shared" si="2"/>
        <v>0.75</v>
      </c>
    </row>
    <row r="730">
      <c r="A730" s="35">
        <f>'4JSON'!A724</f>
        <v>1415</v>
      </c>
      <c r="B730" s="25" t="str">
        <f>'4JSON'!B724</f>
        <v>Personnel Clerks</v>
      </c>
      <c r="C730" s="41" t="str">
        <f>'4JSON'!C724</f>
        <v>Personnel clerks</v>
      </c>
      <c r="D730" s="41">
        <f>ABS(D$5-(6-'4JSON'!D724))</f>
        <v>1</v>
      </c>
      <c r="E730" s="41">
        <f>ABS(E$5-(6-'4JSON'!E724))</f>
        <v>0</v>
      </c>
      <c r="F730" s="41">
        <f>ABS(F$5-(6-'4JSON'!F724))</f>
        <v>0</v>
      </c>
      <c r="G730" s="41">
        <f>ABS(G$5-(6-'4JSON'!G724))</f>
        <v>1</v>
      </c>
      <c r="H730" s="41">
        <f>ABS(H$5-(6-'4JSON'!H724))</f>
        <v>2</v>
      </c>
      <c r="I730" s="41">
        <f>ABS(I$5-(6-'4JSON'!I724))</f>
        <v>0</v>
      </c>
      <c r="J730" s="41">
        <f>ABS(J$5-(6-'4JSON'!J724))</f>
        <v>1</v>
      </c>
      <c r="K730" s="41">
        <f>ABS(K$5-(6-'4JSON'!K724))</f>
        <v>1</v>
      </c>
      <c r="L730" s="41">
        <f>ABS(L$5-(6-'4JSON'!L724))</f>
        <v>1</v>
      </c>
      <c r="M730" s="36">
        <f t="shared" si="1"/>
        <v>7</v>
      </c>
      <c r="N730" s="42">
        <f t="shared" si="2"/>
        <v>0.8055555556</v>
      </c>
    </row>
    <row r="731">
      <c r="A731" s="35">
        <f>'4JSON'!A725</f>
        <v>2145</v>
      </c>
      <c r="B731" s="25" t="str">
        <f>'4JSON'!B725</f>
        <v>Petroleum Engineers</v>
      </c>
      <c r="C731" s="41" t="str">
        <f>'4JSON'!C725</f>
        <v>Petroleum engineers</v>
      </c>
      <c r="D731" s="41">
        <f>ABS(D$5-(6-'4JSON'!D725))</f>
        <v>3</v>
      </c>
      <c r="E731" s="41">
        <f>ABS(E$5-(6-'4JSON'!E725))</f>
        <v>1</v>
      </c>
      <c r="F731" s="41">
        <f>ABS(F$5-(6-'4JSON'!F725))</f>
        <v>2</v>
      </c>
      <c r="G731" s="41">
        <f>ABS(G$5-(6-'4JSON'!G725))</f>
        <v>1</v>
      </c>
      <c r="H731" s="41">
        <f>ABS(H$5-(6-'4JSON'!H725))</f>
        <v>1</v>
      </c>
      <c r="I731" s="41">
        <f>ABS(I$5-(6-'4JSON'!I725))</f>
        <v>0</v>
      </c>
      <c r="J731" s="41">
        <f>ABS(J$5-(6-'4JSON'!J725))</f>
        <v>1</v>
      </c>
      <c r="K731" s="41">
        <f>ABS(K$5-(6-'4JSON'!K725))</f>
        <v>1</v>
      </c>
      <c r="L731" s="41">
        <f>ABS(L$5-(6-'4JSON'!L725))</f>
        <v>1</v>
      </c>
      <c r="M731" s="36">
        <f t="shared" si="1"/>
        <v>11</v>
      </c>
      <c r="N731" s="42">
        <f t="shared" si="2"/>
        <v>0.6944444444</v>
      </c>
    </row>
    <row r="732">
      <c r="A732" s="35">
        <f>'4JSON'!A726</f>
        <v>132</v>
      </c>
      <c r="B732" s="25" t="str">
        <f>'4JSON'!B726</f>
        <v>Postal and Courier Services Managers</v>
      </c>
      <c r="C732" s="41" t="str">
        <f>'4JSON'!C726</f>
        <v>Postal and courier services managers</v>
      </c>
      <c r="D732" s="41">
        <f>ABS(D$5-(6-'4JSON'!D726))</f>
        <v>2</v>
      </c>
      <c r="E732" s="41">
        <f>ABS(E$5-(6-'4JSON'!E726))</f>
        <v>1</v>
      </c>
      <c r="F732" s="41">
        <f>ABS(F$5-(6-'4JSON'!F726))</f>
        <v>0</v>
      </c>
      <c r="G732" s="41">
        <f>ABS(G$5-(6-'4JSON'!G726))</f>
        <v>1</v>
      </c>
      <c r="H732" s="41">
        <f>ABS(H$5-(6-'4JSON'!H726))</f>
        <v>2</v>
      </c>
      <c r="I732" s="41">
        <f>ABS(I$5-(6-'4JSON'!I726))</f>
        <v>0</v>
      </c>
      <c r="J732" s="41">
        <f>ABS(J$5-(6-'4JSON'!J726))</f>
        <v>1</v>
      </c>
      <c r="K732" s="41">
        <f>ABS(K$5-(6-'4JSON'!K726))</f>
        <v>1</v>
      </c>
      <c r="L732" s="41">
        <f>ABS(L$5-(6-'4JSON'!L726))</f>
        <v>1</v>
      </c>
      <c r="M732" s="36">
        <f t="shared" si="1"/>
        <v>9</v>
      </c>
      <c r="N732" s="42">
        <f t="shared" si="2"/>
        <v>0.75</v>
      </c>
    </row>
    <row r="733">
      <c r="A733" s="35">
        <f>'4JSON'!A727</f>
        <v>4155</v>
      </c>
      <c r="B733" s="25" t="str">
        <f>'4JSON'!B727</f>
        <v>Probation and Parole Officers</v>
      </c>
      <c r="C733" s="41" t="str">
        <f>'4JSON'!C727</f>
        <v>Probation and parole officers and related occupations</v>
      </c>
      <c r="D733" s="41">
        <f>ABS(D$5-(6-'4JSON'!D727))</f>
        <v>2</v>
      </c>
      <c r="E733" s="41">
        <f>ABS(E$5-(6-'4JSON'!E727))</f>
        <v>1</v>
      </c>
      <c r="F733" s="41">
        <f>ABS(F$5-(6-'4JSON'!F727))</f>
        <v>0</v>
      </c>
      <c r="G733" s="41">
        <f>ABS(G$5-(6-'4JSON'!G727))</f>
        <v>1</v>
      </c>
      <c r="H733" s="41">
        <f>ABS(H$5-(6-'4JSON'!H727))</f>
        <v>2</v>
      </c>
      <c r="I733" s="41">
        <f>ABS(I$5-(6-'4JSON'!I727))</f>
        <v>0</v>
      </c>
      <c r="J733" s="41">
        <f>ABS(J$5-(6-'4JSON'!J727))</f>
        <v>1</v>
      </c>
      <c r="K733" s="41">
        <f>ABS(K$5-(6-'4JSON'!K727))</f>
        <v>1</v>
      </c>
      <c r="L733" s="41">
        <f>ABS(L$5-(6-'4JSON'!L727))</f>
        <v>1</v>
      </c>
      <c r="M733" s="36">
        <f t="shared" si="1"/>
        <v>9</v>
      </c>
      <c r="N733" s="42">
        <f t="shared" si="2"/>
        <v>0.75</v>
      </c>
    </row>
    <row r="734">
      <c r="A734" s="35">
        <f>'4JSON'!A728</f>
        <v>1523</v>
      </c>
      <c r="B734" s="25" t="str">
        <f>'4JSON'!B728</f>
        <v>Production Clerks</v>
      </c>
      <c r="C734" s="41" t="str">
        <f>'4JSON'!C728</f>
        <v>Production logistics co-ordinators</v>
      </c>
      <c r="D734" s="41">
        <f>ABS(D$5-(6-'4JSON'!D728))</f>
        <v>1</v>
      </c>
      <c r="E734" s="41">
        <f>ABS(E$5-(6-'4JSON'!E728))</f>
        <v>0</v>
      </c>
      <c r="F734" s="41">
        <f>ABS(F$5-(6-'4JSON'!F728))</f>
        <v>0</v>
      </c>
      <c r="G734" s="41">
        <f>ABS(G$5-(6-'4JSON'!G728))</f>
        <v>1</v>
      </c>
      <c r="H734" s="41">
        <f>ABS(H$5-(6-'4JSON'!H728))</f>
        <v>2</v>
      </c>
      <c r="I734" s="41">
        <f>ABS(I$5-(6-'4JSON'!I728))</f>
        <v>0</v>
      </c>
      <c r="J734" s="41">
        <f>ABS(J$5-(6-'4JSON'!J728))</f>
        <v>1</v>
      </c>
      <c r="K734" s="41">
        <f>ABS(K$5-(6-'4JSON'!K728))</f>
        <v>1</v>
      </c>
      <c r="L734" s="41">
        <f>ABS(L$5-(6-'4JSON'!L728))</f>
        <v>1</v>
      </c>
      <c r="M734" s="36">
        <f t="shared" si="1"/>
        <v>7</v>
      </c>
      <c r="N734" s="42">
        <f t="shared" si="2"/>
        <v>0.8055555556</v>
      </c>
    </row>
    <row r="735">
      <c r="A735" s="35">
        <f>'4JSON'!A729</f>
        <v>4168</v>
      </c>
      <c r="B735" s="25" t="str">
        <f>'4JSON'!B729</f>
        <v>Program Officers Unique to Government</v>
      </c>
      <c r="C735" s="41" t="str">
        <f>'4JSON'!C729</f>
        <v>Program officers unique to government</v>
      </c>
      <c r="D735" s="41">
        <f>ABS(D$5-(6-'4JSON'!D729))</f>
        <v>2</v>
      </c>
      <c r="E735" s="41">
        <f>ABS(E$5-(6-'4JSON'!E729))</f>
        <v>1</v>
      </c>
      <c r="F735" s="41">
        <f>ABS(F$5-(6-'4JSON'!F729))</f>
        <v>0</v>
      </c>
      <c r="G735" s="41">
        <f>ABS(G$5-(6-'4JSON'!G729))</f>
        <v>1</v>
      </c>
      <c r="H735" s="41">
        <f>ABS(H$5-(6-'4JSON'!H729))</f>
        <v>2</v>
      </c>
      <c r="I735" s="41">
        <f>ABS(I$5-(6-'4JSON'!I729))</f>
        <v>0</v>
      </c>
      <c r="J735" s="41">
        <f>ABS(J$5-(6-'4JSON'!J729))</f>
        <v>1</v>
      </c>
      <c r="K735" s="41">
        <f>ABS(K$5-(6-'4JSON'!K729))</f>
        <v>1</v>
      </c>
      <c r="L735" s="41">
        <f>ABS(L$5-(6-'4JSON'!L729))</f>
        <v>1</v>
      </c>
      <c r="M735" s="36">
        <f t="shared" si="1"/>
        <v>9</v>
      </c>
      <c r="N735" s="42">
        <f t="shared" si="2"/>
        <v>0.75</v>
      </c>
    </row>
    <row r="736">
      <c r="A736" s="35">
        <f>'4JSON'!A730</f>
        <v>1224</v>
      </c>
      <c r="B736" s="25" t="str">
        <f>'4JSON'!B730</f>
        <v>Property Administrators</v>
      </c>
      <c r="C736" s="41" t="str">
        <f>'4JSON'!C730</f>
        <v>Property administrators</v>
      </c>
      <c r="D736" s="41">
        <f>ABS(D$5-(6-'4JSON'!D730))</f>
        <v>2</v>
      </c>
      <c r="E736" s="41">
        <f>ABS(E$5-(6-'4JSON'!E730))</f>
        <v>1</v>
      </c>
      <c r="F736" s="41">
        <f>ABS(F$5-(6-'4JSON'!F730))</f>
        <v>0</v>
      </c>
      <c r="G736" s="41">
        <f>ABS(G$5-(6-'4JSON'!G730))</f>
        <v>1</v>
      </c>
      <c r="H736" s="41">
        <f>ABS(H$5-(6-'4JSON'!H730))</f>
        <v>2</v>
      </c>
      <c r="I736" s="41">
        <f>ABS(I$5-(6-'4JSON'!I730))</f>
        <v>0</v>
      </c>
      <c r="J736" s="41">
        <f>ABS(J$5-(6-'4JSON'!J730))</f>
        <v>1</v>
      </c>
      <c r="K736" s="41">
        <f>ABS(K$5-(6-'4JSON'!K730))</f>
        <v>1</v>
      </c>
      <c r="L736" s="41">
        <f>ABS(L$5-(6-'4JSON'!L730))</f>
        <v>1</v>
      </c>
      <c r="M736" s="36">
        <f t="shared" si="1"/>
        <v>9</v>
      </c>
      <c r="N736" s="42">
        <f t="shared" si="2"/>
        <v>0.75</v>
      </c>
    </row>
    <row r="737">
      <c r="A737" s="35">
        <f>'4JSON'!A731</f>
        <v>1524</v>
      </c>
      <c r="B737" s="25" t="str">
        <f>'4JSON'!B731</f>
        <v>Purchasing Clerks</v>
      </c>
      <c r="C737" s="41" t="str">
        <f>'4JSON'!C731</f>
        <v>Purchasing and inventory control workers</v>
      </c>
      <c r="D737" s="41">
        <f>ABS(D$5-(6-'4JSON'!D731))</f>
        <v>1</v>
      </c>
      <c r="E737" s="41">
        <f>ABS(E$5-(6-'4JSON'!E731))</f>
        <v>0</v>
      </c>
      <c r="F737" s="41">
        <f>ABS(F$5-(6-'4JSON'!F731))</f>
        <v>0</v>
      </c>
      <c r="G737" s="41">
        <f>ABS(G$5-(6-'4JSON'!G731))</f>
        <v>1</v>
      </c>
      <c r="H737" s="41">
        <f>ABS(H$5-(6-'4JSON'!H731))</f>
        <v>2</v>
      </c>
      <c r="I737" s="41">
        <f>ABS(I$5-(6-'4JSON'!I731))</f>
        <v>0</v>
      </c>
      <c r="J737" s="41">
        <f>ABS(J$5-(6-'4JSON'!J731))</f>
        <v>1</v>
      </c>
      <c r="K737" s="41">
        <f>ABS(K$5-(6-'4JSON'!K731))</f>
        <v>1</v>
      </c>
      <c r="L737" s="41">
        <f>ABS(L$5-(6-'4JSON'!L731))</f>
        <v>1</v>
      </c>
      <c r="M737" s="36">
        <f t="shared" si="1"/>
        <v>7</v>
      </c>
      <c r="N737" s="42">
        <f t="shared" si="2"/>
        <v>0.8055555556</v>
      </c>
    </row>
    <row r="738">
      <c r="A738" s="35">
        <f>'4JSON'!A732</f>
        <v>1525</v>
      </c>
      <c r="B738" s="25" t="str">
        <f>'4JSON'!B732</f>
        <v>Radio Operators</v>
      </c>
      <c r="C738" s="41" t="str">
        <f>'4JSON'!C732</f>
        <v>Dispatchers</v>
      </c>
      <c r="D738" s="41">
        <f>ABS(D$5-(6-'4JSON'!D732))</f>
        <v>1</v>
      </c>
      <c r="E738" s="41">
        <f>ABS(E$5-(6-'4JSON'!E732))</f>
        <v>0</v>
      </c>
      <c r="F738" s="41">
        <f>ABS(F$5-(6-'4JSON'!F732))</f>
        <v>0</v>
      </c>
      <c r="G738" s="41">
        <f>ABS(G$5-(6-'4JSON'!G732))</f>
        <v>1</v>
      </c>
      <c r="H738" s="41">
        <f>ABS(H$5-(6-'4JSON'!H732))</f>
        <v>2</v>
      </c>
      <c r="I738" s="41">
        <f>ABS(I$5-(6-'4JSON'!I732))</f>
        <v>0</v>
      </c>
      <c r="J738" s="41">
        <f>ABS(J$5-(6-'4JSON'!J732))</f>
        <v>1</v>
      </c>
      <c r="K738" s="41">
        <f>ABS(K$5-(6-'4JSON'!K732))</f>
        <v>1</v>
      </c>
      <c r="L738" s="41">
        <f>ABS(L$5-(6-'4JSON'!L732))</f>
        <v>1</v>
      </c>
      <c r="M738" s="36">
        <f t="shared" si="1"/>
        <v>7</v>
      </c>
      <c r="N738" s="42">
        <f t="shared" si="2"/>
        <v>0.8055555556</v>
      </c>
    </row>
    <row r="739">
      <c r="A739" s="35">
        <f>'4JSON'!A733</f>
        <v>7531</v>
      </c>
      <c r="B739" s="25" t="str">
        <f>'4JSON'!B733</f>
        <v>Railway Yard Workers</v>
      </c>
      <c r="C739" s="41" t="str">
        <f>'4JSON'!C733</f>
        <v>Railway yard and track maintenance workers</v>
      </c>
      <c r="D739" s="41">
        <f>ABS(D$5-(6-'4JSON'!D733))</f>
        <v>1</v>
      </c>
      <c r="E739" s="41">
        <f>ABS(E$5-(6-'4JSON'!E733))</f>
        <v>1</v>
      </c>
      <c r="F739" s="41">
        <f>ABS(F$5-(6-'4JSON'!F733))</f>
        <v>2</v>
      </c>
      <c r="G739" s="41">
        <f>ABS(G$5-(6-'4JSON'!G733))</f>
        <v>1</v>
      </c>
      <c r="H739" s="41">
        <f>ABS(H$5-(6-'4JSON'!H733))</f>
        <v>2</v>
      </c>
      <c r="I739" s="41">
        <f>ABS(I$5-(6-'4JSON'!I733))</f>
        <v>1</v>
      </c>
      <c r="J739" s="41">
        <f>ABS(J$5-(6-'4JSON'!J733))</f>
        <v>1</v>
      </c>
      <c r="K739" s="41">
        <f>ABS(K$5-(6-'4JSON'!K733))</f>
        <v>1</v>
      </c>
      <c r="L739" s="41">
        <f>ABS(L$5-(6-'4JSON'!L733))</f>
        <v>1</v>
      </c>
      <c r="M739" s="36">
        <f t="shared" si="1"/>
        <v>11</v>
      </c>
      <c r="N739" s="42">
        <f t="shared" si="2"/>
        <v>0.6944444444</v>
      </c>
    </row>
    <row r="740">
      <c r="A740" s="35">
        <f>'4JSON'!A734</f>
        <v>6232</v>
      </c>
      <c r="B740" s="25" t="str">
        <f>'4JSON'!B734</f>
        <v>Real Estate Agents and Salespersons</v>
      </c>
      <c r="C740" s="41" t="str">
        <f>'4JSON'!C734</f>
        <v>Real estate agents and salespersons</v>
      </c>
      <c r="D740" s="41">
        <f>ABS(D$5-(6-'4JSON'!D734))</f>
        <v>1</v>
      </c>
      <c r="E740" s="41">
        <f>ABS(E$5-(6-'4JSON'!E734))</f>
        <v>0</v>
      </c>
      <c r="F740" s="41">
        <f>ABS(F$5-(6-'4JSON'!F734))</f>
        <v>0</v>
      </c>
      <c r="G740" s="41">
        <f>ABS(G$5-(6-'4JSON'!G734))</f>
        <v>1</v>
      </c>
      <c r="H740" s="41">
        <f>ABS(H$5-(6-'4JSON'!H734))</f>
        <v>2</v>
      </c>
      <c r="I740" s="41">
        <f>ABS(I$5-(6-'4JSON'!I734))</f>
        <v>0</v>
      </c>
      <c r="J740" s="41">
        <f>ABS(J$5-(6-'4JSON'!J734))</f>
        <v>1</v>
      </c>
      <c r="K740" s="41">
        <f>ABS(K$5-(6-'4JSON'!K734))</f>
        <v>1</v>
      </c>
      <c r="L740" s="41">
        <f>ABS(L$5-(6-'4JSON'!L734))</f>
        <v>1</v>
      </c>
      <c r="M740" s="36">
        <f t="shared" si="1"/>
        <v>7</v>
      </c>
      <c r="N740" s="42">
        <f t="shared" si="2"/>
        <v>0.8055555556</v>
      </c>
    </row>
    <row r="741">
      <c r="A741" s="35">
        <f>'4JSON'!A735</f>
        <v>513</v>
      </c>
      <c r="B741" s="25" t="str">
        <f>'4JSON'!B735</f>
        <v>Recreation and Sports Program and Service Directors</v>
      </c>
      <c r="C741" s="41" t="str">
        <f>'4JSON'!C735</f>
        <v>Recreation, sports and fitness program and service directors</v>
      </c>
      <c r="D741" s="41">
        <f>ABS(D$5-(6-'4JSON'!D735))</f>
        <v>2</v>
      </c>
      <c r="E741" s="41">
        <f>ABS(E$5-(6-'4JSON'!E735))</f>
        <v>1</v>
      </c>
      <c r="F741" s="41">
        <f>ABS(F$5-(6-'4JSON'!F735))</f>
        <v>0</v>
      </c>
      <c r="G741" s="41">
        <f>ABS(G$5-(6-'4JSON'!G735))</f>
        <v>1</v>
      </c>
      <c r="H741" s="41">
        <f>ABS(H$5-(6-'4JSON'!H735))</f>
        <v>2</v>
      </c>
      <c r="I741" s="41">
        <f>ABS(I$5-(6-'4JSON'!I735))</f>
        <v>0</v>
      </c>
      <c r="J741" s="41">
        <f>ABS(J$5-(6-'4JSON'!J735))</f>
        <v>1</v>
      </c>
      <c r="K741" s="41">
        <f>ABS(K$5-(6-'4JSON'!K735))</f>
        <v>1</v>
      </c>
      <c r="L741" s="41">
        <f>ABS(L$5-(6-'4JSON'!L735))</f>
        <v>1</v>
      </c>
      <c r="M741" s="36">
        <f t="shared" si="1"/>
        <v>9</v>
      </c>
      <c r="N741" s="42">
        <f t="shared" si="2"/>
        <v>0.75</v>
      </c>
    </row>
    <row r="742">
      <c r="A742" s="35">
        <f>'4JSON'!A736</f>
        <v>4167</v>
      </c>
      <c r="B742" s="25" t="str">
        <f>'4JSON'!B736</f>
        <v>Recreation, Sports and Fitness Policy Analysts</v>
      </c>
      <c r="C742" s="41" t="str">
        <f>'4JSON'!C736</f>
        <v>Recreation, sports and fitness policy researchers, consultants and program officers</v>
      </c>
      <c r="D742" s="41">
        <f>ABS(D$5-(6-'4JSON'!D736))</f>
        <v>2</v>
      </c>
      <c r="E742" s="41">
        <f>ABS(E$5-(6-'4JSON'!E736))</f>
        <v>1</v>
      </c>
      <c r="F742" s="41">
        <f>ABS(F$5-(6-'4JSON'!F736))</f>
        <v>0</v>
      </c>
      <c r="G742" s="41">
        <f>ABS(G$5-(6-'4JSON'!G736))</f>
        <v>1</v>
      </c>
      <c r="H742" s="41">
        <f>ABS(H$5-(6-'4JSON'!H736))</f>
        <v>2</v>
      </c>
      <c r="I742" s="41">
        <f>ABS(I$5-(6-'4JSON'!I736))</f>
        <v>0</v>
      </c>
      <c r="J742" s="41">
        <f>ABS(J$5-(6-'4JSON'!J736))</f>
        <v>1</v>
      </c>
      <c r="K742" s="41">
        <f>ABS(K$5-(6-'4JSON'!K736))</f>
        <v>1</v>
      </c>
      <c r="L742" s="41">
        <f>ABS(L$5-(6-'4JSON'!L736))</f>
        <v>1</v>
      </c>
      <c r="M742" s="36">
        <f t="shared" si="1"/>
        <v>9</v>
      </c>
      <c r="N742" s="42">
        <f t="shared" si="2"/>
        <v>0.75</v>
      </c>
    </row>
    <row r="743">
      <c r="A743" s="35">
        <f>'4JSON'!A737</f>
        <v>712</v>
      </c>
      <c r="B743" s="25" t="str">
        <f>'4JSON'!B737</f>
        <v>Residential Home Builders and Renovators</v>
      </c>
      <c r="C743" s="41" t="str">
        <f>'4JSON'!C737</f>
        <v>Home building and renovation managers</v>
      </c>
      <c r="D743" s="41">
        <f>ABS(D$5-(6-'4JSON'!D737))</f>
        <v>1</v>
      </c>
      <c r="E743" s="41">
        <f>ABS(E$5-(6-'4JSON'!E737))</f>
        <v>0</v>
      </c>
      <c r="F743" s="41">
        <f>ABS(F$5-(6-'4JSON'!F737))</f>
        <v>0</v>
      </c>
      <c r="G743" s="41">
        <f>ABS(G$5-(6-'4JSON'!G737))</f>
        <v>0</v>
      </c>
      <c r="H743" s="41">
        <f>ABS(H$5-(6-'4JSON'!H737))</f>
        <v>2</v>
      </c>
      <c r="I743" s="41">
        <f>ABS(I$5-(6-'4JSON'!I737))</f>
        <v>1</v>
      </c>
      <c r="J743" s="41">
        <f>ABS(J$5-(6-'4JSON'!J737))</f>
        <v>1</v>
      </c>
      <c r="K743" s="41">
        <f>ABS(K$5-(6-'4JSON'!K737))</f>
        <v>1</v>
      </c>
      <c r="L743" s="41">
        <f>ABS(L$5-(6-'4JSON'!L737))</f>
        <v>1</v>
      </c>
      <c r="M743" s="36">
        <f t="shared" si="1"/>
        <v>7</v>
      </c>
      <c r="N743" s="42">
        <f t="shared" si="2"/>
        <v>0.8055555556</v>
      </c>
    </row>
    <row r="744">
      <c r="A744" s="35">
        <f>'4JSON'!A738</f>
        <v>631</v>
      </c>
      <c r="B744" s="25" t="str">
        <f>'4JSON'!B738</f>
        <v>Restaurant and Food Service Managers</v>
      </c>
      <c r="C744" s="41" t="str">
        <f>'4JSON'!C738</f>
        <v>Restaurant and food service managers</v>
      </c>
      <c r="D744" s="41">
        <f>ABS(D$5-(6-'4JSON'!D738))</f>
        <v>1</v>
      </c>
      <c r="E744" s="41">
        <f>ABS(E$5-(6-'4JSON'!E738))</f>
        <v>0</v>
      </c>
      <c r="F744" s="41">
        <f>ABS(F$5-(6-'4JSON'!F738))</f>
        <v>0</v>
      </c>
      <c r="G744" s="41">
        <f>ABS(G$5-(6-'4JSON'!G738))</f>
        <v>1</v>
      </c>
      <c r="H744" s="41">
        <f>ABS(H$5-(6-'4JSON'!H738))</f>
        <v>2</v>
      </c>
      <c r="I744" s="41">
        <f>ABS(I$5-(6-'4JSON'!I738))</f>
        <v>0</v>
      </c>
      <c r="J744" s="41">
        <f>ABS(J$5-(6-'4JSON'!J738))</f>
        <v>1</v>
      </c>
      <c r="K744" s="41">
        <f>ABS(K$5-(6-'4JSON'!K738))</f>
        <v>1</v>
      </c>
      <c r="L744" s="41">
        <f>ABS(L$5-(6-'4JSON'!L738))</f>
        <v>1</v>
      </c>
      <c r="M744" s="36">
        <f t="shared" si="1"/>
        <v>7</v>
      </c>
      <c r="N744" s="42">
        <f t="shared" si="2"/>
        <v>0.8055555556</v>
      </c>
    </row>
    <row r="745">
      <c r="A745" s="35">
        <f>'4JSON'!A739</f>
        <v>6541</v>
      </c>
      <c r="B745" s="25" t="str">
        <f>'4JSON'!B739</f>
        <v>Retail Loss Prevention Officers</v>
      </c>
      <c r="C745" s="41" t="str">
        <f>'4JSON'!C739</f>
        <v>Security guards and related security service occupations</v>
      </c>
      <c r="D745" s="41">
        <f>ABS(D$5-(6-'4JSON'!D739))</f>
        <v>1</v>
      </c>
      <c r="E745" s="41">
        <f>ABS(E$5-(6-'4JSON'!E739))</f>
        <v>0</v>
      </c>
      <c r="F745" s="41">
        <f>ABS(F$5-(6-'4JSON'!F739))</f>
        <v>1</v>
      </c>
      <c r="G745" s="41">
        <f>ABS(G$5-(6-'4JSON'!G739))</f>
        <v>1</v>
      </c>
      <c r="H745" s="41">
        <f>ABS(H$5-(6-'4JSON'!H739))</f>
        <v>2</v>
      </c>
      <c r="I745" s="41">
        <f>ABS(I$5-(6-'4JSON'!I739))</f>
        <v>1</v>
      </c>
      <c r="J745" s="41">
        <f>ABS(J$5-(6-'4JSON'!J739))</f>
        <v>1</v>
      </c>
      <c r="K745" s="41">
        <f>ABS(K$5-(6-'4JSON'!K739))</f>
        <v>1</v>
      </c>
      <c r="L745" s="41">
        <f>ABS(L$5-(6-'4JSON'!L739))</f>
        <v>1</v>
      </c>
      <c r="M745" s="36">
        <f t="shared" si="1"/>
        <v>9</v>
      </c>
      <c r="N745" s="42">
        <f t="shared" si="2"/>
        <v>0.75</v>
      </c>
    </row>
    <row r="746">
      <c r="A746" s="35">
        <f>'4JSON'!A740</f>
        <v>6421</v>
      </c>
      <c r="B746" s="25" t="str">
        <f>'4JSON'!B740</f>
        <v>Retail Salespersons and Sales Clerks</v>
      </c>
      <c r="C746" s="41" t="str">
        <f>'4JSON'!C740</f>
        <v>Retail salespersons</v>
      </c>
      <c r="D746" s="41">
        <f>ABS(D$5-(6-'4JSON'!D740))</f>
        <v>1</v>
      </c>
      <c r="E746" s="41">
        <f>ABS(E$5-(6-'4JSON'!E740))</f>
        <v>0</v>
      </c>
      <c r="F746" s="41">
        <f>ABS(F$5-(6-'4JSON'!F740))</f>
        <v>0</v>
      </c>
      <c r="G746" s="41">
        <f>ABS(G$5-(6-'4JSON'!G740))</f>
        <v>1</v>
      </c>
      <c r="H746" s="41">
        <f>ABS(H$5-(6-'4JSON'!H740))</f>
        <v>2</v>
      </c>
      <c r="I746" s="41">
        <f>ABS(I$5-(6-'4JSON'!I740))</f>
        <v>0</v>
      </c>
      <c r="J746" s="41">
        <f>ABS(J$5-(6-'4JSON'!J740))</f>
        <v>1</v>
      </c>
      <c r="K746" s="41">
        <f>ABS(K$5-(6-'4JSON'!K740))</f>
        <v>1</v>
      </c>
      <c r="L746" s="41">
        <f>ABS(L$5-(6-'4JSON'!L740))</f>
        <v>1</v>
      </c>
      <c r="M746" s="36">
        <f t="shared" si="1"/>
        <v>7</v>
      </c>
      <c r="N746" s="42">
        <f t="shared" si="2"/>
        <v>0.8055555556</v>
      </c>
    </row>
    <row r="747">
      <c r="A747" s="35">
        <f>'4JSON'!A741</f>
        <v>621</v>
      </c>
      <c r="B747" s="25" t="str">
        <f>'4JSON'!B741</f>
        <v>Retail Trade Managers</v>
      </c>
      <c r="C747" s="41" t="str">
        <f>'4JSON'!C741</f>
        <v>Retail and wholesale trade managers</v>
      </c>
      <c r="D747" s="41">
        <f>ABS(D$5-(6-'4JSON'!D741))</f>
        <v>1</v>
      </c>
      <c r="E747" s="41">
        <f>ABS(E$5-(6-'4JSON'!E741))</f>
        <v>0</v>
      </c>
      <c r="F747" s="41">
        <f>ABS(F$5-(6-'4JSON'!F741))</f>
        <v>0</v>
      </c>
      <c r="G747" s="41">
        <f>ABS(G$5-(6-'4JSON'!G741))</f>
        <v>1</v>
      </c>
      <c r="H747" s="41">
        <f>ABS(H$5-(6-'4JSON'!H741))</f>
        <v>2</v>
      </c>
      <c r="I747" s="41">
        <f>ABS(I$5-(6-'4JSON'!I741))</f>
        <v>0</v>
      </c>
      <c r="J747" s="41">
        <f>ABS(J$5-(6-'4JSON'!J741))</f>
        <v>1</v>
      </c>
      <c r="K747" s="41">
        <f>ABS(K$5-(6-'4JSON'!K741))</f>
        <v>1</v>
      </c>
      <c r="L747" s="41">
        <f>ABS(L$5-(6-'4JSON'!L741))</f>
        <v>1</v>
      </c>
      <c r="M747" s="36">
        <f t="shared" si="1"/>
        <v>7</v>
      </c>
      <c r="N747" s="42">
        <f t="shared" si="2"/>
        <v>0.8055555556</v>
      </c>
    </row>
    <row r="748">
      <c r="A748" s="35">
        <f>'4JSON'!A742</f>
        <v>6211</v>
      </c>
      <c r="B748" s="25" t="str">
        <f>'4JSON'!B742</f>
        <v>Retail Trade Supervisors</v>
      </c>
      <c r="C748" s="41" t="str">
        <f>'4JSON'!C742</f>
        <v>Retail sales supervisors</v>
      </c>
      <c r="D748" s="41">
        <f>ABS(D$5-(6-'4JSON'!D742))</f>
        <v>1</v>
      </c>
      <c r="E748" s="41">
        <f>ABS(E$5-(6-'4JSON'!E742))</f>
        <v>0</v>
      </c>
      <c r="F748" s="41">
        <f>ABS(F$5-(6-'4JSON'!F742))</f>
        <v>0</v>
      </c>
      <c r="G748" s="41">
        <f>ABS(G$5-(6-'4JSON'!G742))</f>
        <v>1</v>
      </c>
      <c r="H748" s="41">
        <f>ABS(H$5-(6-'4JSON'!H742))</f>
        <v>2</v>
      </c>
      <c r="I748" s="41">
        <f>ABS(I$5-(6-'4JSON'!I742))</f>
        <v>0</v>
      </c>
      <c r="J748" s="41">
        <f>ABS(J$5-(6-'4JSON'!J742))</f>
        <v>1</v>
      </c>
      <c r="K748" s="41">
        <f>ABS(K$5-(6-'4JSON'!K742))</f>
        <v>1</v>
      </c>
      <c r="L748" s="41">
        <f>ABS(L$5-(6-'4JSON'!L742))</f>
        <v>1</v>
      </c>
      <c r="M748" s="36">
        <f t="shared" si="1"/>
        <v>7</v>
      </c>
      <c r="N748" s="42">
        <f t="shared" si="2"/>
        <v>0.8055555556</v>
      </c>
    </row>
    <row r="749">
      <c r="A749" s="35">
        <f>'4JSON'!A743</f>
        <v>6411</v>
      </c>
      <c r="B749" s="25" t="str">
        <f>'4JSON'!B743</f>
        <v>Sales Representatives - Wholesale Trade (Non-Technical)</v>
      </c>
      <c r="C749" s="41" t="str">
        <f>'4JSON'!C743</f>
        <v>Sales and account representatives - wholesale trade (non-technical)</v>
      </c>
      <c r="D749" s="41">
        <f>ABS(D$5-(6-'4JSON'!D743))</f>
        <v>1</v>
      </c>
      <c r="E749" s="41">
        <f>ABS(E$5-(6-'4JSON'!E743))</f>
        <v>0</v>
      </c>
      <c r="F749" s="41">
        <f>ABS(F$5-(6-'4JSON'!F743))</f>
        <v>0</v>
      </c>
      <c r="G749" s="41">
        <f>ABS(G$5-(6-'4JSON'!G743))</f>
        <v>1</v>
      </c>
      <c r="H749" s="41">
        <f>ABS(H$5-(6-'4JSON'!H743))</f>
        <v>2</v>
      </c>
      <c r="I749" s="41">
        <f>ABS(I$5-(6-'4JSON'!I743))</f>
        <v>0</v>
      </c>
      <c r="J749" s="41">
        <f>ABS(J$5-(6-'4JSON'!J743))</f>
        <v>1</v>
      </c>
      <c r="K749" s="41">
        <f>ABS(K$5-(6-'4JSON'!K743))</f>
        <v>1</v>
      </c>
      <c r="L749" s="41">
        <f>ABS(L$5-(6-'4JSON'!L743))</f>
        <v>1</v>
      </c>
      <c r="M749" s="36">
        <f t="shared" si="1"/>
        <v>7</v>
      </c>
      <c r="N749" s="42">
        <f t="shared" si="2"/>
        <v>0.8055555556</v>
      </c>
    </row>
    <row r="750">
      <c r="A750" s="35">
        <f>'4JSON'!A744</f>
        <v>4031</v>
      </c>
      <c r="B750" s="25" t="str">
        <f>'4JSON'!B744</f>
        <v>Secondary School Teachers</v>
      </c>
      <c r="C750" s="41" t="str">
        <f>'4JSON'!C744</f>
        <v>Secondary school teachers</v>
      </c>
      <c r="D750" s="41">
        <f>ABS(D$5-(6-'4JSON'!D744))</f>
        <v>2</v>
      </c>
      <c r="E750" s="41">
        <f>ABS(E$5-(6-'4JSON'!E744))</f>
        <v>1</v>
      </c>
      <c r="F750" s="41">
        <f>ABS(F$5-(6-'4JSON'!F744))</f>
        <v>1</v>
      </c>
      <c r="G750" s="41">
        <f>ABS(G$5-(6-'4JSON'!G744))</f>
        <v>1</v>
      </c>
      <c r="H750" s="41">
        <f>ABS(H$5-(6-'4JSON'!H744))</f>
        <v>1</v>
      </c>
      <c r="I750" s="41">
        <f>ABS(I$5-(6-'4JSON'!I744))</f>
        <v>0</v>
      </c>
      <c r="J750" s="41">
        <f>ABS(J$5-(6-'4JSON'!J744))</f>
        <v>1</v>
      </c>
      <c r="K750" s="41">
        <f>ABS(K$5-(6-'4JSON'!K744))</f>
        <v>1</v>
      </c>
      <c r="L750" s="41">
        <f>ABS(L$5-(6-'4JSON'!L744))</f>
        <v>1</v>
      </c>
      <c r="M750" s="36">
        <f t="shared" si="1"/>
        <v>9</v>
      </c>
      <c r="N750" s="42">
        <f t="shared" si="2"/>
        <v>0.75</v>
      </c>
    </row>
    <row r="751">
      <c r="A751" s="35">
        <f>'4JSON'!A745</f>
        <v>6721</v>
      </c>
      <c r="B751" s="25" t="str">
        <f>'4JSON'!B745</f>
        <v>Ship Attendants</v>
      </c>
      <c r="C751" s="41" t="str">
        <f>'4JSON'!C745</f>
        <v>Support occupations in accommodation, travel and facilities set-up services</v>
      </c>
      <c r="D751" s="41">
        <f>ABS(D$5-(6-'4JSON'!D745))</f>
        <v>0</v>
      </c>
      <c r="E751" s="41">
        <f>ABS(E$5-(6-'4JSON'!E745))</f>
        <v>1</v>
      </c>
      <c r="F751" s="41">
        <f>ABS(F$5-(6-'4JSON'!F745))</f>
        <v>1</v>
      </c>
      <c r="G751" s="41">
        <f>ABS(G$5-(6-'4JSON'!G745))</f>
        <v>1</v>
      </c>
      <c r="H751" s="41">
        <f>ABS(H$5-(6-'4JSON'!H745))</f>
        <v>2</v>
      </c>
      <c r="I751" s="41">
        <f>ABS(I$5-(6-'4JSON'!I745))</f>
        <v>2</v>
      </c>
      <c r="J751" s="41">
        <f>ABS(J$5-(6-'4JSON'!J745))</f>
        <v>1</v>
      </c>
      <c r="K751" s="41">
        <f>ABS(K$5-(6-'4JSON'!K745))</f>
        <v>1</v>
      </c>
      <c r="L751" s="41">
        <f>ABS(L$5-(6-'4JSON'!L745))</f>
        <v>0</v>
      </c>
      <c r="M751" s="36">
        <f t="shared" si="1"/>
        <v>9</v>
      </c>
      <c r="N751" s="42">
        <f t="shared" si="2"/>
        <v>0.75</v>
      </c>
    </row>
    <row r="752">
      <c r="A752" s="35">
        <f>'4JSON'!A746</f>
        <v>1315</v>
      </c>
      <c r="B752" s="25" t="str">
        <f>'4JSON'!B746</f>
        <v>Ship Brokers</v>
      </c>
      <c r="C752" s="41" t="str">
        <f>'4JSON'!C746</f>
        <v>Customs, ship and other brokers</v>
      </c>
      <c r="D752" s="41">
        <f>ABS(D$5-(6-'4JSON'!D746))</f>
        <v>2</v>
      </c>
      <c r="E752" s="41">
        <f>ABS(E$5-(6-'4JSON'!E746))</f>
        <v>1</v>
      </c>
      <c r="F752" s="41">
        <f>ABS(F$5-(6-'4JSON'!F746))</f>
        <v>0</v>
      </c>
      <c r="G752" s="41">
        <f>ABS(G$5-(6-'4JSON'!G746))</f>
        <v>1</v>
      </c>
      <c r="H752" s="41">
        <f>ABS(H$5-(6-'4JSON'!H746))</f>
        <v>2</v>
      </c>
      <c r="I752" s="41">
        <f>ABS(I$5-(6-'4JSON'!I746))</f>
        <v>0</v>
      </c>
      <c r="J752" s="41">
        <f>ABS(J$5-(6-'4JSON'!J746))</f>
        <v>1</v>
      </c>
      <c r="K752" s="41">
        <f>ABS(K$5-(6-'4JSON'!K746))</f>
        <v>1</v>
      </c>
      <c r="L752" s="41">
        <f>ABS(L$5-(6-'4JSON'!L746))</f>
        <v>1</v>
      </c>
      <c r="M752" s="36">
        <f t="shared" si="1"/>
        <v>9</v>
      </c>
      <c r="N752" s="42">
        <f t="shared" si="2"/>
        <v>0.75</v>
      </c>
    </row>
    <row r="753">
      <c r="A753" s="35">
        <f>'4JSON'!A747</f>
        <v>4164</v>
      </c>
      <c r="B753" s="25" t="str">
        <f>'4JSON'!B747</f>
        <v>Social Policy Researchers</v>
      </c>
      <c r="C753" s="41" t="str">
        <f>'4JSON'!C747</f>
        <v>Social policy researchers, consultants and program officers</v>
      </c>
      <c r="D753" s="41">
        <f>ABS(D$5-(6-'4JSON'!D747))</f>
        <v>2</v>
      </c>
      <c r="E753" s="41">
        <f>ABS(E$5-(6-'4JSON'!E747))</f>
        <v>1</v>
      </c>
      <c r="F753" s="41">
        <f>ABS(F$5-(6-'4JSON'!F747))</f>
        <v>0</v>
      </c>
      <c r="G753" s="41">
        <f>ABS(G$5-(6-'4JSON'!G747))</f>
        <v>1</v>
      </c>
      <c r="H753" s="41">
        <f>ABS(H$5-(6-'4JSON'!H747))</f>
        <v>2</v>
      </c>
      <c r="I753" s="41">
        <f>ABS(I$5-(6-'4JSON'!I747))</f>
        <v>0</v>
      </c>
      <c r="J753" s="41">
        <f>ABS(J$5-(6-'4JSON'!J747))</f>
        <v>1</v>
      </c>
      <c r="K753" s="41">
        <f>ABS(K$5-(6-'4JSON'!K747))</f>
        <v>1</v>
      </c>
      <c r="L753" s="41">
        <f>ABS(L$5-(6-'4JSON'!L747))</f>
        <v>1</v>
      </c>
      <c r="M753" s="36">
        <f t="shared" si="1"/>
        <v>9</v>
      </c>
      <c r="N753" s="42">
        <f t="shared" si="2"/>
        <v>0.75</v>
      </c>
    </row>
    <row r="754">
      <c r="A754" s="35">
        <f>'4JSON'!A748</f>
        <v>4164</v>
      </c>
      <c r="B754" s="25" t="str">
        <f>'4JSON'!B748</f>
        <v>Social Services Planners</v>
      </c>
      <c r="C754" s="41" t="str">
        <f>'4JSON'!C748</f>
        <v>Social policy researchers, consultants and program officers</v>
      </c>
      <c r="D754" s="41">
        <f>ABS(D$5-(6-'4JSON'!D748))</f>
        <v>2</v>
      </c>
      <c r="E754" s="41">
        <f>ABS(E$5-(6-'4JSON'!E748))</f>
        <v>1</v>
      </c>
      <c r="F754" s="41">
        <f>ABS(F$5-(6-'4JSON'!F748))</f>
        <v>0</v>
      </c>
      <c r="G754" s="41">
        <f>ABS(G$5-(6-'4JSON'!G748))</f>
        <v>1</v>
      </c>
      <c r="H754" s="41">
        <f>ABS(H$5-(6-'4JSON'!H748))</f>
        <v>2</v>
      </c>
      <c r="I754" s="41">
        <f>ABS(I$5-(6-'4JSON'!I748))</f>
        <v>0</v>
      </c>
      <c r="J754" s="41">
        <f>ABS(J$5-(6-'4JSON'!J748))</f>
        <v>1</v>
      </c>
      <c r="K754" s="41">
        <f>ABS(K$5-(6-'4JSON'!K748))</f>
        <v>1</v>
      </c>
      <c r="L754" s="41">
        <f>ABS(L$5-(6-'4JSON'!L748))</f>
        <v>1</v>
      </c>
      <c r="M754" s="36">
        <f t="shared" si="1"/>
        <v>9</v>
      </c>
      <c r="N754" s="42">
        <f t="shared" si="2"/>
        <v>0.75</v>
      </c>
    </row>
    <row r="755">
      <c r="A755" s="35">
        <f>'4JSON'!A749</f>
        <v>4152</v>
      </c>
      <c r="B755" s="25" t="str">
        <f>'4JSON'!B749</f>
        <v>Social Workers</v>
      </c>
      <c r="C755" s="41" t="str">
        <f>'4JSON'!C749</f>
        <v>Social workers</v>
      </c>
      <c r="D755" s="41">
        <f>ABS(D$5-(6-'4JSON'!D749))</f>
        <v>2</v>
      </c>
      <c r="E755" s="41">
        <f>ABS(E$5-(6-'4JSON'!E749))</f>
        <v>1</v>
      </c>
      <c r="F755" s="41">
        <f>ABS(F$5-(6-'4JSON'!F749))</f>
        <v>0</v>
      </c>
      <c r="G755" s="41">
        <f>ABS(G$5-(6-'4JSON'!G749))</f>
        <v>1</v>
      </c>
      <c r="H755" s="41">
        <f>ABS(H$5-(6-'4JSON'!H749))</f>
        <v>2</v>
      </c>
      <c r="I755" s="41">
        <f>ABS(I$5-(6-'4JSON'!I749))</f>
        <v>0</v>
      </c>
      <c r="J755" s="41">
        <f>ABS(J$5-(6-'4JSON'!J749))</f>
        <v>1</v>
      </c>
      <c r="K755" s="41">
        <f>ABS(K$5-(6-'4JSON'!K749))</f>
        <v>1</v>
      </c>
      <c r="L755" s="41">
        <f>ABS(L$5-(6-'4JSON'!L749))</f>
        <v>1</v>
      </c>
      <c r="M755" s="36">
        <f t="shared" si="1"/>
        <v>9</v>
      </c>
      <c r="N755" s="42">
        <f t="shared" si="2"/>
        <v>0.75</v>
      </c>
    </row>
    <row r="756">
      <c r="A756" s="35">
        <f>'4JSON'!A750</f>
        <v>2147</v>
      </c>
      <c r="B756" s="25" t="str">
        <f>'4JSON'!B750</f>
        <v>Software Engineers</v>
      </c>
      <c r="C756" s="41" t="str">
        <f>'4JSON'!C750</f>
        <v>Computer engineers (except software engineers and designers)</v>
      </c>
      <c r="D756" s="41">
        <f>ABS(D$5-(6-'4JSON'!D750))</f>
        <v>3</v>
      </c>
      <c r="E756" s="41">
        <f>ABS(E$5-(6-'4JSON'!E750))</f>
        <v>1</v>
      </c>
      <c r="F756" s="41">
        <f>ABS(F$5-(6-'4JSON'!F750))</f>
        <v>2</v>
      </c>
      <c r="G756" s="41">
        <f>ABS(G$5-(6-'4JSON'!G750))</f>
        <v>1</v>
      </c>
      <c r="H756" s="41">
        <f>ABS(H$5-(6-'4JSON'!H750))</f>
        <v>1</v>
      </c>
      <c r="I756" s="41">
        <f>ABS(I$5-(6-'4JSON'!I750))</f>
        <v>0</v>
      </c>
      <c r="J756" s="41">
        <f>ABS(J$5-(6-'4JSON'!J750))</f>
        <v>1</v>
      </c>
      <c r="K756" s="41">
        <f>ABS(K$5-(6-'4JSON'!K750))</f>
        <v>1</v>
      </c>
      <c r="L756" s="41">
        <f>ABS(L$5-(6-'4JSON'!L750))</f>
        <v>1</v>
      </c>
      <c r="M756" s="36">
        <f t="shared" si="1"/>
        <v>11</v>
      </c>
      <c r="N756" s="42">
        <f t="shared" si="2"/>
        <v>0.6944444444</v>
      </c>
    </row>
    <row r="757">
      <c r="A757" s="35">
        <f>'4JSON'!A751</f>
        <v>2115</v>
      </c>
      <c r="B757" s="25" t="str">
        <f>'4JSON'!B751</f>
        <v>Soil Scientists</v>
      </c>
      <c r="C757" s="41" t="str">
        <f>'4JSON'!C751</f>
        <v>Other professional occupations in physical sciences</v>
      </c>
      <c r="D757" s="41">
        <f>ABS(D$5-(6-'4JSON'!D751))</f>
        <v>3</v>
      </c>
      <c r="E757" s="41">
        <f>ABS(E$5-(6-'4JSON'!E751))</f>
        <v>2</v>
      </c>
      <c r="F757" s="41">
        <f>ABS(F$5-(6-'4JSON'!F751))</f>
        <v>2</v>
      </c>
      <c r="G757" s="41">
        <f>ABS(G$5-(6-'4JSON'!G751))</f>
        <v>1</v>
      </c>
      <c r="H757" s="41">
        <f>ABS(H$5-(6-'4JSON'!H751))</f>
        <v>0</v>
      </c>
      <c r="I757" s="41">
        <f>ABS(I$5-(6-'4JSON'!I751))</f>
        <v>1</v>
      </c>
      <c r="J757" s="41">
        <f>ABS(J$5-(6-'4JSON'!J751))</f>
        <v>0</v>
      </c>
      <c r="K757" s="41">
        <f>ABS(K$5-(6-'4JSON'!K751))</f>
        <v>0</v>
      </c>
      <c r="L757" s="41">
        <f>ABS(L$5-(6-'4JSON'!L751))</f>
        <v>0</v>
      </c>
      <c r="M757" s="36">
        <f t="shared" si="1"/>
        <v>9</v>
      </c>
      <c r="N757" s="42">
        <f t="shared" si="2"/>
        <v>0.75</v>
      </c>
    </row>
    <row r="758">
      <c r="A758" s="35">
        <f>'4JSON'!A752</f>
        <v>1121</v>
      </c>
      <c r="B758" s="25" t="str">
        <f>'4JSON'!B752</f>
        <v>Specialists in Human Resources</v>
      </c>
      <c r="C758" s="41" t="str">
        <f>'4JSON'!C752</f>
        <v>Human resources professionals</v>
      </c>
      <c r="D758" s="41">
        <f>ABS(D$5-(6-'4JSON'!D752))</f>
        <v>2</v>
      </c>
      <c r="E758" s="41">
        <f>ABS(E$5-(6-'4JSON'!E752))</f>
        <v>1</v>
      </c>
      <c r="F758" s="41">
        <f>ABS(F$5-(6-'4JSON'!F752))</f>
        <v>0</v>
      </c>
      <c r="G758" s="41">
        <f>ABS(G$5-(6-'4JSON'!G752))</f>
        <v>1</v>
      </c>
      <c r="H758" s="41">
        <f>ABS(H$5-(6-'4JSON'!H752))</f>
        <v>2</v>
      </c>
      <c r="I758" s="41">
        <f>ABS(I$5-(6-'4JSON'!I752))</f>
        <v>0</v>
      </c>
      <c r="J758" s="41">
        <f>ABS(J$5-(6-'4JSON'!J752))</f>
        <v>1</v>
      </c>
      <c r="K758" s="41">
        <f>ABS(K$5-(6-'4JSON'!K752))</f>
        <v>1</v>
      </c>
      <c r="L758" s="41">
        <f>ABS(L$5-(6-'4JSON'!L752))</f>
        <v>1</v>
      </c>
      <c r="M758" s="36">
        <f t="shared" si="1"/>
        <v>9</v>
      </c>
      <c r="N758" s="42">
        <f t="shared" si="2"/>
        <v>0.75</v>
      </c>
    </row>
    <row r="759">
      <c r="A759" s="35">
        <f>'4JSON'!A753</f>
        <v>3111</v>
      </c>
      <c r="B759" s="25" t="str">
        <f>'4JSON'!B753</f>
        <v>Specialists in Laboratory Medicine</v>
      </c>
      <c r="C759" s="41" t="str">
        <f>'4JSON'!C753</f>
        <v>Specialist physicians</v>
      </c>
      <c r="D759" s="41">
        <f>ABS(D$5-(6-'4JSON'!D753))</f>
        <v>3</v>
      </c>
      <c r="E759" s="41">
        <f>ABS(E$5-(6-'4JSON'!E753))</f>
        <v>2</v>
      </c>
      <c r="F759" s="41">
        <f>ABS(F$5-(6-'4JSON'!F753))</f>
        <v>2</v>
      </c>
      <c r="G759" s="41">
        <f>ABS(G$5-(6-'4JSON'!G753))</f>
        <v>1</v>
      </c>
      <c r="H759" s="41">
        <f>ABS(H$5-(6-'4JSON'!H753))</f>
        <v>0</v>
      </c>
      <c r="I759" s="41">
        <f>ABS(I$5-(6-'4JSON'!I753))</f>
        <v>0</v>
      </c>
      <c r="J759" s="41">
        <f>ABS(J$5-(6-'4JSON'!J753))</f>
        <v>0</v>
      </c>
      <c r="K759" s="41">
        <f>ABS(K$5-(6-'4JSON'!K753))</f>
        <v>1</v>
      </c>
      <c r="L759" s="41">
        <f>ABS(L$5-(6-'4JSON'!L753))</f>
        <v>0</v>
      </c>
      <c r="M759" s="36">
        <f t="shared" si="1"/>
        <v>9</v>
      </c>
      <c r="N759" s="42">
        <f t="shared" si="2"/>
        <v>0.75</v>
      </c>
    </row>
    <row r="760">
      <c r="A760" s="35">
        <f>'4JSON'!A754</f>
        <v>6623</v>
      </c>
      <c r="B760" s="25" t="str">
        <f>'4JSON'!B754</f>
        <v>Street Vendors</v>
      </c>
      <c r="C760" s="41" t="str">
        <f>'4JSON'!C754</f>
        <v>Other sales related occupations</v>
      </c>
      <c r="D760" s="41">
        <f>ABS(D$5-(6-'4JSON'!D754))</f>
        <v>0</v>
      </c>
      <c r="E760" s="41">
        <f>ABS(E$5-(6-'4JSON'!E754))</f>
        <v>1</v>
      </c>
      <c r="F760" s="41">
        <f>ABS(F$5-(6-'4JSON'!F754))</f>
        <v>1</v>
      </c>
      <c r="G760" s="41">
        <f>ABS(G$5-(6-'4JSON'!G754))</f>
        <v>1</v>
      </c>
      <c r="H760" s="41">
        <f>ABS(H$5-(6-'4JSON'!H754))</f>
        <v>2</v>
      </c>
      <c r="I760" s="41">
        <f>ABS(I$5-(6-'4JSON'!I754))</f>
        <v>1</v>
      </c>
      <c r="J760" s="41">
        <f>ABS(J$5-(6-'4JSON'!J754))</f>
        <v>1</v>
      </c>
      <c r="K760" s="41">
        <f>ABS(K$5-(6-'4JSON'!K754))</f>
        <v>1</v>
      </c>
      <c r="L760" s="41">
        <f>ABS(L$5-(6-'4JSON'!L754))</f>
        <v>1</v>
      </c>
      <c r="M760" s="36">
        <f t="shared" si="1"/>
        <v>9</v>
      </c>
      <c r="N760" s="42">
        <f t="shared" si="2"/>
        <v>0.75</v>
      </c>
    </row>
    <row r="761">
      <c r="A761" s="35">
        <f>'4JSON'!A755</f>
        <v>9213</v>
      </c>
      <c r="B761" s="25" t="str">
        <f>'4JSON'!B755</f>
        <v>Supervisors, Food, Beverage and Tobacco Processing</v>
      </c>
      <c r="C761" s="41" t="str">
        <f>'4JSON'!C755</f>
        <v>Supervisors, food, beverage and associated products processing</v>
      </c>
      <c r="D761" s="41">
        <f>ABS(D$5-(6-'4JSON'!D755))</f>
        <v>1</v>
      </c>
      <c r="E761" s="41">
        <f>ABS(E$5-(6-'4JSON'!E755))</f>
        <v>0</v>
      </c>
      <c r="F761" s="41">
        <f>ABS(F$5-(6-'4JSON'!F755))</f>
        <v>0</v>
      </c>
      <c r="G761" s="41">
        <f>ABS(G$5-(6-'4JSON'!G755))</f>
        <v>1</v>
      </c>
      <c r="H761" s="41">
        <f>ABS(H$5-(6-'4JSON'!H755))</f>
        <v>2</v>
      </c>
      <c r="I761" s="41">
        <f>ABS(I$5-(6-'4JSON'!I755))</f>
        <v>0</v>
      </c>
      <c r="J761" s="41">
        <f>ABS(J$5-(6-'4JSON'!J755))</f>
        <v>1</v>
      </c>
      <c r="K761" s="41">
        <f>ABS(K$5-(6-'4JSON'!K755))</f>
        <v>1</v>
      </c>
      <c r="L761" s="41">
        <f>ABS(L$5-(6-'4JSON'!L755))</f>
        <v>1</v>
      </c>
      <c r="M761" s="36">
        <f t="shared" si="1"/>
        <v>7</v>
      </c>
      <c r="N761" s="42">
        <f t="shared" si="2"/>
        <v>0.8055555556</v>
      </c>
    </row>
    <row r="762">
      <c r="A762" s="35">
        <f>'4JSON'!A756</f>
        <v>1211</v>
      </c>
      <c r="B762" s="25" t="str">
        <f>'4JSON'!B756</f>
        <v>Supervisors, General Office and Administrative Support Clerks</v>
      </c>
      <c r="C762" s="41" t="str">
        <f>'4JSON'!C756</f>
        <v>Supervisors, general office and administrative support workers</v>
      </c>
      <c r="D762" s="41">
        <f>ABS(D$5-(6-'4JSON'!D756))</f>
        <v>1</v>
      </c>
      <c r="E762" s="41">
        <f>ABS(E$5-(6-'4JSON'!E756))</f>
        <v>0</v>
      </c>
      <c r="F762" s="41">
        <f>ABS(F$5-(6-'4JSON'!F756))</f>
        <v>0</v>
      </c>
      <c r="G762" s="41">
        <f>ABS(G$5-(6-'4JSON'!G756))</f>
        <v>1</v>
      </c>
      <c r="H762" s="41">
        <f>ABS(H$5-(6-'4JSON'!H756))</f>
        <v>2</v>
      </c>
      <c r="I762" s="41">
        <f>ABS(I$5-(6-'4JSON'!I756))</f>
        <v>0</v>
      </c>
      <c r="J762" s="41">
        <f>ABS(J$5-(6-'4JSON'!J756))</f>
        <v>1</v>
      </c>
      <c r="K762" s="41">
        <f>ABS(K$5-(6-'4JSON'!K756))</f>
        <v>1</v>
      </c>
      <c r="L762" s="41">
        <f>ABS(L$5-(6-'4JSON'!L756))</f>
        <v>1</v>
      </c>
      <c r="M762" s="36">
        <f t="shared" si="1"/>
        <v>7</v>
      </c>
      <c r="N762" s="42">
        <f t="shared" si="2"/>
        <v>0.8055555556</v>
      </c>
    </row>
    <row r="763">
      <c r="A763" s="35">
        <f>'4JSON'!A757</f>
        <v>2225</v>
      </c>
      <c r="B763" s="25" t="str">
        <f>'4JSON'!B757</f>
        <v>Supervisors, Landscape and Horticulture</v>
      </c>
      <c r="C763" s="41" t="str">
        <f>'4JSON'!C757</f>
        <v>Landscape and horticulture technicians and specialists</v>
      </c>
      <c r="D763" s="41">
        <f>ABS(D$5-(6-'4JSON'!D757))</f>
        <v>1</v>
      </c>
      <c r="E763" s="41">
        <f>ABS(E$5-(6-'4JSON'!E757))</f>
        <v>0</v>
      </c>
      <c r="F763" s="41">
        <f>ABS(F$5-(6-'4JSON'!F757))</f>
        <v>1</v>
      </c>
      <c r="G763" s="41">
        <f>ABS(G$5-(6-'4JSON'!G757))</f>
        <v>1</v>
      </c>
      <c r="H763" s="41">
        <f>ABS(H$5-(6-'4JSON'!H757))</f>
        <v>2</v>
      </c>
      <c r="I763" s="41">
        <f>ABS(I$5-(6-'4JSON'!I757))</f>
        <v>1</v>
      </c>
      <c r="J763" s="41">
        <f>ABS(J$5-(6-'4JSON'!J757))</f>
        <v>1</v>
      </c>
      <c r="K763" s="41">
        <f>ABS(K$5-(6-'4JSON'!K757))</f>
        <v>1</v>
      </c>
      <c r="L763" s="41">
        <f>ABS(L$5-(6-'4JSON'!L757))</f>
        <v>1</v>
      </c>
      <c r="M763" s="36">
        <f t="shared" si="1"/>
        <v>9</v>
      </c>
      <c r="N763" s="42">
        <f t="shared" si="2"/>
        <v>0.75</v>
      </c>
    </row>
    <row r="764">
      <c r="A764" s="35">
        <f>'4JSON'!A758</f>
        <v>1215</v>
      </c>
      <c r="B764" s="25" t="str">
        <f>'4JSON'!B758</f>
        <v>Supervisors, Recording, Distributing and Scheduling Occupations</v>
      </c>
      <c r="C764" s="41" t="str">
        <f>'4JSON'!C758</f>
        <v>Supervisors, supply chain, tracking and scheduling co-ordination occupations</v>
      </c>
      <c r="D764" s="41">
        <f>ABS(D$5-(6-'4JSON'!D758))</f>
        <v>1</v>
      </c>
      <c r="E764" s="41">
        <f>ABS(E$5-(6-'4JSON'!E758))</f>
        <v>0</v>
      </c>
      <c r="F764" s="41">
        <f>ABS(F$5-(6-'4JSON'!F758))</f>
        <v>0</v>
      </c>
      <c r="G764" s="41">
        <f>ABS(G$5-(6-'4JSON'!G758))</f>
        <v>1</v>
      </c>
      <c r="H764" s="41">
        <f>ABS(H$5-(6-'4JSON'!H758))</f>
        <v>2</v>
      </c>
      <c r="I764" s="41">
        <f>ABS(I$5-(6-'4JSON'!I758))</f>
        <v>0</v>
      </c>
      <c r="J764" s="41">
        <f>ABS(J$5-(6-'4JSON'!J758))</f>
        <v>1</v>
      </c>
      <c r="K764" s="41">
        <f>ABS(K$5-(6-'4JSON'!K758))</f>
        <v>1</v>
      </c>
      <c r="L764" s="41">
        <f>ABS(L$5-(6-'4JSON'!L758))</f>
        <v>1</v>
      </c>
      <c r="M764" s="36">
        <f t="shared" si="1"/>
        <v>7</v>
      </c>
      <c r="N764" s="42">
        <f t="shared" si="2"/>
        <v>0.8055555556</v>
      </c>
    </row>
    <row r="765">
      <c r="A765" s="35">
        <f>'4JSON'!A759</f>
        <v>2171</v>
      </c>
      <c r="B765" s="25" t="str">
        <f>'4JSON'!B759</f>
        <v>Systems Security Analysts</v>
      </c>
      <c r="C765" s="41" t="str">
        <f>'4JSON'!C759</f>
        <v>Information systems analysts and consultants</v>
      </c>
      <c r="D765" s="41">
        <f>ABS(D$5-(6-'4JSON'!D759))</f>
        <v>2</v>
      </c>
      <c r="E765" s="41">
        <f>ABS(E$5-(6-'4JSON'!E759))</f>
        <v>1</v>
      </c>
      <c r="F765" s="41">
        <f>ABS(F$5-(6-'4JSON'!F759))</f>
        <v>1</v>
      </c>
      <c r="G765" s="41">
        <f>ABS(G$5-(6-'4JSON'!G759))</f>
        <v>1</v>
      </c>
      <c r="H765" s="41">
        <f>ABS(H$5-(6-'4JSON'!H759))</f>
        <v>0</v>
      </c>
      <c r="I765" s="41">
        <f>ABS(I$5-(6-'4JSON'!I759))</f>
        <v>1</v>
      </c>
      <c r="J765" s="41">
        <f>ABS(J$5-(6-'4JSON'!J759))</f>
        <v>1</v>
      </c>
      <c r="K765" s="41">
        <f>ABS(K$5-(6-'4JSON'!K759))</f>
        <v>1</v>
      </c>
      <c r="L765" s="41">
        <f>ABS(L$5-(6-'4JSON'!L759))</f>
        <v>1</v>
      </c>
      <c r="M765" s="36">
        <f t="shared" si="1"/>
        <v>9</v>
      </c>
      <c r="N765" s="42">
        <f t="shared" si="2"/>
        <v>0.75</v>
      </c>
    </row>
    <row r="766">
      <c r="A766" s="35">
        <f>'4JSON'!A760</f>
        <v>4423</v>
      </c>
      <c r="B766" s="25" t="str">
        <f>'4JSON'!B760</f>
        <v>Taxi Inspectors</v>
      </c>
      <c r="C766" s="41" t="str">
        <f>'4JSON'!C760</f>
        <v>By-law enforcement and other regulatory officers, n.e.c.</v>
      </c>
      <c r="D766" s="41">
        <f>ABS(D$5-(6-'4JSON'!D760))</f>
        <v>1</v>
      </c>
      <c r="E766" s="41">
        <f>ABS(E$5-(6-'4JSON'!E760))</f>
        <v>0</v>
      </c>
      <c r="F766" s="41">
        <f>ABS(F$5-(6-'4JSON'!F760))</f>
        <v>1</v>
      </c>
      <c r="G766" s="41">
        <f>ABS(G$5-(6-'4JSON'!G760))</f>
        <v>1</v>
      </c>
      <c r="H766" s="41">
        <f>ABS(H$5-(6-'4JSON'!H760))</f>
        <v>2</v>
      </c>
      <c r="I766" s="41">
        <f>ABS(I$5-(6-'4JSON'!I760))</f>
        <v>1</v>
      </c>
      <c r="J766" s="41">
        <f>ABS(J$5-(6-'4JSON'!J760))</f>
        <v>1</v>
      </c>
      <c r="K766" s="41">
        <f>ABS(K$5-(6-'4JSON'!K760))</f>
        <v>1</v>
      </c>
      <c r="L766" s="41">
        <f>ABS(L$5-(6-'4JSON'!L760))</f>
        <v>1</v>
      </c>
      <c r="M766" s="36">
        <f t="shared" si="1"/>
        <v>9</v>
      </c>
      <c r="N766" s="42">
        <f t="shared" si="2"/>
        <v>0.75</v>
      </c>
    </row>
    <row r="767">
      <c r="A767" s="35">
        <f>'4JSON'!A761</f>
        <v>131</v>
      </c>
      <c r="B767" s="25" t="str">
        <f>'4JSON'!B761</f>
        <v>Telecommunication Carriers Managers</v>
      </c>
      <c r="C767" s="41" t="str">
        <f>'4JSON'!C761</f>
        <v>Telecommunication carriers managers</v>
      </c>
      <c r="D767" s="41">
        <f>ABS(D$5-(6-'4JSON'!D761))</f>
        <v>2</v>
      </c>
      <c r="E767" s="41">
        <f>ABS(E$5-(6-'4JSON'!E761))</f>
        <v>1</v>
      </c>
      <c r="F767" s="41">
        <f>ABS(F$5-(6-'4JSON'!F761))</f>
        <v>1</v>
      </c>
      <c r="G767" s="41">
        <f>ABS(G$5-(6-'4JSON'!G761))</f>
        <v>0</v>
      </c>
      <c r="H767" s="41">
        <f>ABS(H$5-(6-'4JSON'!H761))</f>
        <v>2</v>
      </c>
      <c r="I767" s="41">
        <f>ABS(I$5-(6-'4JSON'!I761))</f>
        <v>0</v>
      </c>
      <c r="J767" s="41">
        <f>ABS(J$5-(6-'4JSON'!J761))</f>
        <v>1</v>
      </c>
      <c r="K767" s="41">
        <f>ABS(K$5-(6-'4JSON'!K761))</f>
        <v>1</v>
      </c>
      <c r="L767" s="41">
        <f>ABS(L$5-(6-'4JSON'!L761))</f>
        <v>1</v>
      </c>
      <c r="M767" s="36">
        <f t="shared" si="1"/>
        <v>9</v>
      </c>
      <c r="N767" s="42">
        <f t="shared" si="2"/>
        <v>0.75</v>
      </c>
    </row>
    <row r="768">
      <c r="A768" s="35">
        <f>'4JSON'!A762</f>
        <v>5125</v>
      </c>
      <c r="B768" s="25" t="str">
        <f>'4JSON'!B762</f>
        <v>Terminologists</v>
      </c>
      <c r="C768" s="41" t="str">
        <f>'4JSON'!C762</f>
        <v>Translators, terminologists and interpreters</v>
      </c>
      <c r="D768" s="41">
        <f>ABS(D$5-(6-'4JSON'!D762))</f>
        <v>2</v>
      </c>
      <c r="E768" s="41">
        <f>ABS(E$5-(6-'4JSON'!E762))</f>
        <v>2</v>
      </c>
      <c r="F768" s="41">
        <f>ABS(F$5-(6-'4JSON'!F762))</f>
        <v>1</v>
      </c>
      <c r="G768" s="41">
        <f>ABS(G$5-(6-'4JSON'!G762))</f>
        <v>1</v>
      </c>
      <c r="H768" s="41">
        <f>ABS(H$5-(6-'4JSON'!H762))</f>
        <v>2</v>
      </c>
      <c r="I768" s="41">
        <f>ABS(I$5-(6-'4JSON'!I762))</f>
        <v>0</v>
      </c>
      <c r="J768" s="41">
        <f>ABS(J$5-(6-'4JSON'!J762))</f>
        <v>1</v>
      </c>
      <c r="K768" s="41">
        <f>ABS(K$5-(6-'4JSON'!K762))</f>
        <v>1</v>
      </c>
      <c r="L768" s="41">
        <f>ABS(L$5-(6-'4JSON'!L762))</f>
        <v>1</v>
      </c>
      <c r="M768" s="36">
        <f t="shared" si="1"/>
        <v>11</v>
      </c>
      <c r="N768" s="42">
        <f t="shared" si="2"/>
        <v>0.6944444444</v>
      </c>
    </row>
    <row r="769">
      <c r="A769" s="35">
        <f>'4JSON'!A763</f>
        <v>2148</v>
      </c>
      <c r="B769" s="25" t="str">
        <f>'4JSON'!B763</f>
        <v>Textile Engineers</v>
      </c>
      <c r="C769" s="41" t="str">
        <f>'4JSON'!C763</f>
        <v>Other professional engineers, n.e.c.</v>
      </c>
      <c r="D769" s="41">
        <f>ABS(D$5-(6-'4JSON'!D763))</f>
        <v>3</v>
      </c>
      <c r="E769" s="41">
        <f>ABS(E$5-(6-'4JSON'!E763))</f>
        <v>1</v>
      </c>
      <c r="F769" s="41">
        <f>ABS(F$5-(6-'4JSON'!F763))</f>
        <v>2</v>
      </c>
      <c r="G769" s="41">
        <f>ABS(G$5-(6-'4JSON'!G763))</f>
        <v>2</v>
      </c>
      <c r="H769" s="41">
        <f>ABS(H$5-(6-'4JSON'!H763))</f>
        <v>1</v>
      </c>
      <c r="I769" s="41">
        <f>ABS(I$5-(6-'4JSON'!I763))</f>
        <v>1</v>
      </c>
      <c r="J769" s="41">
        <f>ABS(J$5-(6-'4JSON'!J763))</f>
        <v>1</v>
      </c>
      <c r="K769" s="41">
        <f>ABS(K$5-(6-'4JSON'!K763))</f>
        <v>1</v>
      </c>
      <c r="L769" s="41">
        <f>ABS(L$5-(6-'4JSON'!L763))</f>
        <v>1</v>
      </c>
      <c r="M769" s="36">
        <f t="shared" si="1"/>
        <v>13</v>
      </c>
      <c r="N769" s="42">
        <f t="shared" si="2"/>
        <v>0.6388888889</v>
      </c>
    </row>
    <row r="770">
      <c r="A770" s="35">
        <f>'4JSON'!A764</f>
        <v>9441</v>
      </c>
      <c r="B770" s="25" t="str">
        <f>'4JSON'!B764</f>
        <v>Textile Fibre and Yarn Preparation Machine Operators</v>
      </c>
      <c r="C770" s="41" t="str">
        <f>'4JSON'!C764</f>
        <v>Textile fibre and yarn, hide and pelt processing machine operators and workers</v>
      </c>
      <c r="D770" s="41">
        <f>ABS(D$5-(6-'4JSON'!D764))</f>
        <v>0</v>
      </c>
      <c r="E770" s="41">
        <f>ABS(E$5-(6-'4JSON'!E764))</f>
        <v>1</v>
      </c>
      <c r="F770" s="41">
        <f>ABS(F$5-(6-'4JSON'!F764))</f>
        <v>2</v>
      </c>
      <c r="G770" s="41">
        <f>ABS(G$5-(6-'4JSON'!G764))</f>
        <v>1</v>
      </c>
      <c r="H770" s="41">
        <f>ABS(H$5-(6-'4JSON'!H764))</f>
        <v>2</v>
      </c>
      <c r="I770" s="41">
        <f>ABS(I$5-(6-'4JSON'!I764))</f>
        <v>2</v>
      </c>
      <c r="J770" s="41">
        <f>ABS(J$5-(6-'4JSON'!J764))</f>
        <v>0</v>
      </c>
      <c r="K770" s="41">
        <f>ABS(K$5-(6-'4JSON'!K764))</f>
        <v>1</v>
      </c>
      <c r="L770" s="41">
        <f>ABS(L$5-(6-'4JSON'!L764))</f>
        <v>0</v>
      </c>
      <c r="M770" s="36">
        <f t="shared" si="1"/>
        <v>9</v>
      </c>
      <c r="N770" s="42">
        <f t="shared" si="2"/>
        <v>0.75</v>
      </c>
    </row>
    <row r="771">
      <c r="A771" s="35">
        <f>'4JSON'!A765</f>
        <v>6524</v>
      </c>
      <c r="B771" s="25" t="str">
        <f>'4JSON'!B765</f>
        <v>Ticket Agents and Related Clerks (Except Airline)</v>
      </c>
      <c r="C771" s="41" t="str">
        <f>'4JSON'!C765</f>
        <v>Ground and water transport ticket agents, cargo service representatives and related clerks</v>
      </c>
      <c r="D771" s="41">
        <f>ABS(D$5-(6-'4JSON'!D765))</f>
        <v>1</v>
      </c>
      <c r="E771" s="41">
        <f>ABS(E$5-(6-'4JSON'!E765))</f>
        <v>0</v>
      </c>
      <c r="F771" s="41">
        <f>ABS(F$5-(6-'4JSON'!F765))</f>
        <v>0</v>
      </c>
      <c r="G771" s="41">
        <f>ABS(G$5-(6-'4JSON'!G765))</f>
        <v>1</v>
      </c>
      <c r="H771" s="41">
        <f>ABS(H$5-(6-'4JSON'!H765))</f>
        <v>2</v>
      </c>
      <c r="I771" s="41">
        <f>ABS(I$5-(6-'4JSON'!I765))</f>
        <v>0</v>
      </c>
      <c r="J771" s="41">
        <f>ABS(J$5-(6-'4JSON'!J765))</f>
        <v>1</v>
      </c>
      <c r="K771" s="41">
        <f>ABS(K$5-(6-'4JSON'!K765))</f>
        <v>1</v>
      </c>
      <c r="L771" s="41">
        <f>ABS(L$5-(6-'4JSON'!L765))</f>
        <v>1</v>
      </c>
      <c r="M771" s="36">
        <f t="shared" si="1"/>
        <v>7</v>
      </c>
      <c r="N771" s="42">
        <f t="shared" si="2"/>
        <v>0.8055555556</v>
      </c>
    </row>
    <row r="772">
      <c r="A772" s="35">
        <f>'4JSON'!A766</f>
        <v>9461</v>
      </c>
      <c r="B772" s="25" t="str">
        <f>'4JSON'!B766</f>
        <v>Tobacco Processing Machine Operators</v>
      </c>
      <c r="C772" s="41" t="str">
        <f>'4JSON'!C766</f>
        <v>Process control and machine operators, food, beverage and associated products processing</v>
      </c>
      <c r="D772" s="41">
        <f>ABS(D$5-(6-'4JSON'!D766))</f>
        <v>0</v>
      </c>
      <c r="E772" s="41">
        <f>ABS(E$5-(6-'4JSON'!E766))</f>
        <v>1</v>
      </c>
      <c r="F772" s="41">
        <f>ABS(F$5-(6-'4JSON'!F766))</f>
        <v>1</v>
      </c>
      <c r="G772" s="41">
        <f>ABS(G$5-(6-'4JSON'!G766))</f>
        <v>1</v>
      </c>
      <c r="H772" s="41">
        <f>ABS(H$5-(6-'4JSON'!H766))</f>
        <v>2</v>
      </c>
      <c r="I772" s="41">
        <f>ABS(I$5-(6-'4JSON'!I766))</f>
        <v>2</v>
      </c>
      <c r="J772" s="41">
        <f>ABS(J$5-(6-'4JSON'!J766))</f>
        <v>1</v>
      </c>
      <c r="K772" s="41">
        <f>ABS(K$5-(6-'4JSON'!K766))</f>
        <v>1</v>
      </c>
      <c r="L772" s="41">
        <f>ABS(L$5-(6-'4JSON'!L766))</f>
        <v>0</v>
      </c>
      <c r="M772" s="36">
        <f t="shared" si="1"/>
        <v>9</v>
      </c>
      <c r="N772" s="42">
        <f t="shared" si="2"/>
        <v>0.75</v>
      </c>
    </row>
    <row r="773">
      <c r="A773" s="35">
        <f>'4JSON'!A767</f>
        <v>6531</v>
      </c>
      <c r="B773" s="25" t="str">
        <f>'4JSON'!B767</f>
        <v>Tour Guides</v>
      </c>
      <c r="C773" s="41" t="str">
        <f>'4JSON'!C767</f>
        <v>Tour and travel guides</v>
      </c>
      <c r="D773" s="41">
        <f>ABS(D$5-(6-'4JSON'!D767))</f>
        <v>1</v>
      </c>
      <c r="E773" s="41">
        <f>ABS(E$5-(6-'4JSON'!E767))</f>
        <v>0</v>
      </c>
      <c r="F773" s="41">
        <f>ABS(F$5-(6-'4JSON'!F767))</f>
        <v>0</v>
      </c>
      <c r="G773" s="41">
        <f>ABS(G$5-(6-'4JSON'!G767))</f>
        <v>1</v>
      </c>
      <c r="H773" s="41">
        <f>ABS(H$5-(6-'4JSON'!H767))</f>
        <v>2</v>
      </c>
      <c r="I773" s="41">
        <f>ABS(I$5-(6-'4JSON'!I767))</f>
        <v>0</v>
      </c>
      <c r="J773" s="41">
        <f>ABS(J$5-(6-'4JSON'!J767))</f>
        <v>1</v>
      </c>
      <c r="K773" s="41">
        <f>ABS(K$5-(6-'4JSON'!K767))</f>
        <v>1</v>
      </c>
      <c r="L773" s="41">
        <f>ABS(L$5-(6-'4JSON'!L767))</f>
        <v>1</v>
      </c>
      <c r="M773" s="36">
        <f t="shared" si="1"/>
        <v>7</v>
      </c>
      <c r="N773" s="42">
        <f t="shared" si="2"/>
        <v>0.8055555556</v>
      </c>
    </row>
    <row r="774">
      <c r="A774" s="35">
        <f>'4JSON'!A768</f>
        <v>7384</v>
      </c>
      <c r="B774" s="25" t="str">
        <f>'4JSON'!B768</f>
        <v>Trademark Agents</v>
      </c>
      <c r="C774" s="41" t="str">
        <f>'4JSON'!C768</f>
        <v>Other trades and related occupations, n.e.c.</v>
      </c>
      <c r="D774" s="41">
        <f>ABS(D$5-(6-'4JSON'!D768))</f>
        <v>2</v>
      </c>
      <c r="E774" s="41">
        <f>ABS(E$5-(6-'4JSON'!E768))</f>
        <v>1</v>
      </c>
      <c r="F774" s="41">
        <f>ABS(F$5-(6-'4JSON'!F768))</f>
        <v>0</v>
      </c>
      <c r="G774" s="41">
        <f>ABS(G$5-(6-'4JSON'!G768))</f>
        <v>1</v>
      </c>
      <c r="H774" s="41">
        <f>ABS(H$5-(6-'4JSON'!H768))</f>
        <v>2</v>
      </c>
      <c r="I774" s="41">
        <f>ABS(I$5-(6-'4JSON'!I768))</f>
        <v>0</v>
      </c>
      <c r="J774" s="41">
        <f>ABS(J$5-(6-'4JSON'!J768))</f>
        <v>1</v>
      </c>
      <c r="K774" s="41">
        <f>ABS(K$5-(6-'4JSON'!K768))</f>
        <v>1</v>
      </c>
      <c r="L774" s="41">
        <f>ABS(L$5-(6-'4JSON'!L768))</f>
        <v>1</v>
      </c>
      <c r="M774" s="36">
        <f t="shared" si="1"/>
        <v>9</v>
      </c>
      <c r="N774" s="42">
        <f t="shared" si="2"/>
        <v>0.75</v>
      </c>
    </row>
    <row r="775">
      <c r="A775" s="35">
        <f>'4JSON'!A769</f>
        <v>1526</v>
      </c>
      <c r="B775" s="25" t="str">
        <f>'4JSON'!B769</f>
        <v>Transportation Route and Crew Schedulers</v>
      </c>
      <c r="C775" s="41" t="str">
        <f>'4JSON'!C769</f>
        <v>Transportation route and crew schedulers</v>
      </c>
      <c r="D775" s="41">
        <f>ABS(D$5-(6-'4JSON'!D769))</f>
        <v>1</v>
      </c>
      <c r="E775" s="41">
        <f>ABS(E$5-(6-'4JSON'!E769))</f>
        <v>0</v>
      </c>
      <c r="F775" s="41">
        <f>ABS(F$5-(6-'4JSON'!F769))</f>
        <v>0</v>
      </c>
      <c r="G775" s="41">
        <f>ABS(G$5-(6-'4JSON'!G769))</f>
        <v>1</v>
      </c>
      <c r="H775" s="41">
        <f>ABS(H$5-(6-'4JSON'!H769))</f>
        <v>2</v>
      </c>
      <c r="I775" s="41">
        <f>ABS(I$5-(6-'4JSON'!I769))</f>
        <v>0</v>
      </c>
      <c r="J775" s="41">
        <f>ABS(J$5-(6-'4JSON'!J769))</f>
        <v>1</v>
      </c>
      <c r="K775" s="41">
        <f>ABS(K$5-(6-'4JSON'!K769))</f>
        <v>1</v>
      </c>
      <c r="L775" s="41">
        <f>ABS(L$5-(6-'4JSON'!L769))</f>
        <v>1</v>
      </c>
      <c r="M775" s="36">
        <f t="shared" si="1"/>
        <v>7</v>
      </c>
      <c r="N775" s="42">
        <f t="shared" si="2"/>
        <v>0.8055555556</v>
      </c>
    </row>
    <row r="776">
      <c r="A776" s="35">
        <f>'4JSON'!A770</f>
        <v>8442</v>
      </c>
      <c r="B776" s="25" t="str">
        <f>'4JSON'!B770</f>
        <v>Trappers</v>
      </c>
      <c r="C776" s="41" t="str">
        <f>'4JSON'!C770</f>
        <v>Trappers and hunters</v>
      </c>
      <c r="D776" s="41">
        <f>ABS(D$5-(6-'4JSON'!D770))</f>
        <v>0</v>
      </c>
      <c r="E776" s="41">
        <f>ABS(E$5-(6-'4JSON'!E770))</f>
        <v>1</v>
      </c>
      <c r="F776" s="41">
        <f>ABS(F$5-(6-'4JSON'!F770))</f>
        <v>2</v>
      </c>
      <c r="G776" s="41">
        <f>ABS(G$5-(6-'4JSON'!G770))</f>
        <v>1</v>
      </c>
      <c r="H776" s="41">
        <f>ABS(H$5-(6-'4JSON'!H770))</f>
        <v>2</v>
      </c>
      <c r="I776" s="41">
        <f>ABS(I$5-(6-'4JSON'!I770))</f>
        <v>2</v>
      </c>
      <c r="J776" s="41">
        <f>ABS(J$5-(6-'4JSON'!J770))</f>
        <v>0</v>
      </c>
      <c r="K776" s="41">
        <f>ABS(K$5-(6-'4JSON'!K770))</f>
        <v>1</v>
      </c>
      <c r="L776" s="41">
        <f>ABS(L$5-(6-'4JSON'!L770))</f>
        <v>0</v>
      </c>
      <c r="M776" s="36">
        <f t="shared" si="1"/>
        <v>9</v>
      </c>
      <c r="N776" s="42">
        <f t="shared" si="2"/>
        <v>0.75</v>
      </c>
    </row>
    <row r="777">
      <c r="A777" s="35">
        <f>'4JSON'!A771</f>
        <v>6531</v>
      </c>
      <c r="B777" s="25" t="str">
        <f>'4JSON'!B771</f>
        <v>Travel Guides</v>
      </c>
      <c r="C777" s="41" t="str">
        <f>'4JSON'!C771</f>
        <v>Tour and travel guides</v>
      </c>
      <c r="D777" s="41">
        <f>ABS(D$5-(6-'4JSON'!D771))</f>
        <v>1</v>
      </c>
      <c r="E777" s="41">
        <f>ABS(E$5-(6-'4JSON'!E771))</f>
        <v>0</v>
      </c>
      <c r="F777" s="41">
        <f>ABS(F$5-(6-'4JSON'!F771))</f>
        <v>0</v>
      </c>
      <c r="G777" s="41">
        <f>ABS(G$5-(6-'4JSON'!G771))</f>
        <v>1</v>
      </c>
      <c r="H777" s="41">
        <f>ABS(H$5-(6-'4JSON'!H771))</f>
        <v>2</v>
      </c>
      <c r="I777" s="41">
        <f>ABS(I$5-(6-'4JSON'!I771))</f>
        <v>0</v>
      </c>
      <c r="J777" s="41">
        <f>ABS(J$5-(6-'4JSON'!J771))</f>
        <v>1</v>
      </c>
      <c r="K777" s="41">
        <f>ABS(K$5-(6-'4JSON'!K771))</f>
        <v>1</v>
      </c>
      <c r="L777" s="41">
        <f>ABS(L$5-(6-'4JSON'!L771))</f>
        <v>1</v>
      </c>
      <c r="M777" s="36">
        <f t="shared" si="1"/>
        <v>7</v>
      </c>
      <c r="N777" s="42">
        <f t="shared" si="2"/>
        <v>0.8055555556</v>
      </c>
    </row>
    <row r="778">
      <c r="A778" s="35">
        <f>'4JSON'!A772</f>
        <v>4412</v>
      </c>
      <c r="B778" s="25" t="str">
        <f>'4JSON'!B772</f>
        <v>Visiting Homemakers</v>
      </c>
      <c r="C778" s="41" t="str">
        <f>'4JSON'!C772</f>
        <v>Home support workers, housekeepers and related occupations</v>
      </c>
      <c r="D778" s="41">
        <f>ABS(D$5-(6-'4JSON'!D772))</f>
        <v>1</v>
      </c>
      <c r="E778" s="41">
        <f>ABS(E$5-(6-'4JSON'!E772))</f>
        <v>0</v>
      </c>
      <c r="F778" s="41">
        <f>ABS(F$5-(6-'4JSON'!F772))</f>
        <v>1</v>
      </c>
      <c r="G778" s="41">
        <f>ABS(G$5-(6-'4JSON'!G772))</f>
        <v>1</v>
      </c>
      <c r="H778" s="41">
        <f>ABS(H$5-(6-'4JSON'!H772))</f>
        <v>2</v>
      </c>
      <c r="I778" s="41">
        <f>ABS(I$5-(6-'4JSON'!I772))</f>
        <v>1</v>
      </c>
      <c r="J778" s="41">
        <f>ABS(J$5-(6-'4JSON'!J772))</f>
        <v>1</v>
      </c>
      <c r="K778" s="41">
        <f>ABS(K$5-(6-'4JSON'!K772))</f>
        <v>1</v>
      </c>
      <c r="L778" s="41">
        <f>ABS(L$5-(6-'4JSON'!L772))</f>
        <v>1</v>
      </c>
      <c r="M778" s="36">
        <f t="shared" si="1"/>
        <v>9</v>
      </c>
      <c r="N778" s="42">
        <f t="shared" si="2"/>
        <v>0.75</v>
      </c>
    </row>
    <row r="779">
      <c r="A779" s="35">
        <f>'4JSON'!A773</f>
        <v>6561</v>
      </c>
      <c r="B779" s="25" t="str">
        <f>'4JSON'!B773</f>
        <v>Weight Loss Consultants</v>
      </c>
      <c r="C779" s="41" t="str">
        <f>'4JSON'!C773</f>
        <v>Image, social and other personal consultants</v>
      </c>
      <c r="D779" s="41">
        <f>ABS(D$5-(6-'4JSON'!D773))</f>
        <v>0</v>
      </c>
      <c r="E779" s="41">
        <f>ABS(E$5-(6-'4JSON'!E773))</f>
        <v>0</v>
      </c>
      <c r="F779" s="41">
        <f>ABS(F$5-(6-'4JSON'!F773))</f>
        <v>1</v>
      </c>
      <c r="G779" s="41">
        <f>ABS(G$5-(6-'4JSON'!G773))</f>
        <v>1</v>
      </c>
      <c r="H779" s="41">
        <f>ABS(H$5-(6-'4JSON'!H773))</f>
        <v>2</v>
      </c>
      <c r="I779" s="41">
        <f>ABS(I$5-(6-'4JSON'!I773))</f>
        <v>0</v>
      </c>
      <c r="J779" s="41">
        <f>ABS(J$5-(6-'4JSON'!J773))</f>
        <v>1</v>
      </c>
      <c r="K779" s="41">
        <f>ABS(K$5-(6-'4JSON'!K773))</f>
        <v>1</v>
      </c>
      <c r="L779" s="41">
        <f>ABS(L$5-(6-'4JSON'!L773))</f>
        <v>1</v>
      </c>
      <c r="M779" s="36">
        <f t="shared" si="1"/>
        <v>7</v>
      </c>
      <c r="N779" s="42">
        <f t="shared" si="2"/>
        <v>0.8055555556</v>
      </c>
    </row>
    <row r="780">
      <c r="A780" s="35">
        <f>'4JSON'!A774</f>
        <v>6732</v>
      </c>
      <c r="B780" s="25" t="str">
        <f>'4JSON'!B774</f>
        <v>Window Cleaners</v>
      </c>
      <c r="C780" s="41" t="str">
        <f>'4JSON'!C774</f>
        <v>Specialized cleaners</v>
      </c>
      <c r="D780" s="41">
        <f>ABS(D$5-(6-'4JSON'!D774))</f>
        <v>0</v>
      </c>
      <c r="E780" s="41">
        <f>ABS(E$5-(6-'4JSON'!E774))</f>
        <v>1</v>
      </c>
      <c r="F780" s="41">
        <f>ABS(F$5-(6-'4JSON'!F774))</f>
        <v>2</v>
      </c>
      <c r="G780" s="41">
        <f>ABS(G$5-(6-'4JSON'!G774))</f>
        <v>1</v>
      </c>
      <c r="H780" s="41">
        <f>ABS(H$5-(6-'4JSON'!H774))</f>
        <v>2</v>
      </c>
      <c r="I780" s="41">
        <f>ABS(I$5-(6-'4JSON'!I774))</f>
        <v>2</v>
      </c>
      <c r="J780" s="41">
        <f>ABS(J$5-(6-'4JSON'!J774))</f>
        <v>0</v>
      </c>
      <c r="K780" s="41">
        <f>ABS(K$5-(6-'4JSON'!K774))</f>
        <v>1</v>
      </c>
      <c r="L780" s="41">
        <f>ABS(L$5-(6-'4JSON'!L774))</f>
        <v>0</v>
      </c>
      <c r="M780" s="36">
        <f t="shared" si="1"/>
        <v>9</v>
      </c>
      <c r="N780" s="42">
        <f t="shared" si="2"/>
        <v>0.75</v>
      </c>
    </row>
    <row r="781">
      <c r="A781" s="35">
        <f>'4JSON'!A775</f>
        <v>4423</v>
      </c>
      <c r="B781" s="25" t="str">
        <f>'4JSON'!B775</f>
        <v>Zoning Inspectors</v>
      </c>
      <c r="C781" s="41" t="str">
        <f>'4JSON'!C775</f>
        <v>By-law enforcement and other regulatory officers, n.e.c.</v>
      </c>
      <c r="D781" s="41">
        <f>ABS(D$5-(6-'4JSON'!D775))</f>
        <v>1</v>
      </c>
      <c r="E781" s="41">
        <f>ABS(E$5-(6-'4JSON'!E775))</f>
        <v>0</v>
      </c>
      <c r="F781" s="41">
        <f>ABS(F$5-(6-'4JSON'!F775))</f>
        <v>1</v>
      </c>
      <c r="G781" s="41">
        <f>ABS(G$5-(6-'4JSON'!G775))</f>
        <v>1</v>
      </c>
      <c r="H781" s="41">
        <f>ABS(H$5-(6-'4JSON'!H775))</f>
        <v>2</v>
      </c>
      <c r="I781" s="41">
        <f>ABS(I$5-(6-'4JSON'!I775))</f>
        <v>1</v>
      </c>
      <c r="J781" s="41">
        <f>ABS(J$5-(6-'4JSON'!J775))</f>
        <v>1</v>
      </c>
      <c r="K781" s="41">
        <f>ABS(K$5-(6-'4JSON'!K775))</f>
        <v>1</v>
      </c>
      <c r="L781" s="41">
        <f>ABS(L$5-(6-'4JSON'!L775))</f>
        <v>1</v>
      </c>
      <c r="M781" s="36">
        <f t="shared" si="1"/>
        <v>9</v>
      </c>
      <c r="N781" s="42">
        <f t="shared" si="2"/>
        <v>0.75</v>
      </c>
    </row>
    <row r="782">
      <c r="A782" s="35">
        <f>'4JSON'!A776</f>
        <v>1221</v>
      </c>
      <c r="B782" s="25" t="str">
        <f>'4JSON'!B776</f>
        <v>Administrative Officers</v>
      </c>
      <c r="C782" s="41" t="str">
        <f>'4JSON'!C776</f>
        <v>Administrative officers</v>
      </c>
      <c r="D782" s="41">
        <f>ABS(D$5-(6-'4JSON'!D776))</f>
        <v>2</v>
      </c>
      <c r="E782" s="41">
        <f>ABS(E$5-(6-'4JSON'!E776))</f>
        <v>1</v>
      </c>
      <c r="F782" s="41">
        <f>ABS(F$5-(6-'4JSON'!F776))</f>
        <v>1</v>
      </c>
      <c r="G782" s="41">
        <f>ABS(G$5-(6-'4JSON'!G776))</f>
        <v>1</v>
      </c>
      <c r="H782" s="41">
        <f>ABS(H$5-(6-'4JSON'!H776))</f>
        <v>2</v>
      </c>
      <c r="I782" s="41">
        <f>ABS(I$5-(6-'4JSON'!I776))</f>
        <v>0</v>
      </c>
      <c r="J782" s="41">
        <f>ABS(J$5-(6-'4JSON'!J776))</f>
        <v>1</v>
      </c>
      <c r="K782" s="41">
        <f>ABS(K$5-(6-'4JSON'!K776))</f>
        <v>1</v>
      </c>
      <c r="L782" s="41">
        <f>ABS(L$5-(6-'4JSON'!L776))</f>
        <v>1</v>
      </c>
      <c r="M782" s="36">
        <f t="shared" si="1"/>
        <v>10</v>
      </c>
      <c r="N782" s="42">
        <f t="shared" si="2"/>
        <v>0.7222222222</v>
      </c>
    </row>
    <row r="783">
      <c r="A783" s="35">
        <f>'4JSON'!A777</f>
        <v>124</v>
      </c>
      <c r="B783" s="25" t="str">
        <f>'4JSON'!B777</f>
        <v>Advertising Managers</v>
      </c>
      <c r="C783" s="41" t="str">
        <f>'4JSON'!C777</f>
        <v>Advertising, marketing and public relations managers</v>
      </c>
      <c r="D783" s="41">
        <f>ABS(D$5-(6-'4JSON'!D777))</f>
        <v>2</v>
      </c>
      <c r="E783" s="41">
        <f>ABS(E$5-(6-'4JSON'!E777))</f>
        <v>1</v>
      </c>
      <c r="F783" s="41">
        <f>ABS(F$5-(6-'4JSON'!F777))</f>
        <v>1</v>
      </c>
      <c r="G783" s="41">
        <f>ABS(G$5-(6-'4JSON'!G777))</f>
        <v>1</v>
      </c>
      <c r="H783" s="41">
        <f>ABS(H$5-(6-'4JSON'!H777))</f>
        <v>2</v>
      </c>
      <c r="I783" s="41">
        <f>ABS(I$5-(6-'4JSON'!I777))</f>
        <v>0</v>
      </c>
      <c r="J783" s="41">
        <f>ABS(J$5-(6-'4JSON'!J777))</f>
        <v>1</v>
      </c>
      <c r="K783" s="41">
        <f>ABS(K$5-(6-'4JSON'!K777))</f>
        <v>1</v>
      </c>
      <c r="L783" s="41">
        <f>ABS(L$5-(6-'4JSON'!L777))</f>
        <v>1</v>
      </c>
      <c r="M783" s="36">
        <f t="shared" si="1"/>
        <v>10</v>
      </c>
      <c r="N783" s="42">
        <f t="shared" si="2"/>
        <v>0.7222222222</v>
      </c>
    </row>
    <row r="784">
      <c r="A784" s="35">
        <f>'4JSON'!A778</f>
        <v>6523</v>
      </c>
      <c r="B784" s="25" t="str">
        <f>'4JSON'!B778</f>
        <v>Airline Baggage Agents</v>
      </c>
      <c r="C784" s="41" t="str">
        <f>'4JSON'!C778</f>
        <v>Airline ticket and service agents</v>
      </c>
      <c r="D784" s="41">
        <f>ABS(D$5-(6-'4JSON'!D778))</f>
        <v>1</v>
      </c>
      <c r="E784" s="41">
        <f>ABS(E$5-(6-'4JSON'!E778))</f>
        <v>0</v>
      </c>
      <c r="F784" s="41">
        <f>ABS(F$5-(6-'4JSON'!F778))</f>
        <v>0</v>
      </c>
      <c r="G784" s="41">
        <f>ABS(G$5-(6-'4JSON'!G778))</f>
        <v>1</v>
      </c>
      <c r="H784" s="41">
        <f>ABS(H$5-(6-'4JSON'!H778))</f>
        <v>2</v>
      </c>
      <c r="I784" s="41">
        <f>ABS(I$5-(6-'4JSON'!I778))</f>
        <v>1</v>
      </c>
      <c r="J784" s="41">
        <f>ABS(J$5-(6-'4JSON'!J778))</f>
        <v>1</v>
      </c>
      <c r="K784" s="41">
        <f>ABS(K$5-(6-'4JSON'!K778))</f>
        <v>1</v>
      </c>
      <c r="L784" s="41">
        <f>ABS(L$5-(6-'4JSON'!L778))</f>
        <v>1</v>
      </c>
      <c r="M784" s="36">
        <f t="shared" si="1"/>
        <v>8</v>
      </c>
      <c r="N784" s="42">
        <f t="shared" si="2"/>
        <v>0.7777777778</v>
      </c>
    </row>
    <row r="785">
      <c r="A785" s="35">
        <f>'4JSON'!A779</f>
        <v>6523</v>
      </c>
      <c r="B785" s="25" t="str">
        <f>'4JSON'!B779</f>
        <v>Airline Cargo Agents</v>
      </c>
      <c r="C785" s="41" t="str">
        <f>'4JSON'!C779</f>
        <v>Airline ticket and service agents</v>
      </c>
      <c r="D785" s="41">
        <f>ABS(D$5-(6-'4JSON'!D779))</f>
        <v>1</v>
      </c>
      <c r="E785" s="41">
        <f>ABS(E$5-(6-'4JSON'!E779))</f>
        <v>0</v>
      </c>
      <c r="F785" s="41">
        <f>ABS(F$5-(6-'4JSON'!F779))</f>
        <v>0</v>
      </c>
      <c r="G785" s="41">
        <f>ABS(G$5-(6-'4JSON'!G779))</f>
        <v>1</v>
      </c>
      <c r="H785" s="41">
        <f>ABS(H$5-(6-'4JSON'!H779))</f>
        <v>2</v>
      </c>
      <c r="I785" s="41">
        <f>ABS(I$5-(6-'4JSON'!I779))</f>
        <v>1</v>
      </c>
      <c r="J785" s="41">
        <f>ABS(J$5-(6-'4JSON'!J779))</f>
        <v>1</v>
      </c>
      <c r="K785" s="41">
        <f>ABS(K$5-(6-'4JSON'!K779))</f>
        <v>1</v>
      </c>
      <c r="L785" s="41">
        <f>ABS(L$5-(6-'4JSON'!L779))</f>
        <v>1</v>
      </c>
      <c r="M785" s="36">
        <f t="shared" si="1"/>
        <v>8</v>
      </c>
      <c r="N785" s="42">
        <f t="shared" si="2"/>
        <v>0.7777777778</v>
      </c>
    </row>
    <row r="786">
      <c r="A786" s="35">
        <f>'4JSON'!A780</f>
        <v>6523</v>
      </c>
      <c r="B786" s="25" t="str">
        <f>'4JSON'!B780</f>
        <v>Airline Load Planners</v>
      </c>
      <c r="C786" s="41" t="str">
        <f>'4JSON'!C780</f>
        <v>Airline ticket and service agents</v>
      </c>
      <c r="D786" s="41">
        <f>ABS(D$5-(6-'4JSON'!D780))</f>
        <v>1</v>
      </c>
      <c r="E786" s="41">
        <f>ABS(E$5-(6-'4JSON'!E780))</f>
        <v>0</v>
      </c>
      <c r="F786" s="41">
        <f>ABS(F$5-(6-'4JSON'!F780))</f>
        <v>0</v>
      </c>
      <c r="G786" s="41">
        <f>ABS(G$5-(6-'4JSON'!G780))</f>
        <v>1</v>
      </c>
      <c r="H786" s="41">
        <f>ABS(H$5-(6-'4JSON'!H780))</f>
        <v>2</v>
      </c>
      <c r="I786" s="41">
        <f>ABS(I$5-(6-'4JSON'!I780))</f>
        <v>1</v>
      </c>
      <c r="J786" s="41">
        <f>ABS(J$5-(6-'4JSON'!J780))</f>
        <v>1</v>
      </c>
      <c r="K786" s="41">
        <f>ABS(K$5-(6-'4JSON'!K780))</f>
        <v>1</v>
      </c>
      <c r="L786" s="41">
        <f>ABS(L$5-(6-'4JSON'!L780))</f>
        <v>1</v>
      </c>
      <c r="M786" s="36">
        <f t="shared" si="1"/>
        <v>8</v>
      </c>
      <c r="N786" s="42">
        <f t="shared" si="2"/>
        <v>0.7777777778</v>
      </c>
    </row>
    <row r="787">
      <c r="A787" s="35">
        <f>'4JSON'!A781</f>
        <v>6523</v>
      </c>
      <c r="B787" s="25" t="str">
        <f>'4JSON'!B781</f>
        <v>Airline Passenger and Ticket Agents</v>
      </c>
      <c r="C787" s="41" t="str">
        <f>'4JSON'!C781</f>
        <v>Airline ticket and service agents</v>
      </c>
      <c r="D787" s="41">
        <f>ABS(D$5-(6-'4JSON'!D781))</f>
        <v>1</v>
      </c>
      <c r="E787" s="41">
        <f>ABS(E$5-(6-'4JSON'!E781))</f>
        <v>0</v>
      </c>
      <c r="F787" s="41">
        <f>ABS(F$5-(6-'4JSON'!F781))</f>
        <v>0</v>
      </c>
      <c r="G787" s="41">
        <f>ABS(G$5-(6-'4JSON'!G781))</f>
        <v>1</v>
      </c>
      <c r="H787" s="41">
        <f>ABS(H$5-(6-'4JSON'!H781))</f>
        <v>2</v>
      </c>
      <c r="I787" s="41">
        <f>ABS(I$5-(6-'4JSON'!I781))</f>
        <v>1</v>
      </c>
      <c r="J787" s="41">
        <f>ABS(J$5-(6-'4JSON'!J781))</f>
        <v>1</v>
      </c>
      <c r="K787" s="41">
        <f>ABS(K$5-(6-'4JSON'!K781))</f>
        <v>1</v>
      </c>
      <c r="L787" s="41">
        <f>ABS(L$5-(6-'4JSON'!L781))</f>
        <v>1</v>
      </c>
      <c r="M787" s="36">
        <f t="shared" si="1"/>
        <v>8</v>
      </c>
      <c r="N787" s="42">
        <f t="shared" si="2"/>
        <v>0.7777777778</v>
      </c>
    </row>
    <row r="788">
      <c r="A788" s="35">
        <f>'4JSON'!A782</f>
        <v>6523</v>
      </c>
      <c r="B788" s="25" t="str">
        <f>'4JSON'!B782</f>
        <v>Airline Reservation Agents</v>
      </c>
      <c r="C788" s="41" t="str">
        <f>'4JSON'!C782</f>
        <v>Airline ticket and service agents</v>
      </c>
      <c r="D788" s="41">
        <f>ABS(D$5-(6-'4JSON'!D782))</f>
        <v>1</v>
      </c>
      <c r="E788" s="41">
        <f>ABS(E$5-(6-'4JSON'!E782))</f>
        <v>0</v>
      </c>
      <c r="F788" s="41">
        <f>ABS(F$5-(6-'4JSON'!F782))</f>
        <v>0</v>
      </c>
      <c r="G788" s="41">
        <f>ABS(G$5-(6-'4JSON'!G782))</f>
        <v>1</v>
      </c>
      <c r="H788" s="41">
        <f>ABS(H$5-(6-'4JSON'!H782))</f>
        <v>2</v>
      </c>
      <c r="I788" s="41">
        <f>ABS(I$5-(6-'4JSON'!I782))</f>
        <v>1</v>
      </c>
      <c r="J788" s="41">
        <f>ABS(J$5-(6-'4JSON'!J782))</f>
        <v>1</v>
      </c>
      <c r="K788" s="41">
        <f>ABS(K$5-(6-'4JSON'!K782))</f>
        <v>1</v>
      </c>
      <c r="L788" s="41">
        <f>ABS(L$5-(6-'4JSON'!L782))</f>
        <v>1</v>
      </c>
      <c r="M788" s="36">
        <f t="shared" si="1"/>
        <v>8</v>
      </c>
      <c r="N788" s="42">
        <f t="shared" si="2"/>
        <v>0.7777777778</v>
      </c>
    </row>
    <row r="789">
      <c r="A789" s="35">
        <f>'4JSON'!A783</f>
        <v>6523</v>
      </c>
      <c r="B789" s="25" t="str">
        <f>'4JSON'!B783</f>
        <v>Airline Station Agents</v>
      </c>
      <c r="C789" s="41" t="str">
        <f>'4JSON'!C783</f>
        <v>Airline ticket and service agents</v>
      </c>
      <c r="D789" s="41">
        <f>ABS(D$5-(6-'4JSON'!D783))</f>
        <v>1</v>
      </c>
      <c r="E789" s="41">
        <f>ABS(E$5-(6-'4JSON'!E783))</f>
        <v>0</v>
      </c>
      <c r="F789" s="41">
        <f>ABS(F$5-(6-'4JSON'!F783))</f>
        <v>0</v>
      </c>
      <c r="G789" s="41">
        <f>ABS(G$5-(6-'4JSON'!G783))</f>
        <v>1</v>
      </c>
      <c r="H789" s="41">
        <f>ABS(H$5-(6-'4JSON'!H783))</f>
        <v>2</v>
      </c>
      <c r="I789" s="41">
        <f>ABS(I$5-(6-'4JSON'!I783))</f>
        <v>1</v>
      </c>
      <c r="J789" s="41">
        <f>ABS(J$5-(6-'4JSON'!J783))</f>
        <v>1</v>
      </c>
      <c r="K789" s="41">
        <f>ABS(K$5-(6-'4JSON'!K783))</f>
        <v>1</v>
      </c>
      <c r="L789" s="41">
        <f>ABS(L$5-(6-'4JSON'!L783))</f>
        <v>1</v>
      </c>
      <c r="M789" s="36">
        <f t="shared" si="1"/>
        <v>8</v>
      </c>
      <c r="N789" s="42">
        <f t="shared" si="2"/>
        <v>0.7777777778</v>
      </c>
    </row>
    <row r="790">
      <c r="A790" s="35">
        <f>'4JSON'!A784</f>
        <v>5231</v>
      </c>
      <c r="B790" s="25" t="str">
        <f>'4JSON'!B784</f>
        <v>Announcers and Other Broadcasters</v>
      </c>
      <c r="C790" s="41" t="str">
        <f>'4JSON'!C784</f>
        <v>Announcers and other broadcasters</v>
      </c>
      <c r="D790" s="41">
        <f>ABS(D$5-(6-'4JSON'!D784))</f>
        <v>1</v>
      </c>
      <c r="E790" s="41">
        <f>ABS(E$5-(6-'4JSON'!E784))</f>
        <v>1</v>
      </c>
      <c r="F790" s="41">
        <f>ABS(F$5-(6-'4JSON'!F784))</f>
        <v>0</v>
      </c>
      <c r="G790" s="41">
        <f>ABS(G$5-(6-'4JSON'!G784))</f>
        <v>1</v>
      </c>
      <c r="H790" s="41">
        <f>ABS(H$5-(6-'4JSON'!H784))</f>
        <v>2</v>
      </c>
      <c r="I790" s="41">
        <f>ABS(I$5-(6-'4JSON'!I784))</f>
        <v>0</v>
      </c>
      <c r="J790" s="41">
        <f>ABS(J$5-(6-'4JSON'!J784))</f>
        <v>1</v>
      </c>
      <c r="K790" s="41">
        <f>ABS(K$5-(6-'4JSON'!K784))</f>
        <v>1</v>
      </c>
      <c r="L790" s="41">
        <f>ABS(L$5-(6-'4JSON'!L784))</f>
        <v>1</v>
      </c>
      <c r="M790" s="36">
        <f t="shared" si="1"/>
        <v>8</v>
      </c>
      <c r="N790" s="42">
        <f t="shared" si="2"/>
        <v>0.7777777778</v>
      </c>
    </row>
    <row r="791">
      <c r="A791" s="35">
        <f>'4JSON'!A785</f>
        <v>2148</v>
      </c>
      <c r="B791" s="25" t="str">
        <f>'4JSON'!B785</f>
        <v>Biomedical Engineers</v>
      </c>
      <c r="C791" s="41" t="str">
        <f>'4JSON'!C785</f>
        <v>Other professional engineers, n.e.c.</v>
      </c>
      <c r="D791" s="41">
        <f>ABS(D$5-(6-'4JSON'!D785))</f>
        <v>3</v>
      </c>
      <c r="E791" s="41">
        <f>ABS(E$5-(6-'4JSON'!E785))</f>
        <v>2</v>
      </c>
      <c r="F791" s="41">
        <f>ABS(F$5-(6-'4JSON'!F785))</f>
        <v>2</v>
      </c>
      <c r="G791" s="41">
        <f>ABS(G$5-(6-'4JSON'!G785))</f>
        <v>2</v>
      </c>
      <c r="H791" s="41">
        <f>ABS(H$5-(6-'4JSON'!H785))</f>
        <v>1</v>
      </c>
      <c r="I791" s="41">
        <f>ABS(I$5-(6-'4JSON'!I785))</f>
        <v>1</v>
      </c>
      <c r="J791" s="41">
        <f>ABS(J$5-(6-'4JSON'!J785))</f>
        <v>1</v>
      </c>
      <c r="K791" s="41">
        <f>ABS(K$5-(6-'4JSON'!K785))</f>
        <v>1</v>
      </c>
      <c r="L791" s="41">
        <f>ABS(L$5-(6-'4JSON'!L785))</f>
        <v>1</v>
      </c>
      <c r="M791" s="36">
        <f t="shared" si="1"/>
        <v>14</v>
      </c>
      <c r="N791" s="42">
        <f t="shared" si="2"/>
        <v>0.6111111111</v>
      </c>
    </row>
    <row r="792">
      <c r="A792" s="35">
        <f>'4JSON'!A786</f>
        <v>1113</v>
      </c>
      <c r="B792" s="25" t="str">
        <f>'4JSON'!B786</f>
        <v>Brokers</v>
      </c>
      <c r="C792" s="41" t="str">
        <f>'4JSON'!C786</f>
        <v>Securities agents, investment dealers and brokers</v>
      </c>
      <c r="D792" s="41">
        <f>ABS(D$5-(6-'4JSON'!D786))</f>
        <v>2</v>
      </c>
      <c r="E792" s="41">
        <f>ABS(E$5-(6-'4JSON'!E786))</f>
        <v>1</v>
      </c>
      <c r="F792" s="41">
        <f>ABS(F$5-(6-'4JSON'!F786))</f>
        <v>1</v>
      </c>
      <c r="G792" s="41">
        <f>ABS(G$5-(6-'4JSON'!G786))</f>
        <v>1</v>
      </c>
      <c r="H792" s="41">
        <f>ABS(H$5-(6-'4JSON'!H786))</f>
        <v>2</v>
      </c>
      <c r="I792" s="41">
        <f>ABS(I$5-(6-'4JSON'!I786))</f>
        <v>0</v>
      </c>
      <c r="J792" s="41">
        <f>ABS(J$5-(6-'4JSON'!J786))</f>
        <v>1</v>
      </c>
      <c r="K792" s="41">
        <f>ABS(K$5-(6-'4JSON'!K786))</f>
        <v>1</v>
      </c>
      <c r="L792" s="41">
        <f>ABS(L$5-(6-'4JSON'!L786))</f>
        <v>1</v>
      </c>
      <c r="M792" s="36">
        <f t="shared" si="1"/>
        <v>10</v>
      </c>
      <c r="N792" s="42">
        <f t="shared" si="2"/>
        <v>0.7222222222</v>
      </c>
    </row>
    <row r="793">
      <c r="A793" s="35">
        <f>'4JSON'!A787</f>
        <v>4163</v>
      </c>
      <c r="B793" s="25" t="str">
        <f>'4JSON'!B787</f>
        <v>Business Development Officers and Marketing Researchers and Consultants</v>
      </c>
      <c r="C793" s="41" t="str">
        <f>'4JSON'!C787</f>
        <v>Business development officers and marketing researchers and consultants</v>
      </c>
      <c r="D793" s="41">
        <f>ABS(D$5-(6-'4JSON'!D787))</f>
        <v>2</v>
      </c>
      <c r="E793" s="41">
        <f>ABS(E$5-(6-'4JSON'!E787))</f>
        <v>1</v>
      </c>
      <c r="F793" s="41">
        <f>ABS(F$5-(6-'4JSON'!F787))</f>
        <v>1</v>
      </c>
      <c r="G793" s="41">
        <f>ABS(G$5-(6-'4JSON'!G787))</f>
        <v>1</v>
      </c>
      <c r="H793" s="41">
        <f>ABS(H$5-(6-'4JSON'!H787))</f>
        <v>2</v>
      </c>
      <c r="I793" s="41">
        <f>ABS(I$5-(6-'4JSON'!I787))</f>
        <v>0</v>
      </c>
      <c r="J793" s="41">
        <f>ABS(J$5-(6-'4JSON'!J787))</f>
        <v>1</v>
      </c>
      <c r="K793" s="41">
        <f>ABS(K$5-(6-'4JSON'!K787))</f>
        <v>1</v>
      </c>
      <c r="L793" s="41">
        <f>ABS(L$5-(6-'4JSON'!L787))</f>
        <v>1</v>
      </c>
      <c r="M793" s="36">
        <f t="shared" si="1"/>
        <v>10</v>
      </c>
      <c r="N793" s="42">
        <f t="shared" si="2"/>
        <v>0.7222222222</v>
      </c>
    </row>
    <row r="794">
      <c r="A794" s="35">
        <f>'4JSON'!A788</f>
        <v>2134</v>
      </c>
      <c r="B794" s="25" t="str">
        <f>'4JSON'!B788</f>
        <v>Chemical Engineers</v>
      </c>
      <c r="C794" s="41" t="str">
        <f>'4JSON'!C788</f>
        <v>Chemical engineers</v>
      </c>
      <c r="D794" s="41">
        <f>ABS(D$5-(6-'4JSON'!D788))</f>
        <v>3</v>
      </c>
      <c r="E794" s="41">
        <f>ABS(E$5-(6-'4JSON'!E788))</f>
        <v>1</v>
      </c>
      <c r="F794" s="41">
        <f>ABS(F$5-(6-'4JSON'!F788))</f>
        <v>2</v>
      </c>
      <c r="G794" s="41">
        <f>ABS(G$5-(6-'4JSON'!G788))</f>
        <v>1</v>
      </c>
      <c r="H794" s="41">
        <f>ABS(H$5-(6-'4JSON'!H788))</f>
        <v>1</v>
      </c>
      <c r="I794" s="41">
        <f>ABS(I$5-(6-'4JSON'!I788))</f>
        <v>1</v>
      </c>
      <c r="J794" s="41">
        <f>ABS(J$5-(6-'4JSON'!J788))</f>
        <v>1</v>
      </c>
      <c r="K794" s="41">
        <f>ABS(K$5-(6-'4JSON'!K788))</f>
        <v>1</v>
      </c>
      <c r="L794" s="41">
        <f>ABS(L$5-(6-'4JSON'!L788))</f>
        <v>1</v>
      </c>
      <c r="M794" s="36">
        <f t="shared" si="1"/>
        <v>12</v>
      </c>
      <c r="N794" s="42">
        <f t="shared" si="2"/>
        <v>0.6666666667</v>
      </c>
    </row>
    <row r="795">
      <c r="A795" s="35">
        <f>'4JSON'!A789</f>
        <v>2112</v>
      </c>
      <c r="B795" s="25" t="str">
        <f>'4JSON'!B789</f>
        <v>Chemists</v>
      </c>
      <c r="C795" s="41" t="str">
        <f>'4JSON'!C789</f>
        <v>Chemists</v>
      </c>
      <c r="D795" s="41">
        <f>ABS(D$5-(6-'4JSON'!D789))</f>
        <v>3</v>
      </c>
      <c r="E795" s="41">
        <f>ABS(E$5-(6-'4JSON'!E789))</f>
        <v>2</v>
      </c>
      <c r="F795" s="41">
        <f>ABS(F$5-(6-'4JSON'!F789))</f>
        <v>2</v>
      </c>
      <c r="G795" s="41">
        <f>ABS(G$5-(6-'4JSON'!G789))</f>
        <v>2</v>
      </c>
      <c r="H795" s="41">
        <f>ABS(H$5-(6-'4JSON'!H789))</f>
        <v>1</v>
      </c>
      <c r="I795" s="41">
        <f>ABS(I$5-(6-'4JSON'!I789))</f>
        <v>2</v>
      </c>
      <c r="J795" s="41">
        <f>ABS(J$5-(6-'4JSON'!J789))</f>
        <v>0</v>
      </c>
      <c r="K795" s="41">
        <f>ABS(K$5-(6-'4JSON'!K789))</f>
        <v>0</v>
      </c>
      <c r="L795" s="41">
        <f>ABS(L$5-(6-'4JSON'!L789))</f>
        <v>0</v>
      </c>
      <c r="M795" s="36">
        <f t="shared" si="1"/>
        <v>12</v>
      </c>
      <c r="N795" s="42">
        <f t="shared" si="2"/>
        <v>0.6666666667</v>
      </c>
    </row>
    <row r="796">
      <c r="A796" s="35">
        <f>'4JSON'!A790</f>
        <v>3012</v>
      </c>
      <c r="B796" s="25" t="str">
        <f>'4JSON'!B790</f>
        <v>Clinical Nurses</v>
      </c>
      <c r="C796" s="41" t="str">
        <f>'4JSON'!C790</f>
        <v>Registered nurses and registered psychiatric nurses</v>
      </c>
      <c r="D796" s="41">
        <f>ABS(D$5-(6-'4JSON'!D790))</f>
        <v>2</v>
      </c>
      <c r="E796" s="41">
        <f>ABS(E$5-(6-'4JSON'!E790))</f>
        <v>1</v>
      </c>
      <c r="F796" s="41">
        <f>ABS(F$5-(6-'4JSON'!F790))</f>
        <v>0</v>
      </c>
      <c r="G796" s="41">
        <f>ABS(G$5-(6-'4JSON'!G790))</f>
        <v>1</v>
      </c>
      <c r="H796" s="41">
        <f>ABS(H$5-(6-'4JSON'!H790))</f>
        <v>2</v>
      </c>
      <c r="I796" s="41">
        <f>ABS(I$5-(6-'4JSON'!I790))</f>
        <v>1</v>
      </c>
      <c r="J796" s="41">
        <f>ABS(J$5-(6-'4JSON'!J790))</f>
        <v>1</v>
      </c>
      <c r="K796" s="41">
        <f>ABS(K$5-(6-'4JSON'!K790))</f>
        <v>1</v>
      </c>
      <c r="L796" s="41">
        <f>ABS(L$5-(6-'4JSON'!L790))</f>
        <v>1</v>
      </c>
      <c r="M796" s="36">
        <f t="shared" si="1"/>
        <v>10</v>
      </c>
      <c r="N796" s="42">
        <f t="shared" si="2"/>
        <v>0.7222222222</v>
      </c>
    </row>
    <row r="797">
      <c r="A797" s="35">
        <f>'4JSON'!A791</f>
        <v>6561</v>
      </c>
      <c r="B797" s="25" t="str">
        <f>'4JSON'!B791</f>
        <v>Colour Consultants</v>
      </c>
      <c r="C797" s="41" t="str">
        <f>'4JSON'!C791</f>
        <v>Image, social and other personal consultants</v>
      </c>
      <c r="D797" s="41">
        <f>ABS(D$5-(6-'4JSON'!D791))</f>
        <v>0</v>
      </c>
      <c r="E797" s="41">
        <f>ABS(E$5-(6-'4JSON'!E791))</f>
        <v>0</v>
      </c>
      <c r="F797" s="41">
        <f>ABS(F$5-(6-'4JSON'!F791))</f>
        <v>1</v>
      </c>
      <c r="G797" s="41">
        <f>ABS(G$5-(6-'4JSON'!G791))</f>
        <v>1</v>
      </c>
      <c r="H797" s="41">
        <f>ABS(H$5-(6-'4JSON'!H791))</f>
        <v>2</v>
      </c>
      <c r="I797" s="41">
        <f>ABS(I$5-(6-'4JSON'!I791))</f>
        <v>1</v>
      </c>
      <c r="J797" s="41">
        <f>ABS(J$5-(6-'4JSON'!J791))</f>
        <v>1</v>
      </c>
      <c r="K797" s="41">
        <f>ABS(K$5-(6-'4JSON'!K791))</f>
        <v>1</v>
      </c>
      <c r="L797" s="41">
        <f>ABS(L$5-(6-'4JSON'!L791))</f>
        <v>1</v>
      </c>
      <c r="M797" s="36">
        <f t="shared" si="1"/>
        <v>8</v>
      </c>
      <c r="N797" s="42">
        <f t="shared" si="2"/>
        <v>0.7777777778</v>
      </c>
    </row>
    <row r="798">
      <c r="A798" s="35">
        <f>'4JSON'!A792</f>
        <v>431</v>
      </c>
      <c r="B798" s="25" t="str">
        <f>'4JSON'!B792</f>
        <v>Commissioned Police Officers</v>
      </c>
      <c r="C798" s="41" t="str">
        <f>'4JSON'!C792</f>
        <v>Commissioned police officers</v>
      </c>
      <c r="D798" s="41">
        <f>ABS(D$5-(6-'4JSON'!D792))</f>
        <v>2</v>
      </c>
      <c r="E798" s="41">
        <f>ABS(E$5-(6-'4JSON'!E792))</f>
        <v>1</v>
      </c>
      <c r="F798" s="41">
        <f>ABS(F$5-(6-'4JSON'!F792))</f>
        <v>0</v>
      </c>
      <c r="G798" s="41">
        <f>ABS(G$5-(6-'4JSON'!G792))</f>
        <v>1</v>
      </c>
      <c r="H798" s="41">
        <f>ABS(H$5-(6-'4JSON'!H792))</f>
        <v>2</v>
      </c>
      <c r="I798" s="41">
        <f>ABS(I$5-(6-'4JSON'!I792))</f>
        <v>1</v>
      </c>
      <c r="J798" s="41">
        <f>ABS(J$5-(6-'4JSON'!J792))</f>
        <v>1</v>
      </c>
      <c r="K798" s="41">
        <f>ABS(K$5-(6-'4JSON'!K792))</f>
        <v>1</v>
      </c>
      <c r="L798" s="41">
        <f>ABS(L$5-(6-'4JSON'!L792))</f>
        <v>1</v>
      </c>
      <c r="M798" s="36">
        <f t="shared" si="1"/>
        <v>10</v>
      </c>
      <c r="N798" s="42">
        <f t="shared" si="2"/>
        <v>0.7222222222</v>
      </c>
    </row>
    <row r="799">
      <c r="A799" s="35">
        <f>'4JSON'!A793</f>
        <v>2173</v>
      </c>
      <c r="B799" s="25" t="str">
        <f>'4JSON'!B793</f>
        <v>Computer and Telecommunications Hardware Engineers</v>
      </c>
      <c r="C799" s="41" t="str">
        <f>'4JSON'!C793</f>
        <v>Software engineers and designers</v>
      </c>
      <c r="D799" s="41">
        <f>ABS(D$5-(6-'4JSON'!D793))</f>
        <v>3</v>
      </c>
      <c r="E799" s="41">
        <f>ABS(E$5-(6-'4JSON'!E793))</f>
        <v>1</v>
      </c>
      <c r="F799" s="41">
        <f>ABS(F$5-(6-'4JSON'!F793))</f>
        <v>2</v>
      </c>
      <c r="G799" s="41">
        <f>ABS(G$5-(6-'4JSON'!G793))</f>
        <v>0</v>
      </c>
      <c r="H799" s="41">
        <f>ABS(H$5-(6-'4JSON'!H793))</f>
        <v>1</v>
      </c>
      <c r="I799" s="41">
        <f>ABS(I$5-(6-'4JSON'!I793))</f>
        <v>0</v>
      </c>
      <c r="J799" s="41">
        <f>ABS(J$5-(6-'4JSON'!J793))</f>
        <v>1</v>
      </c>
      <c r="K799" s="41">
        <f>ABS(K$5-(6-'4JSON'!K793))</f>
        <v>1</v>
      </c>
      <c r="L799" s="41">
        <f>ABS(L$5-(6-'4JSON'!L793))</f>
        <v>1</v>
      </c>
      <c r="M799" s="36">
        <f t="shared" si="1"/>
        <v>10</v>
      </c>
      <c r="N799" s="42">
        <f t="shared" si="2"/>
        <v>0.7222222222</v>
      </c>
    </row>
    <row r="800">
      <c r="A800" s="35">
        <f>'4JSON'!A794</f>
        <v>7611</v>
      </c>
      <c r="B800" s="25" t="str">
        <f>'4JSON'!B794</f>
        <v>Construction Trades Helpers and Labourers</v>
      </c>
      <c r="C800" s="41" t="str">
        <f>'4JSON'!C794</f>
        <v>Construction trades helpers and labourers</v>
      </c>
      <c r="D800" s="41">
        <f>ABS(D$5-(6-'4JSON'!D794))</f>
        <v>0</v>
      </c>
      <c r="E800" s="41">
        <f>ABS(E$5-(6-'4JSON'!E794))</f>
        <v>1</v>
      </c>
      <c r="F800" s="41">
        <f>ABS(F$5-(6-'4JSON'!F794))</f>
        <v>1</v>
      </c>
      <c r="G800" s="41">
        <f>ABS(G$5-(6-'4JSON'!G794))</f>
        <v>1</v>
      </c>
      <c r="H800" s="41">
        <f>ABS(H$5-(6-'4JSON'!H794))</f>
        <v>2</v>
      </c>
      <c r="I800" s="41">
        <f>ABS(I$5-(6-'4JSON'!I794))</f>
        <v>2</v>
      </c>
      <c r="J800" s="41">
        <f>ABS(J$5-(6-'4JSON'!J794))</f>
        <v>1</v>
      </c>
      <c r="K800" s="41">
        <f>ABS(K$5-(6-'4JSON'!K794))</f>
        <v>1</v>
      </c>
      <c r="L800" s="41">
        <f>ABS(L$5-(6-'4JSON'!L794))</f>
        <v>1</v>
      </c>
      <c r="M800" s="36">
        <f t="shared" si="1"/>
        <v>10</v>
      </c>
      <c r="N800" s="42">
        <f t="shared" si="2"/>
        <v>0.7222222222</v>
      </c>
    </row>
    <row r="801">
      <c r="A801" s="35">
        <f>'4JSON'!A795</f>
        <v>2172</v>
      </c>
      <c r="B801" s="25" t="str">
        <f>'4JSON'!B795</f>
        <v>Database Analysts</v>
      </c>
      <c r="C801" s="41" t="str">
        <f>'4JSON'!C795</f>
        <v>Database analysts and data administrators</v>
      </c>
      <c r="D801" s="41">
        <f>ABS(D$5-(6-'4JSON'!D795))</f>
        <v>2</v>
      </c>
      <c r="E801" s="41">
        <f>ABS(E$5-(6-'4JSON'!E795))</f>
        <v>1</v>
      </c>
      <c r="F801" s="41">
        <f>ABS(F$5-(6-'4JSON'!F795))</f>
        <v>1</v>
      </c>
      <c r="G801" s="41">
        <f>ABS(G$5-(6-'4JSON'!G795))</f>
        <v>1</v>
      </c>
      <c r="H801" s="41">
        <f>ABS(H$5-(6-'4JSON'!H795))</f>
        <v>0</v>
      </c>
      <c r="I801" s="41">
        <f>ABS(I$5-(6-'4JSON'!I795))</f>
        <v>2</v>
      </c>
      <c r="J801" s="41">
        <f>ABS(J$5-(6-'4JSON'!J795))</f>
        <v>1</v>
      </c>
      <c r="K801" s="41">
        <f>ABS(K$5-(6-'4JSON'!K795))</f>
        <v>1</v>
      </c>
      <c r="L801" s="41">
        <f>ABS(L$5-(6-'4JSON'!L795))</f>
        <v>1</v>
      </c>
      <c r="M801" s="36">
        <f t="shared" si="1"/>
        <v>10</v>
      </c>
      <c r="N801" s="42">
        <f t="shared" si="2"/>
        <v>0.7222222222</v>
      </c>
    </row>
    <row r="802">
      <c r="A802" s="35">
        <f>'4JSON'!A796</f>
        <v>6623</v>
      </c>
      <c r="B802" s="25" t="str">
        <f>'4JSON'!B796</f>
        <v>Demonstrators</v>
      </c>
      <c r="C802" s="41" t="str">
        <f>'4JSON'!C796</f>
        <v>Other sales related occupations</v>
      </c>
      <c r="D802" s="41">
        <f>ABS(D$5-(6-'4JSON'!D796))</f>
        <v>0</v>
      </c>
      <c r="E802" s="41">
        <f>ABS(E$5-(6-'4JSON'!E796))</f>
        <v>0</v>
      </c>
      <c r="F802" s="41">
        <f>ABS(F$5-(6-'4JSON'!F796))</f>
        <v>1</v>
      </c>
      <c r="G802" s="41">
        <f>ABS(G$5-(6-'4JSON'!G796))</f>
        <v>1</v>
      </c>
      <c r="H802" s="41">
        <f>ABS(H$5-(6-'4JSON'!H796))</f>
        <v>2</v>
      </c>
      <c r="I802" s="41">
        <f>ABS(I$5-(6-'4JSON'!I796))</f>
        <v>1</v>
      </c>
      <c r="J802" s="41">
        <f>ABS(J$5-(6-'4JSON'!J796))</f>
        <v>1</v>
      </c>
      <c r="K802" s="41">
        <f>ABS(K$5-(6-'4JSON'!K796))</f>
        <v>1</v>
      </c>
      <c r="L802" s="41">
        <f>ABS(L$5-(6-'4JSON'!L796))</f>
        <v>1</v>
      </c>
      <c r="M802" s="36">
        <f t="shared" si="1"/>
        <v>8</v>
      </c>
      <c r="N802" s="42">
        <f t="shared" si="2"/>
        <v>0.7777777778</v>
      </c>
    </row>
    <row r="803">
      <c r="A803" s="35">
        <f>'4JSON'!A797</f>
        <v>6623</v>
      </c>
      <c r="B803" s="25" t="str">
        <f>'4JSON'!B797</f>
        <v>Direct Distributors</v>
      </c>
      <c r="C803" s="41" t="str">
        <f>'4JSON'!C797</f>
        <v>Other sales related occupations</v>
      </c>
      <c r="D803" s="41">
        <f>ABS(D$5-(6-'4JSON'!D797))</f>
        <v>0</v>
      </c>
      <c r="E803" s="41">
        <f>ABS(E$5-(6-'4JSON'!E797))</f>
        <v>0</v>
      </c>
      <c r="F803" s="41">
        <f>ABS(F$5-(6-'4JSON'!F797))</f>
        <v>1</v>
      </c>
      <c r="G803" s="41">
        <f>ABS(G$5-(6-'4JSON'!G797))</f>
        <v>1</v>
      </c>
      <c r="H803" s="41">
        <f>ABS(H$5-(6-'4JSON'!H797))</f>
        <v>2</v>
      </c>
      <c r="I803" s="41">
        <f>ABS(I$5-(6-'4JSON'!I797))</f>
        <v>1</v>
      </c>
      <c r="J803" s="41">
        <f>ABS(J$5-(6-'4JSON'!J797))</f>
        <v>1</v>
      </c>
      <c r="K803" s="41">
        <f>ABS(K$5-(6-'4JSON'!K797))</f>
        <v>1</v>
      </c>
      <c r="L803" s="41">
        <f>ABS(L$5-(6-'4JSON'!L797))</f>
        <v>1</v>
      </c>
      <c r="M803" s="36">
        <f t="shared" si="1"/>
        <v>8</v>
      </c>
      <c r="N803" s="42">
        <f t="shared" si="2"/>
        <v>0.7777777778</v>
      </c>
    </row>
    <row r="804">
      <c r="A804" s="35">
        <f>'4JSON'!A798</f>
        <v>6711</v>
      </c>
      <c r="B804" s="25" t="str">
        <f>'4JSON'!B798</f>
        <v>Dishwashers</v>
      </c>
      <c r="C804" s="41" t="str">
        <f>'4JSON'!C798</f>
        <v>Food counter attendants, kitchen helpers and related support occupations</v>
      </c>
      <c r="D804" s="41">
        <f>ABS(D$5-(6-'4JSON'!D798))</f>
        <v>0</v>
      </c>
      <c r="E804" s="41">
        <f>ABS(E$5-(6-'4JSON'!E798))</f>
        <v>2</v>
      </c>
      <c r="F804" s="41">
        <f>ABS(F$5-(6-'4JSON'!F798))</f>
        <v>2</v>
      </c>
      <c r="G804" s="41">
        <f>ABS(G$5-(6-'4JSON'!G798))</f>
        <v>1</v>
      </c>
      <c r="H804" s="41">
        <f>ABS(H$5-(6-'4JSON'!H798))</f>
        <v>2</v>
      </c>
      <c r="I804" s="41">
        <f>ABS(I$5-(6-'4JSON'!I798))</f>
        <v>2</v>
      </c>
      <c r="J804" s="41">
        <f>ABS(J$5-(6-'4JSON'!J798))</f>
        <v>1</v>
      </c>
      <c r="K804" s="41">
        <f>ABS(K$5-(6-'4JSON'!K798))</f>
        <v>1</v>
      </c>
      <c r="L804" s="41">
        <f>ABS(L$5-(6-'4JSON'!L798))</f>
        <v>1</v>
      </c>
      <c r="M804" s="36">
        <f t="shared" si="1"/>
        <v>12</v>
      </c>
      <c r="N804" s="42">
        <f t="shared" si="2"/>
        <v>0.6666666667</v>
      </c>
    </row>
    <row r="805">
      <c r="A805" s="35">
        <f>'4JSON'!A799</f>
        <v>6623</v>
      </c>
      <c r="B805" s="25" t="str">
        <f>'4JSON'!B799</f>
        <v>Door-to-Door Salespersons</v>
      </c>
      <c r="C805" s="41" t="str">
        <f>'4JSON'!C799</f>
        <v>Other sales related occupations</v>
      </c>
      <c r="D805" s="41">
        <f>ABS(D$5-(6-'4JSON'!D799))</f>
        <v>0</v>
      </c>
      <c r="E805" s="41">
        <f>ABS(E$5-(6-'4JSON'!E799))</f>
        <v>0</v>
      </c>
      <c r="F805" s="41">
        <f>ABS(F$5-(6-'4JSON'!F799))</f>
        <v>1</v>
      </c>
      <c r="G805" s="41">
        <f>ABS(G$5-(6-'4JSON'!G799))</f>
        <v>1</v>
      </c>
      <c r="H805" s="41">
        <f>ABS(H$5-(6-'4JSON'!H799))</f>
        <v>2</v>
      </c>
      <c r="I805" s="41">
        <f>ABS(I$5-(6-'4JSON'!I799))</f>
        <v>1</v>
      </c>
      <c r="J805" s="41">
        <f>ABS(J$5-(6-'4JSON'!J799))</f>
        <v>1</v>
      </c>
      <c r="K805" s="41">
        <f>ABS(K$5-(6-'4JSON'!K799))</f>
        <v>1</v>
      </c>
      <c r="L805" s="41">
        <f>ABS(L$5-(6-'4JSON'!L799))</f>
        <v>1</v>
      </c>
      <c r="M805" s="36">
        <f t="shared" si="1"/>
        <v>8</v>
      </c>
      <c r="N805" s="42">
        <f t="shared" si="2"/>
        <v>0.7777777778</v>
      </c>
    </row>
    <row r="806">
      <c r="A806" s="35">
        <f>'4JSON'!A800</f>
        <v>6741</v>
      </c>
      <c r="B806" s="25" t="str">
        <f>'4JSON'!B800</f>
        <v>Dry Cleaning and Laundry Inspectors and Assemblers</v>
      </c>
      <c r="C806" s="41" t="str">
        <f>'4JSON'!C800</f>
        <v>Dry cleaning, laundry and related occupations</v>
      </c>
      <c r="D806" s="41">
        <f>ABS(D$5-(6-'4JSON'!D800))</f>
        <v>0</v>
      </c>
      <c r="E806" s="41">
        <f>ABS(E$5-(6-'4JSON'!E800))</f>
        <v>1</v>
      </c>
      <c r="F806" s="41">
        <f>ABS(F$5-(6-'4JSON'!F800))</f>
        <v>2</v>
      </c>
      <c r="G806" s="41">
        <f>ABS(G$5-(6-'4JSON'!G800))</f>
        <v>1</v>
      </c>
      <c r="H806" s="41">
        <f>ABS(H$5-(6-'4JSON'!H800))</f>
        <v>2</v>
      </c>
      <c r="I806" s="41">
        <f>ABS(I$5-(6-'4JSON'!I800))</f>
        <v>1</v>
      </c>
      <c r="J806" s="41">
        <f>ABS(J$5-(6-'4JSON'!J800))</f>
        <v>1</v>
      </c>
      <c r="K806" s="41">
        <f>ABS(K$5-(6-'4JSON'!K800))</f>
        <v>1</v>
      </c>
      <c r="L806" s="41">
        <f>ABS(L$5-(6-'4JSON'!L800))</f>
        <v>1</v>
      </c>
      <c r="M806" s="36">
        <f t="shared" si="1"/>
        <v>10</v>
      </c>
      <c r="N806" s="42">
        <f t="shared" si="2"/>
        <v>0.7222222222</v>
      </c>
    </row>
    <row r="807">
      <c r="A807" s="35">
        <f>'4JSON'!A801</f>
        <v>6741</v>
      </c>
      <c r="B807" s="25" t="str">
        <f>'4JSON'!B801</f>
        <v>Dry Cleaning and Laundry Machine Operators</v>
      </c>
      <c r="C807" s="41" t="str">
        <f>'4JSON'!C801</f>
        <v>Dry cleaning, laundry and related occupations</v>
      </c>
      <c r="D807" s="41">
        <f>ABS(D$5-(6-'4JSON'!D801))</f>
        <v>0</v>
      </c>
      <c r="E807" s="41">
        <f>ABS(E$5-(6-'4JSON'!E801))</f>
        <v>1</v>
      </c>
      <c r="F807" s="41">
        <f>ABS(F$5-(6-'4JSON'!F801))</f>
        <v>2</v>
      </c>
      <c r="G807" s="41">
        <f>ABS(G$5-(6-'4JSON'!G801))</f>
        <v>1</v>
      </c>
      <c r="H807" s="41">
        <f>ABS(H$5-(6-'4JSON'!H801))</f>
        <v>2</v>
      </c>
      <c r="I807" s="41">
        <f>ABS(I$5-(6-'4JSON'!I801))</f>
        <v>2</v>
      </c>
      <c r="J807" s="41">
        <f>ABS(J$5-(6-'4JSON'!J801))</f>
        <v>1</v>
      </c>
      <c r="K807" s="41">
        <f>ABS(K$5-(6-'4JSON'!K801))</f>
        <v>1</v>
      </c>
      <c r="L807" s="41">
        <f>ABS(L$5-(6-'4JSON'!L801))</f>
        <v>0</v>
      </c>
      <c r="M807" s="36">
        <f t="shared" si="1"/>
        <v>10</v>
      </c>
      <c r="N807" s="42">
        <f t="shared" si="2"/>
        <v>0.7222222222</v>
      </c>
    </row>
    <row r="808">
      <c r="A808" s="35">
        <f>'4JSON'!A802</f>
        <v>124</v>
      </c>
      <c r="B808" s="25" t="str">
        <f>'4JSON'!B802</f>
        <v>E-commerce Managers</v>
      </c>
      <c r="C808" s="41" t="str">
        <f>'4JSON'!C802</f>
        <v>Advertising, marketing and public relations managers</v>
      </c>
      <c r="D808" s="41">
        <f>ABS(D$5-(6-'4JSON'!D802))</f>
        <v>2</v>
      </c>
      <c r="E808" s="41">
        <f>ABS(E$5-(6-'4JSON'!E802))</f>
        <v>1</v>
      </c>
      <c r="F808" s="41">
        <f>ABS(F$5-(6-'4JSON'!F802))</f>
        <v>1</v>
      </c>
      <c r="G808" s="41">
        <f>ABS(G$5-(6-'4JSON'!G802))</f>
        <v>1</v>
      </c>
      <c r="H808" s="41">
        <f>ABS(H$5-(6-'4JSON'!H802))</f>
        <v>2</v>
      </c>
      <c r="I808" s="41">
        <f>ABS(I$5-(6-'4JSON'!I802))</f>
        <v>0</v>
      </c>
      <c r="J808" s="41">
        <f>ABS(J$5-(6-'4JSON'!J802))</f>
        <v>1</v>
      </c>
      <c r="K808" s="41">
        <f>ABS(K$5-(6-'4JSON'!K802))</f>
        <v>1</v>
      </c>
      <c r="L808" s="41">
        <f>ABS(L$5-(6-'4JSON'!L802))</f>
        <v>1</v>
      </c>
      <c r="M808" s="36">
        <f t="shared" si="1"/>
        <v>10</v>
      </c>
      <c r="N808" s="42">
        <f t="shared" si="2"/>
        <v>0.7222222222</v>
      </c>
    </row>
    <row r="809">
      <c r="A809" s="35">
        <f>'4JSON'!A803</f>
        <v>4033</v>
      </c>
      <c r="B809" s="25" t="str">
        <f>'4JSON'!B803</f>
        <v>Educational Counsellors</v>
      </c>
      <c r="C809" s="41" t="str">
        <f>'4JSON'!C803</f>
        <v>Educational counsellors</v>
      </c>
      <c r="D809" s="41">
        <f>ABS(D$5-(6-'4JSON'!D803))</f>
        <v>2</v>
      </c>
      <c r="E809" s="41">
        <f>ABS(E$5-(6-'4JSON'!E803))</f>
        <v>1</v>
      </c>
      <c r="F809" s="41">
        <f>ABS(F$5-(6-'4JSON'!F803))</f>
        <v>0</v>
      </c>
      <c r="G809" s="41">
        <f>ABS(G$5-(6-'4JSON'!G803))</f>
        <v>1</v>
      </c>
      <c r="H809" s="41">
        <f>ABS(H$5-(6-'4JSON'!H803))</f>
        <v>2</v>
      </c>
      <c r="I809" s="41">
        <f>ABS(I$5-(6-'4JSON'!I803))</f>
        <v>1</v>
      </c>
      <c r="J809" s="41">
        <f>ABS(J$5-(6-'4JSON'!J803))</f>
        <v>1</v>
      </c>
      <c r="K809" s="41">
        <f>ABS(K$5-(6-'4JSON'!K803))</f>
        <v>1</v>
      </c>
      <c r="L809" s="41">
        <f>ABS(L$5-(6-'4JSON'!L803))</f>
        <v>1</v>
      </c>
      <c r="M809" s="36">
        <f t="shared" si="1"/>
        <v>10</v>
      </c>
      <c r="N809" s="42">
        <f t="shared" si="2"/>
        <v>0.7222222222</v>
      </c>
    </row>
    <row r="810">
      <c r="A810" s="35">
        <f>'4JSON'!A804</f>
        <v>4156</v>
      </c>
      <c r="B810" s="25" t="str">
        <f>'4JSON'!B804</f>
        <v>Employment Counsellors</v>
      </c>
      <c r="C810" s="41" t="str">
        <f>'4JSON'!C804</f>
        <v>Employment counsellors</v>
      </c>
      <c r="D810" s="41">
        <f>ABS(D$5-(6-'4JSON'!D804))</f>
        <v>1</v>
      </c>
      <c r="E810" s="41">
        <f>ABS(E$5-(6-'4JSON'!E804))</f>
        <v>1</v>
      </c>
      <c r="F810" s="41">
        <f>ABS(F$5-(6-'4JSON'!F804))</f>
        <v>0</v>
      </c>
      <c r="G810" s="41">
        <f>ABS(G$5-(6-'4JSON'!G804))</f>
        <v>1</v>
      </c>
      <c r="H810" s="41">
        <f>ABS(H$5-(6-'4JSON'!H804))</f>
        <v>2</v>
      </c>
      <c r="I810" s="41">
        <f>ABS(I$5-(6-'4JSON'!I804))</f>
        <v>0</v>
      </c>
      <c r="J810" s="41">
        <f>ABS(J$5-(6-'4JSON'!J804))</f>
        <v>1</v>
      </c>
      <c r="K810" s="41">
        <f>ABS(K$5-(6-'4JSON'!K804))</f>
        <v>1</v>
      </c>
      <c r="L810" s="41">
        <f>ABS(L$5-(6-'4JSON'!L804))</f>
        <v>1</v>
      </c>
      <c r="M810" s="36">
        <f t="shared" si="1"/>
        <v>8</v>
      </c>
      <c r="N810" s="42">
        <f t="shared" si="2"/>
        <v>0.7777777778</v>
      </c>
    </row>
    <row r="811">
      <c r="A811" s="35">
        <f>'4JSON'!A805</f>
        <v>1228</v>
      </c>
      <c r="B811" s="25" t="str">
        <f>'4JSON'!B805</f>
        <v>Employment Insurance Officers</v>
      </c>
      <c r="C811" s="41" t="str">
        <f>'4JSON'!C805</f>
        <v>Employment insurance, immigration, border services and revenue officers</v>
      </c>
      <c r="D811" s="41">
        <f>ABS(D$5-(6-'4JSON'!D805))</f>
        <v>2</v>
      </c>
      <c r="E811" s="41">
        <f>ABS(E$5-(6-'4JSON'!E805))</f>
        <v>1</v>
      </c>
      <c r="F811" s="41">
        <f>ABS(F$5-(6-'4JSON'!F805))</f>
        <v>0</v>
      </c>
      <c r="G811" s="41">
        <f>ABS(G$5-(6-'4JSON'!G805))</f>
        <v>1</v>
      </c>
      <c r="H811" s="41">
        <f>ABS(H$5-(6-'4JSON'!H805))</f>
        <v>2</v>
      </c>
      <c r="I811" s="41">
        <f>ABS(I$5-(6-'4JSON'!I805))</f>
        <v>1</v>
      </c>
      <c r="J811" s="41">
        <f>ABS(J$5-(6-'4JSON'!J805))</f>
        <v>1</v>
      </c>
      <c r="K811" s="41">
        <f>ABS(K$5-(6-'4JSON'!K805))</f>
        <v>1</v>
      </c>
      <c r="L811" s="41">
        <f>ABS(L$5-(6-'4JSON'!L805))</f>
        <v>1</v>
      </c>
      <c r="M811" s="36">
        <f t="shared" si="1"/>
        <v>10</v>
      </c>
      <c r="N811" s="42">
        <f t="shared" si="2"/>
        <v>0.7222222222</v>
      </c>
    </row>
    <row r="812">
      <c r="A812" s="35">
        <f>'4JSON'!A806</f>
        <v>2148</v>
      </c>
      <c r="B812" s="25" t="str">
        <f>'4JSON'!B806</f>
        <v>Engineering Physicists and Engineering Scientists</v>
      </c>
      <c r="C812" s="41" t="str">
        <f>'4JSON'!C806</f>
        <v>Other professional engineers, n.e.c.</v>
      </c>
      <c r="D812" s="41">
        <f>ABS(D$5-(6-'4JSON'!D806))</f>
        <v>3</v>
      </c>
      <c r="E812" s="41">
        <f>ABS(E$5-(6-'4JSON'!E806))</f>
        <v>2</v>
      </c>
      <c r="F812" s="41">
        <f>ABS(F$5-(6-'4JSON'!F806))</f>
        <v>2</v>
      </c>
      <c r="G812" s="41">
        <f>ABS(G$5-(6-'4JSON'!G806))</f>
        <v>2</v>
      </c>
      <c r="H812" s="41">
        <f>ABS(H$5-(6-'4JSON'!H806))</f>
        <v>1</v>
      </c>
      <c r="I812" s="41">
        <f>ABS(I$5-(6-'4JSON'!I806))</f>
        <v>1</v>
      </c>
      <c r="J812" s="41">
        <f>ABS(J$5-(6-'4JSON'!J806))</f>
        <v>1</v>
      </c>
      <c r="K812" s="41">
        <f>ABS(K$5-(6-'4JSON'!K806))</f>
        <v>1</v>
      </c>
      <c r="L812" s="41">
        <f>ABS(L$5-(6-'4JSON'!L806))</f>
        <v>1</v>
      </c>
      <c r="M812" s="36">
        <f t="shared" si="1"/>
        <v>14</v>
      </c>
      <c r="N812" s="42">
        <f t="shared" si="2"/>
        <v>0.6111111111</v>
      </c>
    </row>
    <row r="813">
      <c r="A813" s="35">
        <f>'4JSON'!A807</f>
        <v>4153</v>
      </c>
      <c r="B813" s="25" t="str">
        <f>'4JSON'!B807</f>
        <v>Family, Marriage and Other Related Counsellors</v>
      </c>
      <c r="C813" s="41" t="str">
        <f>'4JSON'!C807</f>
        <v>Family, marriage and other related counsellors</v>
      </c>
      <c r="D813" s="41">
        <f>ABS(D$5-(6-'4JSON'!D807))</f>
        <v>2</v>
      </c>
      <c r="E813" s="41">
        <f>ABS(E$5-(6-'4JSON'!E807))</f>
        <v>1</v>
      </c>
      <c r="F813" s="41">
        <f>ABS(F$5-(6-'4JSON'!F807))</f>
        <v>0</v>
      </c>
      <c r="G813" s="41">
        <f>ABS(G$5-(6-'4JSON'!G807))</f>
        <v>1</v>
      </c>
      <c r="H813" s="41">
        <f>ABS(H$5-(6-'4JSON'!H807))</f>
        <v>2</v>
      </c>
      <c r="I813" s="41">
        <f>ABS(I$5-(6-'4JSON'!I807))</f>
        <v>1</v>
      </c>
      <c r="J813" s="41">
        <f>ABS(J$5-(6-'4JSON'!J807))</f>
        <v>1</v>
      </c>
      <c r="K813" s="41">
        <f>ABS(K$5-(6-'4JSON'!K807))</f>
        <v>1</v>
      </c>
      <c r="L813" s="41">
        <f>ABS(L$5-(6-'4JSON'!L807))</f>
        <v>1</v>
      </c>
      <c r="M813" s="36">
        <f t="shared" si="1"/>
        <v>10</v>
      </c>
      <c r="N813" s="42">
        <f t="shared" si="2"/>
        <v>0.7222222222</v>
      </c>
    </row>
    <row r="814">
      <c r="A814" s="35">
        <f>'4JSON'!A808</f>
        <v>1114</v>
      </c>
      <c r="B814" s="25" t="str">
        <f>'4JSON'!B808</f>
        <v>Financial Planners</v>
      </c>
      <c r="C814" s="41" t="str">
        <f>'4JSON'!C808</f>
        <v>Other financial officers</v>
      </c>
      <c r="D814" s="41">
        <f>ABS(D$5-(6-'4JSON'!D808))</f>
        <v>2</v>
      </c>
      <c r="E814" s="41">
        <f>ABS(E$5-(6-'4JSON'!E808))</f>
        <v>1</v>
      </c>
      <c r="F814" s="41">
        <f>ABS(F$5-(6-'4JSON'!F808))</f>
        <v>1</v>
      </c>
      <c r="G814" s="41">
        <f>ABS(G$5-(6-'4JSON'!G808))</f>
        <v>1</v>
      </c>
      <c r="H814" s="41">
        <f>ABS(H$5-(6-'4JSON'!H808))</f>
        <v>2</v>
      </c>
      <c r="I814" s="41">
        <f>ABS(I$5-(6-'4JSON'!I808))</f>
        <v>0</v>
      </c>
      <c r="J814" s="41">
        <f>ABS(J$5-(6-'4JSON'!J808))</f>
        <v>1</v>
      </c>
      <c r="K814" s="41">
        <f>ABS(K$5-(6-'4JSON'!K808))</f>
        <v>1</v>
      </c>
      <c r="L814" s="41">
        <f>ABS(L$5-(6-'4JSON'!L808))</f>
        <v>1</v>
      </c>
      <c r="M814" s="36">
        <f t="shared" si="1"/>
        <v>10</v>
      </c>
      <c r="N814" s="42">
        <f t="shared" si="2"/>
        <v>0.7222222222</v>
      </c>
    </row>
    <row r="815">
      <c r="A815" s="35">
        <f>'4JSON'!A809</f>
        <v>9463</v>
      </c>
      <c r="B815" s="25" t="str">
        <f>'4JSON'!B809</f>
        <v>Fish Plant Cutters and Cleaners</v>
      </c>
      <c r="C815" s="41" t="str">
        <f>'4JSON'!C809</f>
        <v>Fish and seafood plant workers</v>
      </c>
      <c r="D815" s="41">
        <f>ABS(D$5-(6-'4JSON'!D809))</f>
        <v>0</v>
      </c>
      <c r="E815" s="41">
        <f>ABS(E$5-(6-'4JSON'!E809))</f>
        <v>1</v>
      </c>
      <c r="F815" s="41">
        <f>ABS(F$5-(6-'4JSON'!F809))</f>
        <v>2</v>
      </c>
      <c r="G815" s="41">
        <f>ABS(G$5-(6-'4JSON'!G809))</f>
        <v>1</v>
      </c>
      <c r="H815" s="41">
        <f>ABS(H$5-(6-'4JSON'!H809))</f>
        <v>2</v>
      </c>
      <c r="I815" s="41">
        <f>ABS(I$5-(6-'4JSON'!I809))</f>
        <v>2</v>
      </c>
      <c r="J815" s="41">
        <f>ABS(J$5-(6-'4JSON'!J809))</f>
        <v>1</v>
      </c>
      <c r="K815" s="41">
        <f>ABS(K$5-(6-'4JSON'!K809))</f>
        <v>1</v>
      </c>
      <c r="L815" s="41">
        <f>ABS(L$5-(6-'4JSON'!L809))</f>
        <v>0</v>
      </c>
      <c r="M815" s="36">
        <f t="shared" si="1"/>
        <v>10</v>
      </c>
      <c r="N815" s="42">
        <f t="shared" si="2"/>
        <v>0.7222222222</v>
      </c>
    </row>
    <row r="816">
      <c r="A816" s="35">
        <f>'4JSON'!A810</f>
        <v>2272</v>
      </c>
      <c r="B816" s="25" t="str">
        <f>'4JSON'!B810</f>
        <v>Flight Service Specialists</v>
      </c>
      <c r="C816" s="41" t="str">
        <f>'4JSON'!C810</f>
        <v>Air traffic controllers and related occupations</v>
      </c>
      <c r="D816" s="41">
        <f>ABS(D$5-(6-'4JSON'!D810))</f>
        <v>1</v>
      </c>
      <c r="E816" s="41">
        <f>ABS(E$5-(6-'4JSON'!E810))</f>
        <v>0</v>
      </c>
      <c r="F816" s="41">
        <f>ABS(F$5-(6-'4JSON'!F810))</f>
        <v>0</v>
      </c>
      <c r="G816" s="41">
        <f>ABS(G$5-(6-'4JSON'!G810))</f>
        <v>1</v>
      </c>
      <c r="H816" s="41">
        <f>ABS(H$5-(6-'4JSON'!H810))</f>
        <v>2</v>
      </c>
      <c r="I816" s="41">
        <f>ABS(I$5-(6-'4JSON'!I810))</f>
        <v>1</v>
      </c>
      <c r="J816" s="41">
        <f>ABS(J$5-(6-'4JSON'!J810))</f>
        <v>1</v>
      </c>
      <c r="K816" s="41">
        <f>ABS(K$5-(6-'4JSON'!K810))</f>
        <v>1</v>
      </c>
      <c r="L816" s="41">
        <f>ABS(L$5-(6-'4JSON'!L810))</f>
        <v>1</v>
      </c>
      <c r="M816" s="36">
        <f t="shared" si="1"/>
        <v>8</v>
      </c>
      <c r="N816" s="42">
        <f t="shared" si="2"/>
        <v>0.7777777778</v>
      </c>
    </row>
    <row r="817">
      <c r="A817" s="35">
        <f>'4JSON'!A811</f>
        <v>6346</v>
      </c>
      <c r="B817" s="25" t="str">
        <f>'4JSON'!B811</f>
        <v>Funeral Directors</v>
      </c>
      <c r="C817" s="41" t="str">
        <f>'4JSON'!C811</f>
        <v>Funeral directors and embalmers</v>
      </c>
      <c r="D817" s="41">
        <f>ABS(D$5-(6-'4JSON'!D811))</f>
        <v>1</v>
      </c>
      <c r="E817" s="41">
        <f>ABS(E$5-(6-'4JSON'!E811))</f>
        <v>1</v>
      </c>
      <c r="F817" s="41">
        <f>ABS(F$5-(6-'4JSON'!F811))</f>
        <v>0</v>
      </c>
      <c r="G817" s="41">
        <f>ABS(G$5-(6-'4JSON'!G811))</f>
        <v>1</v>
      </c>
      <c r="H817" s="41">
        <f>ABS(H$5-(6-'4JSON'!H811))</f>
        <v>2</v>
      </c>
      <c r="I817" s="41">
        <f>ABS(I$5-(6-'4JSON'!I811))</f>
        <v>0</v>
      </c>
      <c r="J817" s="41">
        <f>ABS(J$5-(6-'4JSON'!J811))</f>
        <v>1</v>
      </c>
      <c r="K817" s="41">
        <f>ABS(K$5-(6-'4JSON'!K811))</f>
        <v>1</v>
      </c>
      <c r="L817" s="41">
        <f>ABS(L$5-(6-'4JSON'!L811))</f>
        <v>1</v>
      </c>
      <c r="M817" s="36">
        <f t="shared" si="1"/>
        <v>8</v>
      </c>
      <c r="N817" s="42">
        <f t="shared" si="2"/>
        <v>0.7777777778</v>
      </c>
    </row>
    <row r="818">
      <c r="A818" s="35">
        <f>'4JSON'!A812</f>
        <v>6742</v>
      </c>
      <c r="B818" s="25" t="str">
        <f>'4JSON'!B812</f>
        <v>Funeral Home Attendants</v>
      </c>
      <c r="C818" s="41" t="str">
        <f>'4JSON'!C812</f>
        <v>Other service support occupations, n.e.c.</v>
      </c>
      <c r="D818" s="41">
        <f>ABS(D$5-(6-'4JSON'!D812))</f>
        <v>0</v>
      </c>
      <c r="E818" s="41">
        <f>ABS(E$5-(6-'4JSON'!E812))</f>
        <v>1</v>
      </c>
      <c r="F818" s="41">
        <f>ABS(F$5-(6-'4JSON'!F812))</f>
        <v>2</v>
      </c>
      <c r="G818" s="41">
        <f>ABS(G$5-(6-'4JSON'!G812))</f>
        <v>1</v>
      </c>
      <c r="H818" s="41">
        <f>ABS(H$5-(6-'4JSON'!H812))</f>
        <v>2</v>
      </c>
      <c r="I818" s="41">
        <f>ABS(I$5-(6-'4JSON'!I812))</f>
        <v>1</v>
      </c>
      <c r="J818" s="41">
        <f>ABS(J$5-(6-'4JSON'!J812))</f>
        <v>1</v>
      </c>
      <c r="K818" s="41">
        <f>ABS(K$5-(6-'4JSON'!K812))</f>
        <v>1</v>
      </c>
      <c r="L818" s="41">
        <f>ABS(L$5-(6-'4JSON'!L812))</f>
        <v>1</v>
      </c>
      <c r="M818" s="36">
        <f t="shared" si="1"/>
        <v>10</v>
      </c>
      <c r="N818" s="42">
        <f t="shared" si="2"/>
        <v>0.7222222222</v>
      </c>
    </row>
    <row r="819">
      <c r="A819" s="35">
        <f>'4JSON'!A813</f>
        <v>6313</v>
      </c>
      <c r="B819" s="25" t="str">
        <f>'4JSON'!B813</f>
        <v>Gambling Casino Supervisors</v>
      </c>
      <c r="C819" s="41" t="str">
        <f>'4JSON'!C813</f>
        <v>Accommodation, travel, tourism and related services supervisors</v>
      </c>
      <c r="D819" s="41">
        <f>ABS(D$5-(6-'4JSON'!D813))</f>
        <v>1</v>
      </c>
      <c r="E819" s="41">
        <f>ABS(E$5-(6-'4JSON'!E813))</f>
        <v>0</v>
      </c>
      <c r="F819" s="41">
        <f>ABS(F$5-(6-'4JSON'!F813))</f>
        <v>0</v>
      </c>
      <c r="G819" s="41">
        <f>ABS(G$5-(6-'4JSON'!G813))</f>
        <v>1</v>
      </c>
      <c r="H819" s="41">
        <f>ABS(H$5-(6-'4JSON'!H813))</f>
        <v>2</v>
      </c>
      <c r="I819" s="41">
        <f>ABS(I$5-(6-'4JSON'!I813))</f>
        <v>1</v>
      </c>
      <c r="J819" s="41">
        <f>ABS(J$5-(6-'4JSON'!J813))</f>
        <v>1</v>
      </c>
      <c r="K819" s="41">
        <f>ABS(K$5-(6-'4JSON'!K813))</f>
        <v>1</v>
      </c>
      <c r="L819" s="41">
        <f>ABS(L$5-(6-'4JSON'!L813))</f>
        <v>1</v>
      </c>
      <c r="M819" s="36">
        <f t="shared" si="1"/>
        <v>8</v>
      </c>
      <c r="N819" s="42">
        <f t="shared" si="2"/>
        <v>0.7777777778</v>
      </c>
    </row>
    <row r="820">
      <c r="A820" s="35">
        <f>'4JSON'!A814</f>
        <v>1228</v>
      </c>
      <c r="B820" s="25" t="str">
        <f>'4JSON'!B814</f>
        <v>Immigration Officers</v>
      </c>
      <c r="C820" s="41" t="str">
        <f>'4JSON'!C814</f>
        <v>Employment insurance, immigration, border services and revenue officers</v>
      </c>
      <c r="D820" s="41">
        <f>ABS(D$5-(6-'4JSON'!D814))</f>
        <v>2</v>
      </c>
      <c r="E820" s="41">
        <f>ABS(E$5-(6-'4JSON'!E814))</f>
        <v>1</v>
      </c>
      <c r="F820" s="41">
        <f>ABS(F$5-(6-'4JSON'!F814))</f>
        <v>0</v>
      </c>
      <c r="G820" s="41">
        <f>ABS(G$5-(6-'4JSON'!G814))</f>
        <v>1</v>
      </c>
      <c r="H820" s="41">
        <f>ABS(H$5-(6-'4JSON'!H814))</f>
        <v>2</v>
      </c>
      <c r="I820" s="41">
        <f>ABS(I$5-(6-'4JSON'!I814))</f>
        <v>1</v>
      </c>
      <c r="J820" s="41">
        <f>ABS(J$5-(6-'4JSON'!J814))</f>
        <v>1</v>
      </c>
      <c r="K820" s="41">
        <f>ABS(K$5-(6-'4JSON'!K814))</f>
        <v>1</v>
      </c>
      <c r="L820" s="41">
        <f>ABS(L$5-(6-'4JSON'!L814))</f>
        <v>1</v>
      </c>
      <c r="M820" s="36">
        <f t="shared" si="1"/>
        <v>10</v>
      </c>
      <c r="N820" s="42">
        <f t="shared" si="2"/>
        <v>0.7222222222</v>
      </c>
    </row>
    <row r="821">
      <c r="A821" s="35">
        <f>'4JSON'!A815</f>
        <v>4211</v>
      </c>
      <c r="B821" s="25" t="str">
        <f>'4JSON'!B815</f>
        <v>Independent Paralegals</v>
      </c>
      <c r="C821" s="41" t="str">
        <f>'4JSON'!C815</f>
        <v>Paralegal and related occupations</v>
      </c>
      <c r="D821" s="41">
        <f>ABS(D$5-(6-'4JSON'!D815))</f>
        <v>1</v>
      </c>
      <c r="E821" s="41">
        <f>ABS(E$5-(6-'4JSON'!E815))</f>
        <v>1</v>
      </c>
      <c r="F821" s="41">
        <f>ABS(F$5-(6-'4JSON'!F815))</f>
        <v>0</v>
      </c>
      <c r="G821" s="41">
        <f>ABS(G$5-(6-'4JSON'!G815))</f>
        <v>1</v>
      </c>
      <c r="H821" s="41">
        <f>ABS(H$5-(6-'4JSON'!H815))</f>
        <v>2</v>
      </c>
      <c r="I821" s="41">
        <f>ABS(I$5-(6-'4JSON'!I815))</f>
        <v>0</v>
      </c>
      <c r="J821" s="41">
        <f>ABS(J$5-(6-'4JSON'!J815))</f>
        <v>1</v>
      </c>
      <c r="K821" s="41">
        <f>ABS(K$5-(6-'4JSON'!K815))</f>
        <v>1</v>
      </c>
      <c r="L821" s="41">
        <f>ABS(L$5-(6-'4JSON'!L815))</f>
        <v>1</v>
      </c>
      <c r="M821" s="36">
        <f t="shared" si="1"/>
        <v>8</v>
      </c>
      <c r="N821" s="42">
        <f t="shared" si="2"/>
        <v>0.7777777778</v>
      </c>
    </row>
    <row r="822">
      <c r="A822" s="35">
        <f>'4JSON'!A816</f>
        <v>121</v>
      </c>
      <c r="B822" s="25" t="str">
        <f>'4JSON'!B816</f>
        <v>Insurance Managers</v>
      </c>
      <c r="C822" s="41" t="str">
        <f>'4JSON'!C816</f>
        <v>Insurance, real estate and financial brokerage managers</v>
      </c>
      <c r="D822" s="41">
        <f>ABS(D$5-(6-'4JSON'!D816))</f>
        <v>2</v>
      </c>
      <c r="E822" s="41">
        <f>ABS(E$5-(6-'4JSON'!E816))</f>
        <v>1</v>
      </c>
      <c r="F822" s="41">
        <f>ABS(F$5-(6-'4JSON'!F816))</f>
        <v>1</v>
      </c>
      <c r="G822" s="41">
        <f>ABS(G$5-(6-'4JSON'!G816))</f>
        <v>1</v>
      </c>
      <c r="H822" s="41">
        <f>ABS(H$5-(6-'4JSON'!H816))</f>
        <v>2</v>
      </c>
      <c r="I822" s="41">
        <f>ABS(I$5-(6-'4JSON'!I816))</f>
        <v>0</v>
      </c>
      <c r="J822" s="41">
        <f>ABS(J$5-(6-'4JSON'!J816))</f>
        <v>1</v>
      </c>
      <c r="K822" s="41">
        <f>ABS(K$5-(6-'4JSON'!K816))</f>
        <v>1</v>
      </c>
      <c r="L822" s="41">
        <f>ABS(L$5-(6-'4JSON'!L816))</f>
        <v>1</v>
      </c>
      <c r="M822" s="36">
        <f t="shared" si="1"/>
        <v>10</v>
      </c>
      <c r="N822" s="42">
        <f t="shared" si="2"/>
        <v>0.7222222222</v>
      </c>
    </row>
    <row r="823">
      <c r="A823" s="35">
        <f>'4JSON'!A817</f>
        <v>1313</v>
      </c>
      <c r="B823" s="25" t="str">
        <f>'4JSON'!B817</f>
        <v>Insurance Underwriters</v>
      </c>
      <c r="C823" s="41" t="str">
        <f>'4JSON'!C817</f>
        <v>Insurance underwriters</v>
      </c>
      <c r="D823" s="41">
        <f>ABS(D$5-(6-'4JSON'!D817))</f>
        <v>2</v>
      </c>
      <c r="E823" s="41">
        <f>ABS(E$5-(6-'4JSON'!E817))</f>
        <v>1</v>
      </c>
      <c r="F823" s="41">
        <f>ABS(F$5-(6-'4JSON'!F817))</f>
        <v>1</v>
      </c>
      <c r="G823" s="41">
        <f>ABS(G$5-(6-'4JSON'!G817))</f>
        <v>1</v>
      </c>
      <c r="H823" s="41">
        <f>ABS(H$5-(6-'4JSON'!H817))</f>
        <v>1</v>
      </c>
      <c r="I823" s="41">
        <f>ABS(I$5-(6-'4JSON'!I817))</f>
        <v>1</v>
      </c>
      <c r="J823" s="41">
        <f>ABS(J$5-(6-'4JSON'!J817))</f>
        <v>1</v>
      </c>
      <c r="K823" s="41">
        <f>ABS(K$5-(6-'4JSON'!K817))</f>
        <v>1</v>
      </c>
      <c r="L823" s="41">
        <f>ABS(L$5-(6-'4JSON'!L817))</f>
        <v>1</v>
      </c>
      <c r="M823" s="36">
        <f t="shared" si="1"/>
        <v>10</v>
      </c>
      <c r="N823" s="42">
        <f t="shared" si="2"/>
        <v>0.7222222222</v>
      </c>
    </row>
    <row r="824">
      <c r="A824" s="35">
        <f>'4JSON'!A818</f>
        <v>5123</v>
      </c>
      <c r="B824" s="25" t="str">
        <f>'4JSON'!B818</f>
        <v>Journalists</v>
      </c>
      <c r="C824" s="41" t="str">
        <f>'4JSON'!C818</f>
        <v>Journalists</v>
      </c>
      <c r="D824" s="41">
        <f>ABS(D$5-(6-'4JSON'!D818))</f>
        <v>2</v>
      </c>
      <c r="E824" s="41">
        <f>ABS(E$5-(6-'4JSON'!E818))</f>
        <v>2</v>
      </c>
      <c r="F824" s="41">
        <f>ABS(F$5-(6-'4JSON'!F818))</f>
        <v>0</v>
      </c>
      <c r="G824" s="41">
        <f>ABS(G$5-(6-'4JSON'!G818))</f>
        <v>1</v>
      </c>
      <c r="H824" s="41">
        <f>ABS(H$5-(6-'4JSON'!H818))</f>
        <v>2</v>
      </c>
      <c r="I824" s="41">
        <f>ABS(I$5-(6-'4JSON'!I818))</f>
        <v>0</v>
      </c>
      <c r="J824" s="41">
        <f>ABS(J$5-(6-'4JSON'!J818))</f>
        <v>1</v>
      </c>
      <c r="K824" s="41">
        <f>ABS(K$5-(6-'4JSON'!K818))</f>
        <v>1</v>
      </c>
      <c r="L824" s="41">
        <f>ABS(L$5-(6-'4JSON'!L818))</f>
        <v>1</v>
      </c>
      <c r="M824" s="36">
        <f t="shared" si="1"/>
        <v>10</v>
      </c>
      <c r="N824" s="42">
        <f t="shared" si="2"/>
        <v>0.7222222222</v>
      </c>
    </row>
    <row r="825">
      <c r="A825" s="35">
        <f>'4JSON'!A819</f>
        <v>6711</v>
      </c>
      <c r="B825" s="25" t="str">
        <f>'4JSON'!B819</f>
        <v>Kitchen Helpers</v>
      </c>
      <c r="C825" s="41" t="str">
        <f>'4JSON'!C819</f>
        <v>Food counter attendants, kitchen helpers and related support occupations</v>
      </c>
      <c r="D825" s="41">
        <f>ABS(D$5-(6-'4JSON'!D819))</f>
        <v>0</v>
      </c>
      <c r="E825" s="41">
        <f>ABS(E$5-(6-'4JSON'!E819))</f>
        <v>1</v>
      </c>
      <c r="F825" s="41">
        <f>ABS(F$5-(6-'4JSON'!F819))</f>
        <v>2</v>
      </c>
      <c r="G825" s="41">
        <f>ABS(G$5-(6-'4JSON'!G819))</f>
        <v>1</v>
      </c>
      <c r="H825" s="41">
        <f>ABS(H$5-(6-'4JSON'!H819))</f>
        <v>2</v>
      </c>
      <c r="I825" s="41">
        <f>ABS(I$5-(6-'4JSON'!I819))</f>
        <v>2</v>
      </c>
      <c r="J825" s="41">
        <f>ABS(J$5-(6-'4JSON'!J819))</f>
        <v>1</v>
      </c>
      <c r="K825" s="41">
        <f>ABS(K$5-(6-'4JSON'!K819))</f>
        <v>1</v>
      </c>
      <c r="L825" s="41">
        <f>ABS(L$5-(6-'4JSON'!L819))</f>
        <v>0</v>
      </c>
      <c r="M825" s="36">
        <f t="shared" si="1"/>
        <v>10</v>
      </c>
      <c r="N825" s="42">
        <f t="shared" si="2"/>
        <v>0.7222222222</v>
      </c>
    </row>
    <row r="826">
      <c r="A826" s="35">
        <f>'4JSON'!A820</f>
        <v>9615</v>
      </c>
      <c r="B826" s="25" t="str">
        <f>'4JSON'!B820</f>
        <v>Labourers in Rubber and Plastic Products Manufacturing</v>
      </c>
      <c r="C826" s="41" t="str">
        <f>'4JSON'!C820</f>
        <v>Labourers in rubber and plastic products manufacturing</v>
      </c>
      <c r="D826" s="41">
        <f>ABS(D$5-(6-'4JSON'!D820))</f>
        <v>0</v>
      </c>
      <c r="E826" s="41">
        <f>ABS(E$5-(6-'4JSON'!E820))</f>
        <v>2</v>
      </c>
      <c r="F826" s="41">
        <f>ABS(F$5-(6-'4JSON'!F820))</f>
        <v>2</v>
      </c>
      <c r="G826" s="41">
        <f>ABS(G$5-(6-'4JSON'!G820))</f>
        <v>1</v>
      </c>
      <c r="H826" s="41">
        <f>ABS(H$5-(6-'4JSON'!H820))</f>
        <v>2</v>
      </c>
      <c r="I826" s="41">
        <f>ABS(I$5-(6-'4JSON'!I820))</f>
        <v>2</v>
      </c>
      <c r="J826" s="41">
        <f>ABS(J$5-(6-'4JSON'!J820))</f>
        <v>1</v>
      </c>
      <c r="K826" s="41">
        <f>ABS(K$5-(6-'4JSON'!K820))</f>
        <v>1</v>
      </c>
      <c r="L826" s="41">
        <f>ABS(L$5-(6-'4JSON'!L820))</f>
        <v>1</v>
      </c>
      <c r="M826" s="36">
        <f t="shared" si="1"/>
        <v>12</v>
      </c>
      <c r="N826" s="42">
        <f t="shared" si="2"/>
        <v>0.6666666667</v>
      </c>
    </row>
    <row r="827">
      <c r="A827" s="35">
        <f>'4JSON'!A821</f>
        <v>9614</v>
      </c>
      <c r="B827" s="25" t="str">
        <f>'4JSON'!B821</f>
        <v>Labourers in Wood, Pulp and Paper Processing</v>
      </c>
      <c r="C827" s="41" t="str">
        <f>'4JSON'!C821</f>
        <v>Labourers in wood, pulp and paper processing</v>
      </c>
      <c r="D827" s="41">
        <f>ABS(D$5-(6-'4JSON'!D821))</f>
        <v>0</v>
      </c>
      <c r="E827" s="41">
        <f>ABS(E$5-(6-'4JSON'!E821))</f>
        <v>1</v>
      </c>
      <c r="F827" s="41">
        <f>ABS(F$5-(6-'4JSON'!F821))</f>
        <v>2</v>
      </c>
      <c r="G827" s="41">
        <f>ABS(G$5-(6-'4JSON'!G821))</f>
        <v>1</v>
      </c>
      <c r="H827" s="41">
        <f>ABS(H$5-(6-'4JSON'!H821))</f>
        <v>2</v>
      </c>
      <c r="I827" s="41">
        <f>ABS(I$5-(6-'4JSON'!I821))</f>
        <v>2</v>
      </c>
      <c r="J827" s="41">
        <f>ABS(J$5-(6-'4JSON'!J821))</f>
        <v>1</v>
      </c>
      <c r="K827" s="41">
        <f>ABS(K$5-(6-'4JSON'!K821))</f>
        <v>1</v>
      </c>
      <c r="L827" s="41">
        <f>ABS(L$5-(6-'4JSON'!L821))</f>
        <v>0</v>
      </c>
      <c r="M827" s="36">
        <f t="shared" si="1"/>
        <v>10</v>
      </c>
      <c r="N827" s="42">
        <f t="shared" si="2"/>
        <v>0.7222222222</v>
      </c>
    </row>
    <row r="828">
      <c r="A828" s="35">
        <f>'4JSON'!A822</f>
        <v>6731</v>
      </c>
      <c r="B828" s="25" t="str">
        <f>'4JSON'!B822</f>
        <v>Light Duty Cleaners</v>
      </c>
      <c r="C828" s="41" t="str">
        <f>'4JSON'!C822</f>
        <v>Light duty cleaners</v>
      </c>
      <c r="D828" s="41">
        <f>ABS(D$5-(6-'4JSON'!D822))</f>
        <v>0</v>
      </c>
      <c r="E828" s="41">
        <f>ABS(E$5-(6-'4JSON'!E822))</f>
        <v>1</v>
      </c>
      <c r="F828" s="41">
        <f>ABS(F$5-(6-'4JSON'!F822))</f>
        <v>2</v>
      </c>
      <c r="G828" s="41">
        <f>ABS(G$5-(6-'4JSON'!G822))</f>
        <v>1</v>
      </c>
      <c r="H828" s="41">
        <f>ABS(H$5-(6-'4JSON'!H822))</f>
        <v>2</v>
      </c>
      <c r="I828" s="41">
        <f>ABS(I$5-(6-'4JSON'!I822))</f>
        <v>2</v>
      </c>
      <c r="J828" s="41">
        <f>ABS(J$5-(6-'4JSON'!J822))</f>
        <v>1</v>
      </c>
      <c r="K828" s="41">
        <f>ABS(K$5-(6-'4JSON'!K822))</f>
        <v>1</v>
      </c>
      <c r="L828" s="41">
        <f>ABS(L$5-(6-'4JSON'!L822))</f>
        <v>0</v>
      </c>
      <c r="M828" s="36">
        <f t="shared" si="1"/>
        <v>10</v>
      </c>
      <c r="N828" s="42">
        <f t="shared" si="2"/>
        <v>0.7222222222</v>
      </c>
    </row>
    <row r="829">
      <c r="A829" s="35">
        <f>'4JSON'!A823</f>
        <v>6235</v>
      </c>
      <c r="B829" s="25" t="str">
        <f>'4JSON'!B823</f>
        <v>Loan Officers</v>
      </c>
      <c r="C829" s="41" t="str">
        <f>'4JSON'!C823</f>
        <v>Financial sales representatives</v>
      </c>
      <c r="D829" s="41">
        <f>ABS(D$5-(6-'4JSON'!D823))</f>
        <v>2</v>
      </c>
      <c r="E829" s="41">
        <f>ABS(E$5-(6-'4JSON'!E823))</f>
        <v>0</v>
      </c>
      <c r="F829" s="41">
        <f>ABS(F$5-(6-'4JSON'!F823))</f>
        <v>1</v>
      </c>
      <c r="G829" s="41">
        <f>ABS(G$5-(6-'4JSON'!G823))</f>
        <v>1</v>
      </c>
      <c r="H829" s="41">
        <f>ABS(H$5-(6-'4JSON'!H823))</f>
        <v>2</v>
      </c>
      <c r="I829" s="41">
        <f>ABS(I$5-(6-'4JSON'!I823))</f>
        <v>1</v>
      </c>
      <c r="J829" s="41">
        <f>ABS(J$5-(6-'4JSON'!J823))</f>
        <v>1</v>
      </c>
      <c r="K829" s="41">
        <f>ABS(K$5-(6-'4JSON'!K823))</f>
        <v>1</v>
      </c>
      <c r="L829" s="41">
        <f>ABS(L$5-(6-'4JSON'!L823))</f>
        <v>1</v>
      </c>
      <c r="M829" s="36">
        <f t="shared" si="1"/>
        <v>10</v>
      </c>
      <c r="N829" s="42">
        <f t="shared" si="2"/>
        <v>0.7222222222</v>
      </c>
    </row>
    <row r="830">
      <c r="A830" s="35">
        <f>'4JSON'!A824</f>
        <v>8616</v>
      </c>
      <c r="B830" s="25" t="str">
        <f>'4JSON'!B824</f>
        <v>Logging and Forestry Labourers</v>
      </c>
      <c r="C830" s="41" t="str">
        <f>'4JSON'!C824</f>
        <v>Logging and forestry labourers</v>
      </c>
      <c r="D830" s="41">
        <f>ABS(D$5-(6-'4JSON'!D824))</f>
        <v>0</v>
      </c>
      <c r="E830" s="41">
        <f>ABS(E$5-(6-'4JSON'!E824))</f>
        <v>1</v>
      </c>
      <c r="F830" s="41">
        <f>ABS(F$5-(6-'4JSON'!F824))</f>
        <v>2</v>
      </c>
      <c r="G830" s="41">
        <f>ABS(G$5-(6-'4JSON'!G824))</f>
        <v>1</v>
      </c>
      <c r="H830" s="41">
        <f>ABS(H$5-(6-'4JSON'!H824))</f>
        <v>2</v>
      </c>
      <c r="I830" s="41">
        <f>ABS(I$5-(6-'4JSON'!I824))</f>
        <v>2</v>
      </c>
      <c r="J830" s="41">
        <f>ABS(J$5-(6-'4JSON'!J824))</f>
        <v>1</v>
      </c>
      <c r="K830" s="41">
        <f>ABS(K$5-(6-'4JSON'!K824))</f>
        <v>1</v>
      </c>
      <c r="L830" s="41">
        <f>ABS(L$5-(6-'4JSON'!L824))</f>
        <v>0</v>
      </c>
      <c r="M830" s="36">
        <f t="shared" si="1"/>
        <v>10</v>
      </c>
      <c r="N830" s="42">
        <f t="shared" si="2"/>
        <v>0.7222222222</v>
      </c>
    </row>
    <row r="831">
      <c r="A831" s="35">
        <f>'4JSON'!A825</f>
        <v>1122</v>
      </c>
      <c r="B831" s="25" t="str">
        <f>'4JSON'!B825</f>
        <v>Management Consultants</v>
      </c>
      <c r="C831" s="41" t="str">
        <f>'4JSON'!C825</f>
        <v>Professional occupations in business management consulting</v>
      </c>
      <c r="D831" s="41">
        <f>ABS(D$5-(6-'4JSON'!D825))</f>
        <v>2</v>
      </c>
      <c r="E831" s="41">
        <f>ABS(E$5-(6-'4JSON'!E825))</f>
        <v>1</v>
      </c>
      <c r="F831" s="41">
        <f>ABS(F$5-(6-'4JSON'!F825))</f>
        <v>0</v>
      </c>
      <c r="G831" s="41">
        <f>ABS(G$5-(6-'4JSON'!G825))</f>
        <v>1</v>
      </c>
      <c r="H831" s="41">
        <f>ABS(H$5-(6-'4JSON'!H825))</f>
        <v>2</v>
      </c>
      <c r="I831" s="41">
        <f>ABS(I$5-(6-'4JSON'!I825))</f>
        <v>1</v>
      </c>
      <c r="J831" s="41">
        <f>ABS(J$5-(6-'4JSON'!J825))</f>
        <v>1</v>
      </c>
      <c r="K831" s="41">
        <f>ABS(K$5-(6-'4JSON'!K825))</f>
        <v>1</v>
      </c>
      <c r="L831" s="41">
        <f>ABS(L$5-(6-'4JSON'!L825))</f>
        <v>1</v>
      </c>
      <c r="M831" s="36">
        <f t="shared" si="1"/>
        <v>10</v>
      </c>
      <c r="N831" s="42">
        <f t="shared" si="2"/>
        <v>0.7222222222</v>
      </c>
    </row>
    <row r="832">
      <c r="A832" s="35">
        <f>'4JSON'!A826</f>
        <v>512</v>
      </c>
      <c r="B832" s="25" t="str">
        <f>'4JSON'!B826</f>
        <v>Managers _x0013_ Publishing, Motion Pictures, Broadcasting and Performing Arts</v>
      </c>
      <c r="C832" s="41" t="str">
        <f>'4JSON'!C826</f>
        <v>Managers - publishing, motion pictures, broadcasting and performing arts</v>
      </c>
      <c r="D832" s="41">
        <f>ABS(D$5-(6-'4JSON'!D826))</f>
        <v>2</v>
      </c>
      <c r="E832" s="41">
        <f>ABS(E$5-(6-'4JSON'!E826))</f>
        <v>2</v>
      </c>
      <c r="F832" s="41">
        <f>ABS(F$5-(6-'4JSON'!F826))</f>
        <v>0</v>
      </c>
      <c r="G832" s="41">
        <f>ABS(G$5-(6-'4JSON'!G826))</f>
        <v>1</v>
      </c>
      <c r="H832" s="41">
        <f>ABS(H$5-(6-'4JSON'!H826))</f>
        <v>2</v>
      </c>
      <c r="I832" s="41">
        <f>ABS(I$5-(6-'4JSON'!I826))</f>
        <v>0</v>
      </c>
      <c r="J832" s="41">
        <f>ABS(J$5-(6-'4JSON'!J826))</f>
        <v>1</v>
      </c>
      <c r="K832" s="41">
        <f>ABS(K$5-(6-'4JSON'!K826))</f>
        <v>1</v>
      </c>
      <c r="L832" s="41">
        <f>ABS(L$5-(6-'4JSON'!L826))</f>
        <v>1</v>
      </c>
      <c r="M832" s="36">
        <f t="shared" si="1"/>
        <v>10</v>
      </c>
      <c r="N832" s="42">
        <f t="shared" si="2"/>
        <v>0.7222222222</v>
      </c>
    </row>
    <row r="833">
      <c r="A833" s="35">
        <f>'4JSON'!A827</f>
        <v>2148</v>
      </c>
      <c r="B833" s="25" t="str">
        <f>'4JSON'!B827</f>
        <v>Marine and Naval Engineers</v>
      </c>
      <c r="C833" s="41" t="str">
        <f>'4JSON'!C827</f>
        <v>Other professional engineers, n.e.c.</v>
      </c>
      <c r="D833" s="41">
        <f>ABS(D$5-(6-'4JSON'!D827))</f>
        <v>3</v>
      </c>
      <c r="E833" s="41">
        <f>ABS(E$5-(6-'4JSON'!E827))</f>
        <v>1</v>
      </c>
      <c r="F833" s="41">
        <f>ABS(F$5-(6-'4JSON'!F827))</f>
        <v>2</v>
      </c>
      <c r="G833" s="41">
        <f>ABS(G$5-(6-'4JSON'!G827))</f>
        <v>2</v>
      </c>
      <c r="H833" s="41">
        <f>ABS(H$5-(6-'4JSON'!H827))</f>
        <v>0</v>
      </c>
      <c r="I833" s="41">
        <f>ABS(I$5-(6-'4JSON'!I827))</f>
        <v>1</v>
      </c>
      <c r="J833" s="41">
        <f>ABS(J$5-(6-'4JSON'!J827))</f>
        <v>1</v>
      </c>
      <c r="K833" s="41">
        <f>ABS(K$5-(6-'4JSON'!K827))</f>
        <v>1</v>
      </c>
      <c r="L833" s="41">
        <f>ABS(L$5-(6-'4JSON'!L827))</f>
        <v>1</v>
      </c>
      <c r="M833" s="36">
        <f t="shared" si="1"/>
        <v>12</v>
      </c>
      <c r="N833" s="42">
        <f t="shared" si="2"/>
        <v>0.6666666667</v>
      </c>
    </row>
    <row r="834">
      <c r="A834" s="35">
        <f>'4JSON'!A828</f>
        <v>124</v>
      </c>
      <c r="B834" s="25" t="str">
        <f>'4JSON'!B828</f>
        <v>Marketing Managers</v>
      </c>
      <c r="C834" s="41" t="str">
        <f>'4JSON'!C828</f>
        <v>Advertising, marketing and public relations managers</v>
      </c>
      <c r="D834" s="41">
        <f>ABS(D$5-(6-'4JSON'!D828))</f>
        <v>2</v>
      </c>
      <c r="E834" s="41">
        <f>ABS(E$5-(6-'4JSON'!E828))</f>
        <v>1</v>
      </c>
      <c r="F834" s="41">
        <f>ABS(F$5-(6-'4JSON'!F828))</f>
        <v>1</v>
      </c>
      <c r="G834" s="41">
        <f>ABS(G$5-(6-'4JSON'!G828))</f>
        <v>1</v>
      </c>
      <c r="H834" s="41">
        <f>ABS(H$5-(6-'4JSON'!H828))</f>
        <v>2</v>
      </c>
      <c r="I834" s="41">
        <f>ABS(I$5-(6-'4JSON'!I828))</f>
        <v>0</v>
      </c>
      <c r="J834" s="41">
        <f>ABS(J$5-(6-'4JSON'!J828))</f>
        <v>1</v>
      </c>
      <c r="K834" s="41">
        <f>ABS(K$5-(6-'4JSON'!K828))</f>
        <v>1</v>
      </c>
      <c r="L834" s="41">
        <f>ABS(L$5-(6-'4JSON'!L828))</f>
        <v>1</v>
      </c>
      <c r="M834" s="36">
        <f t="shared" si="1"/>
        <v>10</v>
      </c>
      <c r="N834" s="42">
        <f t="shared" si="2"/>
        <v>0.7222222222</v>
      </c>
    </row>
    <row r="835">
      <c r="A835" s="35">
        <f>'4JSON'!A829</f>
        <v>2132</v>
      </c>
      <c r="B835" s="25" t="str">
        <f>'4JSON'!B829</f>
        <v>Mechanical Engineers</v>
      </c>
      <c r="C835" s="41" t="str">
        <f>'4JSON'!C829</f>
        <v>Mechanical engineers</v>
      </c>
      <c r="D835" s="41">
        <f>ABS(D$5-(6-'4JSON'!D829))</f>
        <v>3</v>
      </c>
      <c r="E835" s="41">
        <f>ABS(E$5-(6-'4JSON'!E829))</f>
        <v>1</v>
      </c>
      <c r="F835" s="41">
        <f>ABS(F$5-(6-'4JSON'!F829))</f>
        <v>2</v>
      </c>
      <c r="G835" s="41">
        <f>ABS(G$5-(6-'4JSON'!G829))</f>
        <v>1</v>
      </c>
      <c r="H835" s="41">
        <f>ABS(H$5-(6-'4JSON'!H829))</f>
        <v>1</v>
      </c>
      <c r="I835" s="41">
        <f>ABS(I$5-(6-'4JSON'!I829))</f>
        <v>1</v>
      </c>
      <c r="J835" s="41">
        <f>ABS(J$5-(6-'4JSON'!J829))</f>
        <v>1</v>
      </c>
      <c r="K835" s="41">
        <f>ABS(K$5-(6-'4JSON'!K829))</f>
        <v>1</v>
      </c>
      <c r="L835" s="41">
        <f>ABS(L$5-(6-'4JSON'!L829))</f>
        <v>1</v>
      </c>
      <c r="M835" s="36">
        <f t="shared" si="1"/>
        <v>12</v>
      </c>
      <c r="N835" s="42">
        <f t="shared" si="2"/>
        <v>0.6666666667</v>
      </c>
    </row>
    <row r="836">
      <c r="A836" s="35">
        <f>'4JSON'!A830</f>
        <v>8614</v>
      </c>
      <c r="B836" s="25" t="str">
        <f>'4JSON'!B830</f>
        <v>Mine Labourers</v>
      </c>
      <c r="C836" s="41" t="str">
        <f>'4JSON'!C830</f>
        <v>Mine labourers</v>
      </c>
      <c r="D836" s="41">
        <f>ABS(D$5-(6-'4JSON'!D830))</f>
        <v>0</v>
      </c>
      <c r="E836" s="41">
        <f>ABS(E$5-(6-'4JSON'!E830))</f>
        <v>1</v>
      </c>
      <c r="F836" s="41">
        <f>ABS(F$5-(6-'4JSON'!F830))</f>
        <v>2</v>
      </c>
      <c r="G836" s="41">
        <f>ABS(G$5-(6-'4JSON'!G830))</f>
        <v>1</v>
      </c>
      <c r="H836" s="41">
        <f>ABS(H$5-(6-'4JSON'!H830))</f>
        <v>2</v>
      </c>
      <c r="I836" s="41">
        <f>ABS(I$5-(6-'4JSON'!I830))</f>
        <v>2</v>
      </c>
      <c r="J836" s="41">
        <f>ABS(J$5-(6-'4JSON'!J830))</f>
        <v>1</v>
      </c>
      <c r="K836" s="41">
        <f>ABS(K$5-(6-'4JSON'!K830))</f>
        <v>1</v>
      </c>
      <c r="L836" s="41">
        <f>ABS(L$5-(6-'4JSON'!L830))</f>
        <v>0</v>
      </c>
      <c r="M836" s="36">
        <f t="shared" si="1"/>
        <v>10</v>
      </c>
      <c r="N836" s="42">
        <f t="shared" si="2"/>
        <v>0.7222222222</v>
      </c>
    </row>
    <row r="837">
      <c r="A837" s="35">
        <f>'4JSON'!A831</f>
        <v>4154</v>
      </c>
      <c r="B837" s="25" t="str">
        <f>'4JSON'!B831</f>
        <v>Ministers of Religion</v>
      </c>
      <c r="C837" s="41" t="str">
        <f>'4JSON'!C831</f>
        <v>Professional occupations in religion</v>
      </c>
      <c r="D837" s="41">
        <f>ABS(D$5-(6-'4JSON'!D831))</f>
        <v>2</v>
      </c>
      <c r="E837" s="41">
        <f>ABS(E$5-(6-'4JSON'!E831))</f>
        <v>1</v>
      </c>
      <c r="F837" s="41">
        <f>ABS(F$5-(6-'4JSON'!F831))</f>
        <v>0</v>
      </c>
      <c r="G837" s="41">
        <f>ABS(G$5-(6-'4JSON'!G831))</f>
        <v>1</v>
      </c>
      <c r="H837" s="41">
        <f>ABS(H$5-(6-'4JSON'!H831))</f>
        <v>2</v>
      </c>
      <c r="I837" s="41">
        <f>ABS(I$5-(6-'4JSON'!I831))</f>
        <v>1</v>
      </c>
      <c r="J837" s="41">
        <f>ABS(J$5-(6-'4JSON'!J831))</f>
        <v>1</v>
      </c>
      <c r="K837" s="41">
        <f>ABS(K$5-(6-'4JSON'!K831))</f>
        <v>1</v>
      </c>
      <c r="L837" s="41">
        <f>ABS(L$5-(6-'4JSON'!L831))</f>
        <v>1</v>
      </c>
      <c r="M837" s="36">
        <f t="shared" si="1"/>
        <v>10</v>
      </c>
      <c r="N837" s="42">
        <f t="shared" si="2"/>
        <v>0.7222222222</v>
      </c>
    </row>
    <row r="838">
      <c r="A838" s="35">
        <f>'4JSON'!A832</f>
        <v>121</v>
      </c>
      <c r="B838" s="25" t="str">
        <f>'4JSON'!B832</f>
        <v>Mortgage Broker Managers</v>
      </c>
      <c r="C838" s="41" t="str">
        <f>'4JSON'!C832</f>
        <v>Insurance, real estate and financial brokerage managers</v>
      </c>
      <c r="D838" s="41">
        <f>ABS(D$5-(6-'4JSON'!D832))</f>
        <v>2</v>
      </c>
      <c r="E838" s="41">
        <f>ABS(E$5-(6-'4JSON'!E832))</f>
        <v>1</v>
      </c>
      <c r="F838" s="41">
        <f>ABS(F$5-(6-'4JSON'!F832))</f>
        <v>1</v>
      </c>
      <c r="G838" s="41">
        <f>ABS(G$5-(6-'4JSON'!G832))</f>
        <v>1</v>
      </c>
      <c r="H838" s="41">
        <f>ABS(H$5-(6-'4JSON'!H832))</f>
        <v>2</v>
      </c>
      <c r="I838" s="41">
        <f>ABS(I$5-(6-'4JSON'!I832))</f>
        <v>0</v>
      </c>
      <c r="J838" s="41">
        <f>ABS(J$5-(6-'4JSON'!J832))</f>
        <v>1</v>
      </c>
      <c r="K838" s="41">
        <f>ABS(K$5-(6-'4JSON'!K832))</f>
        <v>1</v>
      </c>
      <c r="L838" s="41">
        <f>ABS(L$5-(6-'4JSON'!L832))</f>
        <v>1</v>
      </c>
      <c r="M838" s="36">
        <f t="shared" si="1"/>
        <v>10</v>
      </c>
      <c r="N838" s="42">
        <f t="shared" si="2"/>
        <v>0.7222222222</v>
      </c>
    </row>
    <row r="839">
      <c r="A839" s="35">
        <f>'4JSON'!A833</f>
        <v>1114</v>
      </c>
      <c r="B839" s="25" t="str">
        <f>'4JSON'!B833</f>
        <v>Mortgage Brokers</v>
      </c>
      <c r="C839" s="41" t="str">
        <f>'4JSON'!C833</f>
        <v>Other financial officers</v>
      </c>
      <c r="D839" s="41">
        <f>ABS(D$5-(6-'4JSON'!D833))</f>
        <v>2</v>
      </c>
      <c r="E839" s="41">
        <f>ABS(E$5-(6-'4JSON'!E833))</f>
        <v>1</v>
      </c>
      <c r="F839" s="41">
        <f>ABS(F$5-(6-'4JSON'!F833))</f>
        <v>1</v>
      </c>
      <c r="G839" s="41">
        <f>ABS(G$5-(6-'4JSON'!G833))</f>
        <v>1</v>
      </c>
      <c r="H839" s="41">
        <f>ABS(H$5-(6-'4JSON'!H833))</f>
        <v>2</v>
      </c>
      <c r="I839" s="41">
        <f>ABS(I$5-(6-'4JSON'!I833))</f>
        <v>0</v>
      </c>
      <c r="J839" s="41">
        <f>ABS(J$5-(6-'4JSON'!J833))</f>
        <v>1</v>
      </c>
      <c r="K839" s="41">
        <f>ABS(K$5-(6-'4JSON'!K833))</f>
        <v>1</v>
      </c>
      <c r="L839" s="41">
        <f>ABS(L$5-(6-'4JSON'!L833))</f>
        <v>1</v>
      </c>
      <c r="M839" s="36">
        <f t="shared" si="1"/>
        <v>10</v>
      </c>
      <c r="N839" s="42">
        <f t="shared" si="2"/>
        <v>0.7222222222</v>
      </c>
    </row>
    <row r="840">
      <c r="A840" s="35">
        <f>'4JSON'!A834</f>
        <v>9522</v>
      </c>
      <c r="B840" s="25" t="str">
        <f>'4JSON'!B834</f>
        <v>Motor Vehicle Assemblers</v>
      </c>
      <c r="C840" s="41" t="str">
        <f>'4JSON'!C834</f>
        <v>Motor vehicle assemblers, inspectors and testers</v>
      </c>
      <c r="D840" s="41">
        <f>ABS(D$5-(6-'4JSON'!D834))</f>
        <v>0</v>
      </c>
      <c r="E840" s="41">
        <f>ABS(E$5-(6-'4JSON'!E834))</f>
        <v>1</v>
      </c>
      <c r="F840" s="41">
        <f>ABS(F$5-(6-'4JSON'!F834))</f>
        <v>2</v>
      </c>
      <c r="G840" s="41">
        <f>ABS(G$5-(6-'4JSON'!G834))</f>
        <v>1</v>
      </c>
      <c r="H840" s="41">
        <f>ABS(H$5-(6-'4JSON'!H834))</f>
        <v>2</v>
      </c>
      <c r="I840" s="41">
        <f>ABS(I$5-(6-'4JSON'!I834))</f>
        <v>2</v>
      </c>
      <c r="J840" s="41">
        <f>ABS(J$5-(6-'4JSON'!J834))</f>
        <v>1</v>
      </c>
      <c r="K840" s="41">
        <f>ABS(K$5-(6-'4JSON'!K834))</f>
        <v>1</v>
      </c>
      <c r="L840" s="41">
        <f>ABS(L$5-(6-'4JSON'!L834))</f>
        <v>0</v>
      </c>
      <c r="M840" s="36">
        <f t="shared" si="1"/>
        <v>10</v>
      </c>
      <c r="N840" s="42">
        <f t="shared" si="2"/>
        <v>0.7222222222</v>
      </c>
    </row>
    <row r="841">
      <c r="A841" s="35">
        <f>'4JSON'!A835</f>
        <v>4411</v>
      </c>
      <c r="B841" s="25" t="str">
        <f>'4JSON'!B835</f>
        <v>Nannies and Live-in Caregivers</v>
      </c>
      <c r="C841" s="41" t="str">
        <f>'4JSON'!C835</f>
        <v>Home child care providers</v>
      </c>
      <c r="D841" s="41">
        <f>ABS(D$5-(6-'4JSON'!D835))</f>
        <v>0</v>
      </c>
      <c r="E841" s="41">
        <f>ABS(E$5-(6-'4JSON'!E835))</f>
        <v>0</v>
      </c>
      <c r="F841" s="41">
        <f>ABS(F$5-(6-'4JSON'!F835))</f>
        <v>1</v>
      </c>
      <c r="G841" s="41">
        <f>ABS(G$5-(6-'4JSON'!G835))</f>
        <v>1</v>
      </c>
      <c r="H841" s="41">
        <f>ABS(H$5-(6-'4JSON'!H835))</f>
        <v>2</v>
      </c>
      <c r="I841" s="41">
        <f>ABS(I$5-(6-'4JSON'!I835))</f>
        <v>2</v>
      </c>
      <c r="J841" s="41">
        <f>ABS(J$5-(6-'4JSON'!J835))</f>
        <v>1</v>
      </c>
      <c r="K841" s="41">
        <f>ABS(K$5-(6-'4JSON'!K835))</f>
        <v>1</v>
      </c>
      <c r="L841" s="41">
        <f>ABS(L$5-(6-'4JSON'!L835))</f>
        <v>0</v>
      </c>
      <c r="M841" s="36">
        <f t="shared" si="1"/>
        <v>8</v>
      </c>
      <c r="N841" s="42">
        <f t="shared" si="2"/>
        <v>0.7777777778</v>
      </c>
    </row>
    <row r="842">
      <c r="A842" s="35">
        <f>'4JSON'!A836</f>
        <v>4211</v>
      </c>
      <c r="B842" s="25" t="str">
        <f>'4JSON'!B836</f>
        <v>Notaries Public</v>
      </c>
      <c r="C842" s="41" t="str">
        <f>'4JSON'!C836</f>
        <v>Paralegal and related occupations</v>
      </c>
      <c r="D842" s="41">
        <f>ABS(D$5-(6-'4JSON'!D836))</f>
        <v>1</v>
      </c>
      <c r="E842" s="41">
        <f>ABS(E$5-(6-'4JSON'!E836))</f>
        <v>1</v>
      </c>
      <c r="F842" s="41">
        <f>ABS(F$5-(6-'4JSON'!F836))</f>
        <v>0</v>
      </c>
      <c r="G842" s="41">
        <f>ABS(G$5-(6-'4JSON'!G836))</f>
        <v>1</v>
      </c>
      <c r="H842" s="41">
        <f>ABS(H$5-(6-'4JSON'!H836))</f>
        <v>2</v>
      </c>
      <c r="I842" s="41">
        <f>ABS(I$5-(6-'4JSON'!I836))</f>
        <v>0</v>
      </c>
      <c r="J842" s="41">
        <f>ABS(J$5-(6-'4JSON'!J836))</f>
        <v>1</v>
      </c>
      <c r="K842" s="41">
        <f>ABS(K$5-(6-'4JSON'!K836))</f>
        <v>1</v>
      </c>
      <c r="L842" s="41">
        <f>ABS(L$5-(6-'4JSON'!L836))</f>
        <v>1</v>
      </c>
      <c r="M842" s="36">
        <f t="shared" si="1"/>
        <v>8</v>
      </c>
      <c r="N842" s="42">
        <f t="shared" si="2"/>
        <v>0.7777777778</v>
      </c>
    </row>
    <row r="843">
      <c r="A843" s="35">
        <f>'4JSON'!A837</f>
        <v>3011</v>
      </c>
      <c r="B843" s="25" t="str">
        <f>'4JSON'!B837</f>
        <v>Nursing Consultants</v>
      </c>
      <c r="C843" s="41" t="str">
        <f>'4JSON'!C837</f>
        <v>Nursing co-ordinators and supervisors</v>
      </c>
      <c r="D843" s="41">
        <f>ABS(D$5-(6-'4JSON'!D837))</f>
        <v>2</v>
      </c>
      <c r="E843" s="41">
        <f>ABS(E$5-(6-'4JSON'!E837))</f>
        <v>1</v>
      </c>
      <c r="F843" s="41">
        <f>ABS(F$5-(6-'4JSON'!F837))</f>
        <v>0</v>
      </c>
      <c r="G843" s="41">
        <f>ABS(G$5-(6-'4JSON'!G837))</f>
        <v>1</v>
      </c>
      <c r="H843" s="41">
        <f>ABS(H$5-(6-'4JSON'!H837))</f>
        <v>2</v>
      </c>
      <c r="I843" s="41">
        <f>ABS(I$5-(6-'4JSON'!I837))</f>
        <v>1</v>
      </c>
      <c r="J843" s="41">
        <f>ABS(J$5-(6-'4JSON'!J837))</f>
        <v>1</v>
      </c>
      <c r="K843" s="41">
        <f>ABS(K$5-(6-'4JSON'!K837))</f>
        <v>1</v>
      </c>
      <c r="L843" s="41">
        <f>ABS(L$5-(6-'4JSON'!L837))</f>
        <v>1</v>
      </c>
      <c r="M843" s="36">
        <f t="shared" si="1"/>
        <v>10</v>
      </c>
      <c r="N843" s="42">
        <f t="shared" si="2"/>
        <v>0.7222222222</v>
      </c>
    </row>
    <row r="844">
      <c r="A844" s="35">
        <f>'4JSON'!A838</f>
        <v>3012</v>
      </c>
      <c r="B844" s="25" t="str">
        <f>'4JSON'!B838</f>
        <v>Nursing Researchers</v>
      </c>
      <c r="C844" s="41" t="str">
        <f>'4JSON'!C838</f>
        <v>Registered nurses and registered psychiatric nurses</v>
      </c>
      <c r="D844" s="41">
        <f>ABS(D$5-(6-'4JSON'!D838))</f>
        <v>2</v>
      </c>
      <c r="E844" s="41">
        <f>ABS(E$5-(6-'4JSON'!E838))</f>
        <v>1</v>
      </c>
      <c r="F844" s="41">
        <f>ABS(F$5-(6-'4JSON'!F838))</f>
        <v>0</v>
      </c>
      <c r="G844" s="41">
        <f>ABS(G$5-(6-'4JSON'!G838))</f>
        <v>1</v>
      </c>
      <c r="H844" s="41">
        <f>ABS(H$5-(6-'4JSON'!H838))</f>
        <v>2</v>
      </c>
      <c r="I844" s="41">
        <f>ABS(I$5-(6-'4JSON'!I838))</f>
        <v>1</v>
      </c>
      <c r="J844" s="41">
        <f>ABS(J$5-(6-'4JSON'!J838))</f>
        <v>1</v>
      </c>
      <c r="K844" s="41">
        <f>ABS(K$5-(6-'4JSON'!K838))</f>
        <v>1</v>
      </c>
      <c r="L844" s="41">
        <f>ABS(L$5-(6-'4JSON'!L838))</f>
        <v>1</v>
      </c>
      <c r="M844" s="36">
        <f t="shared" si="1"/>
        <v>10</v>
      </c>
      <c r="N844" s="42">
        <f t="shared" si="2"/>
        <v>0.7222222222</v>
      </c>
    </row>
    <row r="845">
      <c r="A845" s="35">
        <f>'4JSON'!A839</f>
        <v>114</v>
      </c>
      <c r="B845" s="25" t="str">
        <f>'4JSON'!B839</f>
        <v>Other Administrative Services Managers</v>
      </c>
      <c r="C845" s="41" t="str">
        <f>'4JSON'!C839</f>
        <v>Other administrative services managers</v>
      </c>
      <c r="D845" s="41">
        <f>ABS(D$5-(6-'4JSON'!D839))</f>
        <v>2</v>
      </c>
      <c r="E845" s="41">
        <f>ABS(E$5-(6-'4JSON'!E839))</f>
        <v>1</v>
      </c>
      <c r="F845" s="41">
        <f>ABS(F$5-(6-'4JSON'!F839))</f>
        <v>1</v>
      </c>
      <c r="G845" s="41">
        <f>ABS(G$5-(6-'4JSON'!G839))</f>
        <v>1</v>
      </c>
      <c r="H845" s="41">
        <f>ABS(H$5-(6-'4JSON'!H839))</f>
        <v>2</v>
      </c>
      <c r="I845" s="41">
        <f>ABS(I$5-(6-'4JSON'!I839))</f>
        <v>0</v>
      </c>
      <c r="J845" s="41">
        <f>ABS(J$5-(6-'4JSON'!J839))</f>
        <v>1</v>
      </c>
      <c r="K845" s="41">
        <f>ABS(K$5-(6-'4JSON'!K839))</f>
        <v>1</v>
      </c>
      <c r="L845" s="41">
        <f>ABS(L$5-(6-'4JSON'!L839))</f>
        <v>1</v>
      </c>
      <c r="M845" s="36">
        <f t="shared" si="1"/>
        <v>10</v>
      </c>
      <c r="N845" s="42">
        <f t="shared" si="2"/>
        <v>0.7222222222</v>
      </c>
    </row>
    <row r="846">
      <c r="A846" s="35">
        <f>'4JSON'!A840</f>
        <v>125</v>
      </c>
      <c r="B846" s="25" t="str">
        <f>'4JSON'!B840</f>
        <v>Other Business Services Managers</v>
      </c>
      <c r="C846" s="41" t="str">
        <f>'4JSON'!C840</f>
        <v>Other business services managers</v>
      </c>
      <c r="D846" s="41">
        <f>ABS(D$5-(6-'4JSON'!D840))</f>
        <v>2</v>
      </c>
      <c r="E846" s="41">
        <f>ABS(E$5-(6-'4JSON'!E840))</f>
        <v>1</v>
      </c>
      <c r="F846" s="41">
        <f>ABS(F$5-(6-'4JSON'!F840))</f>
        <v>1</v>
      </c>
      <c r="G846" s="41">
        <f>ABS(G$5-(6-'4JSON'!G840))</f>
        <v>1</v>
      </c>
      <c r="H846" s="41">
        <f>ABS(H$5-(6-'4JSON'!H840))</f>
        <v>2</v>
      </c>
      <c r="I846" s="41">
        <f>ABS(I$5-(6-'4JSON'!I840))</f>
        <v>0</v>
      </c>
      <c r="J846" s="41">
        <f>ABS(J$5-(6-'4JSON'!J840))</f>
        <v>1</v>
      </c>
      <c r="K846" s="41">
        <f>ABS(K$5-(6-'4JSON'!K840))</f>
        <v>1</v>
      </c>
      <c r="L846" s="41">
        <f>ABS(L$5-(6-'4JSON'!L840))</f>
        <v>1</v>
      </c>
      <c r="M846" s="36">
        <f t="shared" si="1"/>
        <v>10</v>
      </c>
      <c r="N846" s="42">
        <f t="shared" si="2"/>
        <v>0.7222222222</v>
      </c>
    </row>
    <row r="847">
      <c r="A847" s="35">
        <f>'4JSON'!A841</f>
        <v>414</v>
      </c>
      <c r="B847" s="25" t="str">
        <f>'4JSON'!B841</f>
        <v>Other Managers in Public Administration</v>
      </c>
      <c r="C847" s="41" t="str">
        <f>'4JSON'!C841</f>
        <v>Other managers in public administration</v>
      </c>
      <c r="D847" s="41">
        <f>ABS(D$5-(6-'4JSON'!D841))</f>
        <v>2</v>
      </c>
      <c r="E847" s="41">
        <f>ABS(E$5-(6-'4JSON'!E841))</f>
        <v>1</v>
      </c>
      <c r="F847" s="41">
        <f>ABS(F$5-(6-'4JSON'!F841))</f>
        <v>1</v>
      </c>
      <c r="G847" s="41">
        <f>ABS(G$5-(6-'4JSON'!G841))</f>
        <v>1</v>
      </c>
      <c r="H847" s="41">
        <f>ABS(H$5-(6-'4JSON'!H841))</f>
        <v>2</v>
      </c>
      <c r="I847" s="41">
        <f>ABS(I$5-(6-'4JSON'!I841))</f>
        <v>0</v>
      </c>
      <c r="J847" s="41">
        <f>ABS(J$5-(6-'4JSON'!J841))</f>
        <v>1</v>
      </c>
      <c r="K847" s="41">
        <f>ABS(K$5-(6-'4JSON'!K841))</f>
        <v>1</v>
      </c>
      <c r="L847" s="41">
        <f>ABS(L$5-(6-'4JSON'!L841))</f>
        <v>1</v>
      </c>
      <c r="M847" s="36">
        <f t="shared" si="1"/>
        <v>10</v>
      </c>
      <c r="N847" s="42">
        <f t="shared" si="2"/>
        <v>0.7222222222</v>
      </c>
    </row>
    <row r="848">
      <c r="A848" s="35">
        <f>'4JSON'!A842</f>
        <v>3144</v>
      </c>
      <c r="B848" s="25" t="str">
        <f>'4JSON'!B842</f>
        <v>Other Professional Occupations in Therapy and Assessment</v>
      </c>
      <c r="C848" s="41" t="str">
        <f>'4JSON'!C842</f>
        <v>Other professional occupations in therapy and assessment</v>
      </c>
      <c r="D848" s="41">
        <f>ABS(D$5-(6-'4JSON'!D842))</f>
        <v>2</v>
      </c>
      <c r="E848" s="41">
        <f>ABS(E$5-(6-'4JSON'!E842))</f>
        <v>1</v>
      </c>
      <c r="F848" s="41">
        <f>ABS(F$5-(6-'4JSON'!F842))</f>
        <v>0</v>
      </c>
      <c r="G848" s="41">
        <f>ABS(G$5-(6-'4JSON'!G842))</f>
        <v>1</v>
      </c>
      <c r="H848" s="41">
        <f>ABS(H$5-(6-'4JSON'!H842))</f>
        <v>2</v>
      </c>
      <c r="I848" s="41">
        <f>ABS(I$5-(6-'4JSON'!I842))</f>
        <v>1</v>
      </c>
      <c r="J848" s="41">
        <f>ABS(J$5-(6-'4JSON'!J842))</f>
        <v>1</v>
      </c>
      <c r="K848" s="41">
        <f>ABS(K$5-(6-'4JSON'!K842))</f>
        <v>1</v>
      </c>
      <c r="L848" s="41">
        <f>ABS(L$5-(6-'4JSON'!L842))</f>
        <v>1</v>
      </c>
      <c r="M848" s="36">
        <f t="shared" si="1"/>
        <v>10</v>
      </c>
      <c r="N848" s="42">
        <f t="shared" si="2"/>
        <v>0.7222222222</v>
      </c>
    </row>
    <row r="849">
      <c r="A849" s="35">
        <f>'4JSON'!A843</f>
        <v>4217</v>
      </c>
      <c r="B849" s="25" t="str">
        <f>'4JSON'!B843</f>
        <v>Other Religious Occupations</v>
      </c>
      <c r="C849" s="41" t="str">
        <f>'4JSON'!C843</f>
        <v>Other religious occupations</v>
      </c>
      <c r="D849" s="41">
        <f>ABS(D$5-(6-'4JSON'!D843))</f>
        <v>1</v>
      </c>
      <c r="E849" s="41">
        <f>ABS(E$5-(6-'4JSON'!E843))</f>
        <v>0</v>
      </c>
      <c r="F849" s="41">
        <f>ABS(F$5-(6-'4JSON'!F843))</f>
        <v>0</v>
      </c>
      <c r="G849" s="41">
        <f>ABS(G$5-(6-'4JSON'!G843))</f>
        <v>1</v>
      </c>
      <c r="H849" s="41">
        <f>ABS(H$5-(6-'4JSON'!H843))</f>
        <v>2</v>
      </c>
      <c r="I849" s="41">
        <f>ABS(I$5-(6-'4JSON'!I843))</f>
        <v>1</v>
      </c>
      <c r="J849" s="41">
        <f>ABS(J$5-(6-'4JSON'!J843))</f>
        <v>1</v>
      </c>
      <c r="K849" s="41">
        <f>ABS(K$5-(6-'4JSON'!K843))</f>
        <v>1</v>
      </c>
      <c r="L849" s="41">
        <f>ABS(L$5-(6-'4JSON'!L843))</f>
        <v>1</v>
      </c>
      <c r="M849" s="36">
        <f t="shared" si="1"/>
        <v>8</v>
      </c>
      <c r="N849" s="42">
        <f t="shared" si="2"/>
        <v>0.7777777778</v>
      </c>
    </row>
    <row r="850">
      <c r="A850" s="35">
        <f>'4JSON'!A844</f>
        <v>1123</v>
      </c>
      <c r="B850" s="25" t="str">
        <f>'4JSON'!B844</f>
        <v>Professional Occupations in Public Relations and Communications</v>
      </c>
      <c r="C850" s="41" t="str">
        <f>'4JSON'!C844</f>
        <v>Professional occupations in advertising, marketing and public relations</v>
      </c>
      <c r="D850" s="41">
        <f>ABS(D$5-(6-'4JSON'!D844))</f>
        <v>2</v>
      </c>
      <c r="E850" s="41">
        <f>ABS(E$5-(6-'4JSON'!E844))</f>
        <v>2</v>
      </c>
      <c r="F850" s="41">
        <f>ABS(F$5-(6-'4JSON'!F844))</f>
        <v>0</v>
      </c>
      <c r="G850" s="41">
        <f>ABS(G$5-(6-'4JSON'!G844))</f>
        <v>1</v>
      </c>
      <c r="H850" s="41">
        <f>ABS(H$5-(6-'4JSON'!H844))</f>
        <v>2</v>
      </c>
      <c r="I850" s="41">
        <f>ABS(I$5-(6-'4JSON'!I844))</f>
        <v>0</v>
      </c>
      <c r="J850" s="41">
        <f>ABS(J$5-(6-'4JSON'!J844))</f>
        <v>1</v>
      </c>
      <c r="K850" s="41">
        <f>ABS(K$5-(6-'4JSON'!K844))</f>
        <v>1</v>
      </c>
      <c r="L850" s="41">
        <f>ABS(L$5-(6-'4JSON'!L844))</f>
        <v>1</v>
      </c>
      <c r="M850" s="36">
        <f t="shared" si="1"/>
        <v>10</v>
      </c>
      <c r="N850" s="42">
        <f t="shared" si="2"/>
        <v>0.7222222222</v>
      </c>
    </row>
    <row r="851">
      <c r="A851" s="35">
        <f>'4JSON'!A845</f>
        <v>124</v>
      </c>
      <c r="B851" s="25" t="str">
        <f>'4JSON'!B845</f>
        <v>Public Relations Managers</v>
      </c>
      <c r="C851" s="41" t="str">
        <f>'4JSON'!C845</f>
        <v>Advertising, marketing and public relations managers</v>
      </c>
      <c r="D851" s="41">
        <f>ABS(D$5-(6-'4JSON'!D845))</f>
        <v>2</v>
      </c>
      <c r="E851" s="41">
        <f>ABS(E$5-(6-'4JSON'!E845))</f>
        <v>1</v>
      </c>
      <c r="F851" s="41">
        <f>ABS(F$5-(6-'4JSON'!F845))</f>
        <v>1</v>
      </c>
      <c r="G851" s="41">
        <f>ABS(G$5-(6-'4JSON'!G845))</f>
        <v>1</v>
      </c>
      <c r="H851" s="41">
        <f>ABS(H$5-(6-'4JSON'!H845))</f>
        <v>2</v>
      </c>
      <c r="I851" s="41">
        <f>ABS(I$5-(6-'4JSON'!I845))</f>
        <v>0</v>
      </c>
      <c r="J851" s="41">
        <f>ABS(J$5-(6-'4JSON'!J845))</f>
        <v>1</v>
      </c>
      <c r="K851" s="41">
        <f>ABS(K$5-(6-'4JSON'!K845))</f>
        <v>1</v>
      </c>
      <c r="L851" s="41">
        <f>ABS(L$5-(6-'4JSON'!L845))</f>
        <v>1</v>
      </c>
      <c r="M851" s="36">
        <f t="shared" si="1"/>
        <v>10</v>
      </c>
      <c r="N851" s="42">
        <f t="shared" si="2"/>
        <v>0.7222222222</v>
      </c>
    </row>
    <row r="852">
      <c r="A852" s="35">
        <f>'4JSON'!A846</f>
        <v>113</v>
      </c>
      <c r="B852" s="25" t="str">
        <f>'4JSON'!B846</f>
        <v>Purchasing Managers</v>
      </c>
      <c r="C852" s="41" t="str">
        <f>'4JSON'!C846</f>
        <v>Purchasing managers</v>
      </c>
      <c r="D852" s="41">
        <f>ABS(D$5-(6-'4JSON'!D846))</f>
        <v>2</v>
      </c>
      <c r="E852" s="41">
        <f>ABS(E$5-(6-'4JSON'!E846))</f>
        <v>1</v>
      </c>
      <c r="F852" s="41">
        <f>ABS(F$5-(6-'4JSON'!F846))</f>
        <v>1</v>
      </c>
      <c r="G852" s="41">
        <f>ABS(G$5-(6-'4JSON'!G846))</f>
        <v>1</v>
      </c>
      <c r="H852" s="41">
        <f>ABS(H$5-(6-'4JSON'!H846))</f>
        <v>2</v>
      </c>
      <c r="I852" s="41">
        <f>ABS(I$5-(6-'4JSON'!I846))</f>
        <v>0</v>
      </c>
      <c r="J852" s="41">
        <f>ABS(J$5-(6-'4JSON'!J846))</f>
        <v>1</v>
      </c>
      <c r="K852" s="41">
        <f>ABS(K$5-(6-'4JSON'!K846))</f>
        <v>1</v>
      </c>
      <c r="L852" s="41">
        <f>ABS(L$5-(6-'4JSON'!L846))</f>
        <v>1</v>
      </c>
      <c r="M852" s="36">
        <f t="shared" si="1"/>
        <v>10</v>
      </c>
      <c r="N852" s="42">
        <f t="shared" si="2"/>
        <v>0.7222222222</v>
      </c>
    </row>
    <row r="853">
      <c r="A853" s="35">
        <f>'4JSON'!A847</f>
        <v>121</v>
      </c>
      <c r="B853" s="25" t="str">
        <f>'4JSON'!B847</f>
        <v>Real Estate Service Managers</v>
      </c>
      <c r="C853" s="41" t="str">
        <f>'4JSON'!C847</f>
        <v>Insurance, real estate and financial brokerage managers</v>
      </c>
      <c r="D853" s="41">
        <f>ABS(D$5-(6-'4JSON'!D847))</f>
        <v>2</v>
      </c>
      <c r="E853" s="41">
        <f>ABS(E$5-(6-'4JSON'!E847))</f>
        <v>1</v>
      </c>
      <c r="F853" s="41">
        <f>ABS(F$5-(6-'4JSON'!F847))</f>
        <v>1</v>
      </c>
      <c r="G853" s="41">
        <f>ABS(G$5-(6-'4JSON'!G847))</f>
        <v>1</v>
      </c>
      <c r="H853" s="41">
        <f>ABS(H$5-(6-'4JSON'!H847))</f>
        <v>2</v>
      </c>
      <c r="I853" s="41">
        <f>ABS(I$5-(6-'4JSON'!I847))</f>
        <v>0</v>
      </c>
      <c r="J853" s="41">
        <f>ABS(J$5-(6-'4JSON'!J847))</f>
        <v>1</v>
      </c>
      <c r="K853" s="41">
        <f>ABS(K$5-(6-'4JSON'!K847))</f>
        <v>1</v>
      </c>
      <c r="L853" s="41">
        <f>ABS(L$5-(6-'4JSON'!L847))</f>
        <v>1</v>
      </c>
      <c r="M853" s="36">
        <f t="shared" si="1"/>
        <v>10</v>
      </c>
      <c r="N853" s="42">
        <f t="shared" si="2"/>
        <v>0.7222222222</v>
      </c>
    </row>
    <row r="854">
      <c r="A854" s="35">
        <f>'4JSON'!A848</f>
        <v>601</v>
      </c>
      <c r="B854" s="25" t="str">
        <f>'4JSON'!B848</f>
        <v>Sales Managers</v>
      </c>
      <c r="C854" s="41" t="str">
        <f>'4JSON'!C848</f>
        <v>Corporate sales managers</v>
      </c>
      <c r="D854" s="41">
        <f>ABS(D$5-(6-'4JSON'!D848))</f>
        <v>2</v>
      </c>
      <c r="E854" s="41">
        <f>ABS(E$5-(6-'4JSON'!E848))</f>
        <v>1</v>
      </c>
      <c r="F854" s="41">
        <f>ABS(F$5-(6-'4JSON'!F848))</f>
        <v>1</v>
      </c>
      <c r="G854" s="41">
        <f>ABS(G$5-(6-'4JSON'!G848))</f>
        <v>1</v>
      </c>
      <c r="H854" s="41">
        <f>ABS(H$5-(6-'4JSON'!H848))</f>
        <v>2</v>
      </c>
      <c r="I854" s="41">
        <f>ABS(I$5-(6-'4JSON'!I848))</f>
        <v>0</v>
      </c>
      <c r="J854" s="41">
        <f>ABS(J$5-(6-'4JSON'!J848))</f>
        <v>1</v>
      </c>
      <c r="K854" s="41">
        <f>ABS(K$5-(6-'4JSON'!K848))</f>
        <v>1</v>
      </c>
      <c r="L854" s="41">
        <f>ABS(L$5-(6-'4JSON'!L848))</f>
        <v>1</v>
      </c>
      <c r="M854" s="36">
        <f t="shared" si="1"/>
        <v>10</v>
      </c>
      <c r="N854" s="42">
        <f t="shared" si="2"/>
        <v>0.7222222222</v>
      </c>
    </row>
    <row r="855">
      <c r="A855" s="35">
        <f>'4JSON'!A849</f>
        <v>6732</v>
      </c>
      <c r="B855" s="25" t="str">
        <f>'4JSON'!B849</f>
        <v>Sandblasters</v>
      </c>
      <c r="C855" s="41" t="str">
        <f>'4JSON'!C849</f>
        <v>Specialized cleaners</v>
      </c>
      <c r="D855" s="41">
        <f>ABS(D$5-(6-'4JSON'!D849))</f>
        <v>0</v>
      </c>
      <c r="E855" s="41">
        <f>ABS(E$5-(6-'4JSON'!E849))</f>
        <v>1</v>
      </c>
      <c r="F855" s="41">
        <f>ABS(F$5-(6-'4JSON'!F849))</f>
        <v>2</v>
      </c>
      <c r="G855" s="41">
        <f>ABS(G$5-(6-'4JSON'!G849))</f>
        <v>1</v>
      </c>
      <c r="H855" s="41">
        <f>ABS(H$5-(6-'4JSON'!H849))</f>
        <v>2</v>
      </c>
      <c r="I855" s="41">
        <f>ABS(I$5-(6-'4JSON'!I849))</f>
        <v>2</v>
      </c>
      <c r="J855" s="41">
        <f>ABS(J$5-(6-'4JSON'!J849))</f>
        <v>1</v>
      </c>
      <c r="K855" s="41">
        <f>ABS(K$5-(6-'4JSON'!K849))</f>
        <v>1</v>
      </c>
      <c r="L855" s="41">
        <f>ABS(L$5-(6-'4JSON'!L849))</f>
        <v>0</v>
      </c>
      <c r="M855" s="36">
        <f t="shared" si="1"/>
        <v>10</v>
      </c>
      <c r="N855" s="42">
        <f t="shared" si="2"/>
        <v>0.7222222222</v>
      </c>
    </row>
    <row r="856">
      <c r="A856" s="35">
        <f>'4JSON'!A850</f>
        <v>1113</v>
      </c>
      <c r="B856" s="25" t="str">
        <f>'4JSON'!B850</f>
        <v>Securities Agents and Investment Dealers</v>
      </c>
      <c r="C856" s="41" t="str">
        <f>'4JSON'!C850</f>
        <v>Securities agents, investment dealers and brokers</v>
      </c>
      <c r="D856" s="41">
        <f>ABS(D$5-(6-'4JSON'!D850))</f>
        <v>2</v>
      </c>
      <c r="E856" s="41">
        <f>ABS(E$5-(6-'4JSON'!E850))</f>
        <v>1</v>
      </c>
      <c r="F856" s="41">
        <f>ABS(F$5-(6-'4JSON'!F850))</f>
        <v>1</v>
      </c>
      <c r="G856" s="41">
        <f>ABS(G$5-(6-'4JSON'!G850))</f>
        <v>1</v>
      </c>
      <c r="H856" s="41">
        <f>ABS(H$5-(6-'4JSON'!H850))</f>
        <v>2</v>
      </c>
      <c r="I856" s="41">
        <f>ABS(I$5-(6-'4JSON'!I850))</f>
        <v>0</v>
      </c>
      <c r="J856" s="41">
        <f>ABS(J$5-(6-'4JSON'!J850))</f>
        <v>1</v>
      </c>
      <c r="K856" s="41">
        <f>ABS(K$5-(6-'4JSON'!K850))</f>
        <v>1</v>
      </c>
      <c r="L856" s="41">
        <f>ABS(L$5-(6-'4JSON'!L850))</f>
        <v>1</v>
      </c>
      <c r="M856" s="36">
        <f t="shared" si="1"/>
        <v>10</v>
      </c>
      <c r="N856" s="42">
        <f t="shared" si="2"/>
        <v>0.7222222222</v>
      </c>
    </row>
    <row r="857">
      <c r="A857" s="35">
        <f>'4JSON'!A851</f>
        <v>121</v>
      </c>
      <c r="B857" s="25" t="str">
        <f>'4JSON'!B851</f>
        <v>Securities Managers</v>
      </c>
      <c r="C857" s="41" t="str">
        <f>'4JSON'!C851</f>
        <v>Insurance, real estate and financial brokerage managers</v>
      </c>
      <c r="D857" s="41">
        <f>ABS(D$5-(6-'4JSON'!D851))</f>
        <v>2</v>
      </c>
      <c r="E857" s="41">
        <f>ABS(E$5-(6-'4JSON'!E851))</f>
        <v>1</v>
      </c>
      <c r="F857" s="41">
        <f>ABS(F$5-(6-'4JSON'!F851))</f>
        <v>1</v>
      </c>
      <c r="G857" s="41">
        <f>ABS(G$5-(6-'4JSON'!G851))</f>
        <v>1</v>
      </c>
      <c r="H857" s="41">
        <f>ABS(H$5-(6-'4JSON'!H851))</f>
        <v>2</v>
      </c>
      <c r="I857" s="41">
        <f>ABS(I$5-(6-'4JSON'!I851))</f>
        <v>0</v>
      </c>
      <c r="J857" s="41">
        <f>ABS(J$5-(6-'4JSON'!J851))</f>
        <v>1</v>
      </c>
      <c r="K857" s="41">
        <f>ABS(K$5-(6-'4JSON'!K851))</f>
        <v>1</v>
      </c>
      <c r="L857" s="41">
        <f>ABS(L$5-(6-'4JSON'!L851))</f>
        <v>1</v>
      </c>
      <c r="M857" s="36">
        <f t="shared" si="1"/>
        <v>10</v>
      </c>
      <c r="N857" s="42">
        <f t="shared" si="2"/>
        <v>0.7222222222</v>
      </c>
    </row>
    <row r="858">
      <c r="A858" s="35">
        <f>'4JSON'!A852</f>
        <v>6541</v>
      </c>
      <c r="B858" s="25" t="str">
        <f>'4JSON'!B852</f>
        <v>Security Guards and Related Occupations</v>
      </c>
      <c r="C858" s="41" t="str">
        <f>'4JSON'!C852</f>
        <v>Security guards and related security service occupations</v>
      </c>
      <c r="D858" s="41">
        <f>ABS(D$5-(6-'4JSON'!D852))</f>
        <v>0</v>
      </c>
      <c r="E858" s="41">
        <f>ABS(E$5-(6-'4JSON'!E852))</f>
        <v>0</v>
      </c>
      <c r="F858" s="41">
        <f>ABS(F$5-(6-'4JSON'!F852))</f>
        <v>1</v>
      </c>
      <c r="G858" s="41">
        <f>ABS(G$5-(6-'4JSON'!G852))</f>
        <v>1</v>
      </c>
      <c r="H858" s="41">
        <f>ABS(H$5-(6-'4JSON'!H852))</f>
        <v>2</v>
      </c>
      <c r="I858" s="41">
        <f>ABS(I$5-(6-'4JSON'!I852))</f>
        <v>1</v>
      </c>
      <c r="J858" s="41">
        <f>ABS(J$5-(6-'4JSON'!J852))</f>
        <v>1</v>
      </c>
      <c r="K858" s="41">
        <f>ABS(K$5-(6-'4JSON'!K852))</f>
        <v>1</v>
      </c>
      <c r="L858" s="41">
        <f>ABS(L$5-(6-'4JSON'!L852))</f>
        <v>1</v>
      </c>
      <c r="M858" s="36">
        <f t="shared" si="1"/>
        <v>8</v>
      </c>
      <c r="N858" s="42">
        <f t="shared" si="2"/>
        <v>0.7777777778</v>
      </c>
    </row>
    <row r="859">
      <c r="A859" s="35">
        <f>'4JSON'!A853</f>
        <v>4164</v>
      </c>
      <c r="B859" s="25" t="str">
        <f>'4JSON'!B853</f>
        <v>Social Survey Researchers</v>
      </c>
      <c r="C859" s="41" t="str">
        <f>'4JSON'!C853</f>
        <v>Social policy researchers, consultants and program officers</v>
      </c>
      <c r="D859" s="41">
        <f>ABS(D$5-(6-'4JSON'!D853))</f>
        <v>2</v>
      </c>
      <c r="E859" s="41">
        <f>ABS(E$5-(6-'4JSON'!E853))</f>
        <v>1</v>
      </c>
      <c r="F859" s="41">
        <f>ABS(F$5-(6-'4JSON'!F853))</f>
        <v>1</v>
      </c>
      <c r="G859" s="41">
        <f>ABS(G$5-(6-'4JSON'!G853))</f>
        <v>1</v>
      </c>
      <c r="H859" s="41">
        <f>ABS(H$5-(6-'4JSON'!H853))</f>
        <v>2</v>
      </c>
      <c r="I859" s="41">
        <f>ABS(I$5-(6-'4JSON'!I853))</f>
        <v>0</v>
      </c>
      <c r="J859" s="41">
        <f>ABS(J$5-(6-'4JSON'!J853))</f>
        <v>1</v>
      </c>
      <c r="K859" s="41">
        <f>ABS(K$5-(6-'4JSON'!K853))</f>
        <v>1</v>
      </c>
      <c r="L859" s="41">
        <f>ABS(L$5-(6-'4JSON'!L853))</f>
        <v>1</v>
      </c>
      <c r="M859" s="36">
        <f t="shared" si="1"/>
        <v>10</v>
      </c>
      <c r="N859" s="42">
        <f t="shared" si="2"/>
        <v>0.7222222222</v>
      </c>
    </row>
    <row r="860">
      <c r="A860" s="35">
        <f>'4JSON'!A854</f>
        <v>1213</v>
      </c>
      <c r="B860" s="25" t="str">
        <f>'4JSON'!B854</f>
        <v>Supervisors, Library, Correspondence and Related Information Clerks</v>
      </c>
      <c r="C860" s="41" t="str">
        <f>'4JSON'!C854</f>
        <v>Supervisors, library, correspondence and related information workers</v>
      </c>
      <c r="D860" s="41">
        <f>ABS(D$5-(6-'4JSON'!D854))</f>
        <v>1</v>
      </c>
      <c r="E860" s="41">
        <f>ABS(E$5-(6-'4JSON'!E854))</f>
        <v>0</v>
      </c>
      <c r="F860" s="41">
        <f>ABS(F$5-(6-'4JSON'!F854))</f>
        <v>0</v>
      </c>
      <c r="G860" s="41">
        <f>ABS(G$5-(6-'4JSON'!G854))</f>
        <v>1</v>
      </c>
      <c r="H860" s="41">
        <f>ABS(H$5-(6-'4JSON'!H854))</f>
        <v>2</v>
      </c>
      <c r="I860" s="41">
        <f>ABS(I$5-(6-'4JSON'!I854))</f>
        <v>1</v>
      </c>
      <c r="J860" s="41">
        <f>ABS(J$5-(6-'4JSON'!J854))</f>
        <v>1</v>
      </c>
      <c r="K860" s="41">
        <f>ABS(K$5-(6-'4JSON'!K854))</f>
        <v>1</v>
      </c>
      <c r="L860" s="41">
        <f>ABS(L$5-(6-'4JSON'!L854))</f>
        <v>1</v>
      </c>
      <c r="M860" s="36">
        <f t="shared" si="1"/>
        <v>8</v>
      </c>
      <c r="N860" s="42">
        <f t="shared" si="2"/>
        <v>0.7777777778</v>
      </c>
    </row>
    <row r="861">
      <c r="A861" s="35">
        <f>'4JSON'!A855</f>
        <v>1214</v>
      </c>
      <c r="B861" s="25" t="str">
        <f>'4JSON'!B855</f>
        <v>Supervisors, Mail and Message Distribution Occupations</v>
      </c>
      <c r="C861" s="41" t="str">
        <f>'4JSON'!C855</f>
        <v>Supervisors, mail and message distribution occupations</v>
      </c>
      <c r="D861" s="41">
        <f>ABS(D$5-(6-'4JSON'!D855))</f>
        <v>1</v>
      </c>
      <c r="E861" s="41">
        <f>ABS(E$5-(6-'4JSON'!E855))</f>
        <v>0</v>
      </c>
      <c r="F861" s="41">
        <f>ABS(F$5-(6-'4JSON'!F855))</f>
        <v>0</v>
      </c>
      <c r="G861" s="41">
        <f>ABS(G$5-(6-'4JSON'!G855))</f>
        <v>1</v>
      </c>
      <c r="H861" s="41">
        <f>ABS(H$5-(6-'4JSON'!H855))</f>
        <v>2</v>
      </c>
      <c r="I861" s="41">
        <f>ABS(I$5-(6-'4JSON'!I855))</f>
        <v>1</v>
      </c>
      <c r="J861" s="41">
        <f>ABS(J$5-(6-'4JSON'!J855))</f>
        <v>1</v>
      </c>
      <c r="K861" s="41">
        <f>ABS(K$5-(6-'4JSON'!K855))</f>
        <v>1</v>
      </c>
      <c r="L861" s="41">
        <f>ABS(L$5-(6-'4JSON'!L855))</f>
        <v>1</v>
      </c>
      <c r="M861" s="36">
        <f t="shared" si="1"/>
        <v>8</v>
      </c>
      <c r="N861" s="42">
        <f t="shared" si="2"/>
        <v>0.7777777778</v>
      </c>
    </row>
    <row r="862">
      <c r="A862" s="35">
        <f>'4JSON'!A856</f>
        <v>6742</v>
      </c>
      <c r="B862" s="25" t="str">
        <f>'4JSON'!B856</f>
        <v>Ticket Takers and Ushers</v>
      </c>
      <c r="C862" s="41" t="str">
        <f>'4JSON'!C856</f>
        <v>Other service support occupations, n.e.c.</v>
      </c>
      <c r="D862" s="41">
        <f>ABS(D$5-(6-'4JSON'!D856))</f>
        <v>0</v>
      </c>
      <c r="E862" s="41">
        <f>ABS(E$5-(6-'4JSON'!E856))</f>
        <v>1</v>
      </c>
      <c r="F862" s="41">
        <f>ABS(F$5-(6-'4JSON'!F856))</f>
        <v>2</v>
      </c>
      <c r="G862" s="41">
        <f>ABS(G$5-(6-'4JSON'!G856))</f>
        <v>1</v>
      </c>
      <c r="H862" s="41">
        <f>ABS(H$5-(6-'4JSON'!H856))</f>
        <v>2</v>
      </c>
      <c r="I862" s="41">
        <f>ABS(I$5-(6-'4JSON'!I856))</f>
        <v>1</v>
      </c>
      <c r="J862" s="41">
        <f>ABS(J$5-(6-'4JSON'!J856))</f>
        <v>1</v>
      </c>
      <c r="K862" s="41">
        <f>ABS(K$5-(6-'4JSON'!K856))</f>
        <v>1</v>
      </c>
      <c r="L862" s="41">
        <f>ABS(L$5-(6-'4JSON'!L856))</f>
        <v>1</v>
      </c>
      <c r="M862" s="36">
        <f t="shared" si="1"/>
        <v>10</v>
      </c>
      <c r="N862" s="42">
        <f t="shared" si="2"/>
        <v>0.7222222222</v>
      </c>
    </row>
    <row r="863">
      <c r="A863" s="35">
        <f>'4JSON'!A857</f>
        <v>6721</v>
      </c>
      <c r="B863" s="25" t="str">
        <f>'4JSON'!B857</f>
        <v>Train Service Attendants</v>
      </c>
      <c r="C863" s="41" t="str">
        <f>'4JSON'!C857</f>
        <v>Support occupations in accommodation, travel and facilities set-up services</v>
      </c>
      <c r="D863" s="41">
        <f>ABS(D$5-(6-'4JSON'!D857))</f>
        <v>0</v>
      </c>
      <c r="E863" s="41">
        <f>ABS(E$5-(6-'4JSON'!E857))</f>
        <v>1</v>
      </c>
      <c r="F863" s="41">
        <f>ABS(F$5-(6-'4JSON'!F857))</f>
        <v>1</v>
      </c>
      <c r="G863" s="41">
        <f>ABS(G$5-(6-'4JSON'!G857))</f>
        <v>1</v>
      </c>
      <c r="H863" s="41">
        <f>ABS(H$5-(6-'4JSON'!H857))</f>
        <v>2</v>
      </c>
      <c r="I863" s="41">
        <f>ABS(I$5-(6-'4JSON'!I857))</f>
        <v>2</v>
      </c>
      <c r="J863" s="41">
        <f>ABS(J$5-(6-'4JSON'!J857))</f>
        <v>1</v>
      </c>
      <c r="K863" s="41">
        <f>ABS(K$5-(6-'4JSON'!K857))</f>
        <v>1</v>
      </c>
      <c r="L863" s="41">
        <f>ABS(L$5-(6-'4JSON'!L857))</f>
        <v>1</v>
      </c>
      <c r="M863" s="36">
        <f t="shared" si="1"/>
        <v>10</v>
      </c>
      <c r="N863" s="42">
        <f t="shared" si="2"/>
        <v>0.7222222222</v>
      </c>
    </row>
    <row r="864">
      <c r="A864" s="35">
        <f>'4JSON'!A858</f>
        <v>5125</v>
      </c>
      <c r="B864" s="25" t="str">
        <f>'4JSON'!B858</f>
        <v>Translators</v>
      </c>
      <c r="C864" s="41" t="str">
        <f>'4JSON'!C858</f>
        <v>Translators, terminologists and interpreters</v>
      </c>
      <c r="D864" s="41">
        <f>ABS(D$5-(6-'4JSON'!D858))</f>
        <v>2</v>
      </c>
      <c r="E864" s="41">
        <f>ABS(E$5-(6-'4JSON'!E858))</f>
        <v>2</v>
      </c>
      <c r="F864" s="41">
        <f>ABS(F$5-(6-'4JSON'!F858))</f>
        <v>1</v>
      </c>
      <c r="G864" s="41">
        <f>ABS(G$5-(6-'4JSON'!G858))</f>
        <v>1</v>
      </c>
      <c r="H864" s="41">
        <f>ABS(H$5-(6-'4JSON'!H858))</f>
        <v>2</v>
      </c>
      <c r="I864" s="41">
        <f>ABS(I$5-(6-'4JSON'!I858))</f>
        <v>1</v>
      </c>
      <c r="J864" s="41">
        <f>ABS(J$5-(6-'4JSON'!J858))</f>
        <v>1</v>
      </c>
      <c r="K864" s="41">
        <f>ABS(K$5-(6-'4JSON'!K858))</f>
        <v>1</v>
      </c>
      <c r="L864" s="41">
        <f>ABS(L$5-(6-'4JSON'!L858))</f>
        <v>1</v>
      </c>
      <c r="M864" s="36">
        <f t="shared" si="1"/>
        <v>12</v>
      </c>
      <c r="N864" s="42">
        <f t="shared" si="2"/>
        <v>0.6666666667</v>
      </c>
    </row>
    <row r="865">
      <c r="A865" s="35">
        <f>'4JSON'!A859</f>
        <v>1114</v>
      </c>
      <c r="B865" s="25" t="str">
        <f>'4JSON'!B859</f>
        <v>Trust Officers</v>
      </c>
      <c r="C865" s="41" t="str">
        <f>'4JSON'!C859</f>
        <v>Other financial officers</v>
      </c>
      <c r="D865" s="41">
        <f>ABS(D$5-(6-'4JSON'!D859))</f>
        <v>2</v>
      </c>
      <c r="E865" s="41">
        <f>ABS(E$5-(6-'4JSON'!E859))</f>
        <v>1</v>
      </c>
      <c r="F865" s="41">
        <f>ABS(F$5-(6-'4JSON'!F859))</f>
        <v>1</v>
      </c>
      <c r="G865" s="41">
        <f>ABS(G$5-(6-'4JSON'!G859))</f>
        <v>1</v>
      </c>
      <c r="H865" s="41">
        <f>ABS(H$5-(6-'4JSON'!H859))</f>
        <v>2</v>
      </c>
      <c r="I865" s="41">
        <f>ABS(I$5-(6-'4JSON'!I859))</f>
        <v>0</v>
      </c>
      <c r="J865" s="41">
        <f>ABS(J$5-(6-'4JSON'!J859))</f>
        <v>1</v>
      </c>
      <c r="K865" s="41">
        <f>ABS(K$5-(6-'4JSON'!K859))</f>
        <v>1</v>
      </c>
      <c r="L865" s="41">
        <f>ABS(L$5-(6-'4JSON'!L859))</f>
        <v>1</v>
      </c>
      <c r="M865" s="36">
        <f t="shared" si="1"/>
        <v>10</v>
      </c>
      <c r="N865" s="42">
        <f t="shared" si="2"/>
        <v>0.7222222222</v>
      </c>
    </row>
    <row r="866">
      <c r="A866" s="35">
        <f>'4JSON'!A860</f>
        <v>1313</v>
      </c>
      <c r="B866" s="25" t="str">
        <f>'4JSON'!B860</f>
        <v>Underwriters</v>
      </c>
      <c r="C866" s="41" t="str">
        <f>'4JSON'!C860</f>
        <v>Insurance underwriters</v>
      </c>
      <c r="D866" s="41">
        <f>ABS(D$5-(6-'4JSON'!D860))</f>
        <v>2</v>
      </c>
      <c r="E866" s="41">
        <f>ABS(E$5-(6-'4JSON'!E860))</f>
        <v>1</v>
      </c>
      <c r="F866" s="41">
        <f>ABS(F$5-(6-'4JSON'!F860))</f>
        <v>1</v>
      </c>
      <c r="G866" s="41">
        <f>ABS(G$5-(6-'4JSON'!G860))</f>
        <v>1</v>
      </c>
      <c r="H866" s="41">
        <f>ABS(H$5-(6-'4JSON'!H860))</f>
        <v>2</v>
      </c>
      <c r="I866" s="41">
        <f>ABS(I$5-(6-'4JSON'!I860))</f>
        <v>0</v>
      </c>
      <c r="J866" s="41">
        <f>ABS(J$5-(6-'4JSON'!J860))</f>
        <v>1</v>
      </c>
      <c r="K866" s="41">
        <f>ABS(K$5-(6-'4JSON'!K860))</f>
        <v>1</v>
      </c>
      <c r="L866" s="41">
        <f>ABS(L$5-(6-'4JSON'!L860))</f>
        <v>1</v>
      </c>
      <c r="M866" s="36">
        <f t="shared" si="1"/>
        <v>10</v>
      </c>
      <c r="N866" s="42">
        <f t="shared" si="2"/>
        <v>0.7222222222</v>
      </c>
    </row>
    <row r="867">
      <c r="A867" s="35">
        <f>'4JSON'!A861</f>
        <v>4011</v>
      </c>
      <c r="B867" s="25" t="str">
        <f>'4JSON'!B861</f>
        <v>University Professors</v>
      </c>
      <c r="C867" s="41" t="str">
        <f>'4JSON'!C861</f>
        <v>University professors and lecturers</v>
      </c>
      <c r="D867" s="41">
        <f>ABS(D$5-(6-'4JSON'!D861))</f>
        <v>3</v>
      </c>
      <c r="E867" s="41">
        <f>ABS(E$5-(6-'4JSON'!E861))</f>
        <v>2</v>
      </c>
      <c r="F867" s="41">
        <f>ABS(F$5-(6-'4JSON'!F861))</f>
        <v>1</v>
      </c>
      <c r="G867" s="41">
        <f>ABS(G$5-(6-'4JSON'!G861))</f>
        <v>0</v>
      </c>
      <c r="H867" s="41">
        <f>ABS(H$5-(6-'4JSON'!H861))</f>
        <v>1</v>
      </c>
      <c r="I867" s="41">
        <f>ABS(I$5-(6-'4JSON'!I861))</f>
        <v>0</v>
      </c>
      <c r="J867" s="41">
        <f>ABS(J$5-(6-'4JSON'!J861))</f>
        <v>1</v>
      </c>
      <c r="K867" s="41">
        <f>ABS(K$5-(6-'4JSON'!K861))</f>
        <v>1</v>
      </c>
      <c r="L867" s="41">
        <f>ABS(L$5-(6-'4JSON'!L861))</f>
        <v>1</v>
      </c>
      <c r="M867" s="36">
        <f t="shared" si="1"/>
        <v>10</v>
      </c>
      <c r="N867" s="42">
        <f t="shared" si="2"/>
        <v>0.7222222222</v>
      </c>
    </row>
    <row r="868">
      <c r="A868" s="35">
        <f>'4JSON'!A862</f>
        <v>6732</v>
      </c>
      <c r="B868" s="25" t="str">
        <f>'4JSON'!B862</f>
        <v>Vehicle Cleaners</v>
      </c>
      <c r="C868" s="41" t="str">
        <f>'4JSON'!C862</f>
        <v>Specialized cleaners</v>
      </c>
      <c r="D868" s="41">
        <f>ABS(D$5-(6-'4JSON'!D862))</f>
        <v>0</v>
      </c>
      <c r="E868" s="41">
        <f>ABS(E$5-(6-'4JSON'!E862))</f>
        <v>1</v>
      </c>
      <c r="F868" s="41">
        <f>ABS(F$5-(6-'4JSON'!F862))</f>
        <v>2</v>
      </c>
      <c r="G868" s="41">
        <f>ABS(G$5-(6-'4JSON'!G862))</f>
        <v>1</v>
      </c>
      <c r="H868" s="41">
        <f>ABS(H$5-(6-'4JSON'!H862))</f>
        <v>2</v>
      </c>
      <c r="I868" s="41">
        <f>ABS(I$5-(6-'4JSON'!I862))</f>
        <v>2</v>
      </c>
      <c r="J868" s="41">
        <f>ABS(J$5-(6-'4JSON'!J862))</f>
        <v>1</v>
      </c>
      <c r="K868" s="41">
        <f>ABS(K$5-(6-'4JSON'!K862))</f>
        <v>1</v>
      </c>
      <c r="L868" s="41">
        <f>ABS(L$5-(6-'4JSON'!L862))</f>
        <v>0</v>
      </c>
      <c r="M868" s="36">
        <f t="shared" si="1"/>
        <v>10</v>
      </c>
      <c r="N868" s="42">
        <f t="shared" si="2"/>
        <v>0.7222222222</v>
      </c>
    </row>
    <row r="869">
      <c r="A869" s="35">
        <f>'4JSON'!A863</f>
        <v>2175</v>
      </c>
      <c r="B869" s="25" t="str">
        <f>'4JSON'!B863</f>
        <v>Web Designers and Developers</v>
      </c>
      <c r="C869" s="41" t="str">
        <f>'4JSON'!C863</f>
        <v>Web designers and developers</v>
      </c>
      <c r="D869" s="41">
        <f>ABS(D$5-(6-'4JSON'!D863))</f>
        <v>2</v>
      </c>
      <c r="E869" s="41">
        <f>ABS(E$5-(6-'4JSON'!E863))</f>
        <v>1</v>
      </c>
      <c r="F869" s="41">
        <f>ABS(F$5-(6-'4JSON'!F863))</f>
        <v>1</v>
      </c>
      <c r="G869" s="41">
        <f>ABS(G$5-(6-'4JSON'!G863))</f>
        <v>0</v>
      </c>
      <c r="H869" s="41">
        <f>ABS(H$5-(6-'4JSON'!H863))</f>
        <v>1</v>
      </c>
      <c r="I869" s="41">
        <f>ABS(I$5-(6-'4JSON'!I863))</f>
        <v>2</v>
      </c>
      <c r="J869" s="41">
        <f>ABS(J$5-(6-'4JSON'!J863))</f>
        <v>1</v>
      </c>
      <c r="K869" s="41">
        <f>ABS(K$5-(6-'4JSON'!K863))</f>
        <v>1</v>
      </c>
      <c r="L869" s="41">
        <f>ABS(L$5-(6-'4JSON'!L863))</f>
        <v>1</v>
      </c>
      <c r="M869" s="36">
        <f t="shared" si="1"/>
        <v>10</v>
      </c>
      <c r="N869" s="42">
        <f t="shared" si="2"/>
        <v>0.7222222222</v>
      </c>
    </row>
    <row r="870">
      <c r="A870" s="35">
        <f>'4JSON'!A864</f>
        <v>2161</v>
      </c>
      <c r="B870" s="25" t="str">
        <f>'4JSON'!B864</f>
        <v>Actuaries</v>
      </c>
      <c r="C870" s="41" t="str">
        <f>'4JSON'!C864</f>
        <v>Mathematicians, statisticians and actuaries</v>
      </c>
      <c r="D870" s="41">
        <f>ABS(D$5-(6-'4JSON'!D864))</f>
        <v>3</v>
      </c>
      <c r="E870" s="41">
        <f>ABS(E$5-(6-'4JSON'!E864))</f>
        <v>1</v>
      </c>
      <c r="F870" s="41">
        <f>ABS(F$5-(6-'4JSON'!F864))</f>
        <v>2</v>
      </c>
      <c r="G870" s="41">
        <f>ABS(G$5-(6-'4JSON'!G864))</f>
        <v>1</v>
      </c>
      <c r="H870" s="41">
        <f>ABS(H$5-(6-'4JSON'!H864))</f>
        <v>1</v>
      </c>
      <c r="I870" s="41">
        <f>ABS(I$5-(6-'4JSON'!I864))</f>
        <v>2</v>
      </c>
      <c r="J870" s="41">
        <f>ABS(J$5-(6-'4JSON'!J864))</f>
        <v>1</v>
      </c>
      <c r="K870" s="41">
        <f>ABS(K$5-(6-'4JSON'!K864))</f>
        <v>1</v>
      </c>
      <c r="L870" s="41">
        <f>ABS(L$5-(6-'4JSON'!L864))</f>
        <v>1</v>
      </c>
      <c r="M870" s="36">
        <f t="shared" si="1"/>
        <v>13</v>
      </c>
      <c r="N870" s="42">
        <f t="shared" si="2"/>
        <v>0.6388888889</v>
      </c>
    </row>
    <row r="871">
      <c r="A871" s="35">
        <f>'4JSON'!A865</f>
        <v>422</v>
      </c>
      <c r="B871" s="25" t="str">
        <f>'4JSON'!B865</f>
        <v>Administrators of Elementary and Secondary Education</v>
      </c>
      <c r="C871" s="41" t="str">
        <f>'4JSON'!C865</f>
        <v>School principals and administrators of elementary and secondary education</v>
      </c>
      <c r="D871" s="41">
        <f>ABS(D$5-(6-'4JSON'!D865))</f>
        <v>3</v>
      </c>
      <c r="E871" s="41">
        <f>ABS(E$5-(6-'4JSON'!E865))</f>
        <v>1</v>
      </c>
      <c r="F871" s="41">
        <f>ABS(F$5-(6-'4JSON'!F865))</f>
        <v>1</v>
      </c>
      <c r="G871" s="41">
        <f>ABS(G$5-(6-'4JSON'!G865))</f>
        <v>1</v>
      </c>
      <c r="H871" s="41">
        <f>ABS(H$5-(6-'4JSON'!H865))</f>
        <v>2</v>
      </c>
      <c r="I871" s="41">
        <f>ABS(I$5-(6-'4JSON'!I865))</f>
        <v>0</v>
      </c>
      <c r="J871" s="41">
        <f>ABS(J$5-(6-'4JSON'!J865))</f>
        <v>1</v>
      </c>
      <c r="K871" s="41">
        <f>ABS(K$5-(6-'4JSON'!K865))</f>
        <v>1</v>
      </c>
      <c r="L871" s="41">
        <f>ABS(L$5-(6-'4JSON'!L865))</f>
        <v>1</v>
      </c>
      <c r="M871" s="36">
        <f t="shared" si="1"/>
        <v>11</v>
      </c>
      <c r="N871" s="42">
        <f t="shared" si="2"/>
        <v>0.6944444444</v>
      </c>
    </row>
    <row r="872">
      <c r="A872" s="35">
        <f>'4JSON'!A866</f>
        <v>421</v>
      </c>
      <c r="B872" s="25" t="str">
        <f>'4JSON'!B866</f>
        <v>Administrators of Vocational Training Schools</v>
      </c>
      <c r="C872" s="41" t="str">
        <f>'4JSON'!C866</f>
        <v>Administrators - post-secondary education and vocational training</v>
      </c>
      <c r="D872" s="41">
        <f>ABS(D$5-(6-'4JSON'!D866))</f>
        <v>3</v>
      </c>
      <c r="E872" s="41">
        <f>ABS(E$5-(6-'4JSON'!E866))</f>
        <v>1</v>
      </c>
      <c r="F872" s="41">
        <f>ABS(F$5-(6-'4JSON'!F866))</f>
        <v>1</v>
      </c>
      <c r="G872" s="41">
        <f>ABS(G$5-(6-'4JSON'!G866))</f>
        <v>1</v>
      </c>
      <c r="H872" s="41">
        <f>ABS(H$5-(6-'4JSON'!H866))</f>
        <v>2</v>
      </c>
      <c r="I872" s="41">
        <f>ABS(I$5-(6-'4JSON'!I866))</f>
        <v>0</v>
      </c>
      <c r="J872" s="41">
        <f>ABS(J$5-(6-'4JSON'!J866))</f>
        <v>1</v>
      </c>
      <c r="K872" s="41">
        <f>ABS(K$5-(6-'4JSON'!K866))</f>
        <v>1</v>
      </c>
      <c r="L872" s="41">
        <f>ABS(L$5-(6-'4JSON'!L866))</f>
        <v>1</v>
      </c>
      <c r="M872" s="36">
        <f t="shared" si="1"/>
        <v>11</v>
      </c>
      <c r="N872" s="42">
        <f t="shared" si="2"/>
        <v>0.6944444444</v>
      </c>
    </row>
    <row r="873">
      <c r="A873" s="35">
        <f>'4JSON'!A867</f>
        <v>2148</v>
      </c>
      <c r="B873" s="25" t="str">
        <f>'4JSON'!B867</f>
        <v>Agricultural and Bio-resource Engineers</v>
      </c>
      <c r="C873" s="41" t="str">
        <f>'4JSON'!C867</f>
        <v>Other professional engineers, n.e.c.</v>
      </c>
      <c r="D873" s="41">
        <f>ABS(D$5-(6-'4JSON'!D867))</f>
        <v>3</v>
      </c>
      <c r="E873" s="41">
        <f>ABS(E$5-(6-'4JSON'!E867))</f>
        <v>2</v>
      </c>
      <c r="F873" s="41">
        <f>ABS(F$5-(6-'4JSON'!F867))</f>
        <v>2</v>
      </c>
      <c r="G873" s="41">
        <f>ABS(G$5-(6-'4JSON'!G867))</f>
        <v>2</v>
      </c>
      <c r="H873" s="41">
        <f>ABS(H$5-(6-'4JSON'!H867))</f>
        <v>0</v>
      </c>
      <c r="I873" s="41">
        <f>ABS(I$5-(6-'4JSON'!I867))</f>
        <v>1</v>
      </c>
      <c r="J873" s="41">
        <f>ABS(J$5-(6-'4JSON'!J867))</f>
        <v>1</v>
      </c>
      <c r="K873" s="41">
        <f>ABS(K$5-(6-'4JSON'!K867))</f>
        <v>1</v>
      </c>
      <c r="L873" s="41">
        <f>ABS(L$5-(6-'4JSON'!L867))</f>
        <v>1</v>
      </c>
      <c r="M873" s="36">
        <f t="shared" si="1"/>
        <v>13</v>
      </c>
      <c r="N873" s="42">
        <f t="shared" si="2"/>
        <v>0.6388888889</v>
      </c>
    </row>
    <row r="874">
      <c r="A874" s="35">
        <f>'4JSON'!A868</f>
        <v>4169</v>
      </c>
      <c r="B874" s="25" t="str">
        <f>'4JSON'!B868</f>
        <v>Anthropologists</v>
      </c>
      <c r="C874" s="41" t="str">
        <f>'4JSON'!C868</f>
        <v>Other professional occupations in social science, n.e.c.</v>
      </c>
      <c r="D874" s="41">
        <f>ABS(D$5-(6-'4JSON'!D868))</f>
        <v>3</v>
      </c>
      <c r="E874" s="41">
        <f>ABS(E$5-(6-'4JSON'!E868))</f>
        <v>1</v>
      </c>
      <c r="F874" s="41">
        <f>ABS(F$5-(6-'4JSON'!F868))</f>
        <v>0</v>
      </c>
      <c r="G874" s="41">
        <f>ABS(G$5-(6-'4JSON'!G868))</f>
        <v>1</v>
      </c>
      <c r="H874" s="41">
        <f>ABS(H$5-(6-'4JSON'!H868))</f>
        <v>2</v>
      </c>
      <c r="I874" s="41">
        <f>ABS(I$5-(6-'4JSON'!I868))</f>
        <v>1</v>
      </c>
      <c r="J874" s="41">
        <f>ABS(J$5-(6-'4JSON'!J868))</f>
        <v>1</v>
      </c>
      <c r="K874" s="41">
        <f>ABS(K$5-(6-'4JSON'!K868))</f>
        <v>1</v>
      </c>
      <c r="L874" s="41">
        <f>ABS(L$5-(6-'4JSON'!L868))</f>
        <v>1</v>
      </c>
      <c r="M874" s="36">
        <f t="shared" si="1"/>
        <v>11</v>
      </c>
      <c r="N874" s="42">
        <f t="shared" si="2"/>
        <v>0.6944444444</v>
      </c>
    </row>
    <row r="875">
      <c r="A875" s="35">
        <f>'4JSON'!A869</f>
        <v>4169</v>
      </c>
      <c r="B875" s="25" t="str">
        <f>'4JSON'!B869</f>
        <v>Archaeologists</v>
      </c>
      <c r="C875" s="41" t="str">
        <f>'4JSON'!C869</f>
        <v>Other professional occupations in social science, n.e.c.</v>
      </c>
      <c r="D875" s="41">
        <f>ABS(D$5-(6-'4JSON'!D869))</f>
        <v>3</v>
      </c>
      <c r="E875" s="41">
        <f>ABS(E$5-(6-'4JSON'!E869))</f>
        <v>1</v>
      </c>
      <c r="F875" s="41">
        <f>ABS(F$5-(6-'4JSON'!F869))</f>
        <v>0</v>
      </c>
      <c r="G875" s="41">
        <f>ABS(G$5-(6-'4JSON'!G869))</f>
        <v>1</v>
      </c>
      <c r="H875" s="41">
        <f>ABS(H$5-(6-'4JSON'!H869))</f>
        <v>2</v>
      </c>
      <c r="I875" s="41">
        <f>ABS(I$5-(6-'4JSON'!I869))</f>
        <v>1</v>
      </c>
      <c r="J875" s="41">
        <f>ABS(J$5-(6-'4JSON'!J869))</f>
        <v>1</v>
      </c>
      <c r="K875" s="41">
        <f>ABS(K$5-(6-'4JSON'!K869))</f>
        <v>1</v>
      </c>
      <c r="L875" s="41">
        <f>ABS(L$5-(6-'4JSON'!L869))</f>
        <v>1</v>
      </c>
      <c r="M875" s="36">
        <f t="shared" si="1"/>
        <v>11</v>
      </c>
      <c r="N875" s="42">
        <f t="shared" si="2"/>
        <v>0.6944444444</v>
      </c>
    </row>
    <row r="876">
      <c r="A876" s="35">
        <f>'4JSON'!A870</f>
        <v>6721</v>
      </c>
      <c r="B876" s="25" t="str">
        <f>'4JSON'!B870</f>
        <v>Baggage Porters</v>
      </c>
      <c r="C876" s="41" t="str">
        <f>'4JSON'!C870</f>
        <v>Support occupations in accommodation, travel and facilities set-up services</v>
      </c>
      <c r="D876" s="41">
        <f>ABS(D$5-(6-'4JSON'!D870))</f>
        <v>0</v>
      </c>
      <c r="E876" s="41">
        <f>ABS(E$5-(6-'4JSON'!E870))</f>
        <v>1</v>
      </c>
      <c r="F876" s="41">
        <f>ABS(F$5-(6-'4JSON'!F870))</f>
        <v>2</v>
      </c>
      <c r="G876" s="41">
        <f>ABS(G$5-(6-'4JSON'!G870))</f>
        <v>1</v>
      </c>
      <c r="H876" s="41">
        <f>ABS(H$5-(6-'4JSON'!H870))</f>
        <v>2</v>
      </c>
      <c r="I876" s="41">
        <f>ABS(I$5-(6-'4JSON'!I870))</f>
        <v>2</v>
      </c>
      <c r="J876" s="41">
        <f>ABS(J$5-(6-'4JSON'!J870))</f>
        <v>1</v>
      </c>
      <c r="K876" s="41">
        <f>ABS(K$5-(6-'4JSON'!K870))</f>
        <v>1</v>
      </c>
      <c r="L876" s="41">
        <f>ABS(L$5-(6-'4JSON'!L870))</f>
        <v>1</v>
      </c>
      <c r="M876" s="36">
        <f t="shared" si="1"/>
        <v>11</v>
      </c>
      <c r="N876" s="42">
        <f t="shared" si="2"/>
        <v>0.6944444444</v>
      </c>
    </row>
    <row r="877">
      <c r="A877" s="35">
        <f>'4JSON'!A871</f>
        <v>6742</v>
      </c>
      <c r="B877" s="25" t="str">
        <f>'4JSON'!B871</f>
        <v>Beauty Salon Attendants</v>
      </c>
      <c r="C877" s="41" t="str">
        <f>'4JSON'!C871</f>
        <v>Other service support occupations, n.e.c.</v>
      </c>
      <c r="D877" s="41">
        <f>ABS(D$5-(6-'4JSON'!D871))</f>
        <v>0</v>
      </c>
      <c r="E877" s="41">
        <f>ABS(E$5-(6-'4JSON'!E871))</f>
        <v>1</v>
      </c>
      <c r="F877" s="41">
        <f>ABS(F$5-(6-'4JSON'!F871))</f>
        <v>2</v>
      </c>
      <c r="G877" s="41">
        <f>ABS(G$5-(6-'4JSON'!G871))</f>
        <v>1</v>
      </c>
      <c r="H877" s="41">
        <f>ABS(H$5-(6-'4JSON'!H871))</f>
        <v>2</v>
      </c>
      <c r="I877" s="41">
        <f>ABS(I$5-(6-'4JSON'!I871))</f>
        <v>2</v>
      </c>
      <c r="J877" s="41">
        <f>ABS(J$5-(6-'4JSON'!J871))</f>
        <v>1</v>
      </c>
      <c r="K877" s="41">
        <f>ABS(K$5-(6-'4JSON'!K871))</f>
        <v>1</v>
      </c>
      <c r="L877" s="41">
        <f>ABS(L$5-(6-'4JSON'!L871))</f>
        <v>1</v>
      </c>
      <c r="M877" s="36">
        <f t="shared" si="1"/>
        <v>11</v>
      </c>
      <c r="N877" s="42">
        <f t="shared" si="2"/>
        <v>0.6944444444</v>
      </c>
    </row>
    <row r="878">
      <c r="A878" s="35">
        <f>'4JSON'!A872</f>
        <v>2131</v>
      </c>
      <c r="B878" s="25" t="str">
        <f>'4JSON'!B872</f>
        <v>Civil Engineers</v>
      </c>
      <c r="C878" s="41" t="str">
        <f>'4JSON'!C872</f>
        <v>Civil engineers</v>
      </c>
      <c r="D878" s="41">
        <f>ABS(D$5-(6-'4JSON'!D872))</f>
        <v>3</v>
      </c>
      <c r="E878" s="41">
        <f>ABS(E$5-(6-'4JSON'!E872))</f>
        <v>2</v>
      </c>
      <c r="F878" s="41">
        <f>ABS(F$5-(6-'4JSON'!F872))</f>
        <v>2</v>
      </c>
      <c r="G878" s="41">
        <f>ABS(G$5-(6-'4JSON'!G872))</f>
        <v>2</v>
      </c>
      <c r="H878" s="41">
        <f>ABS(H$5-(6-'4JSON'!H872))</f>
        <v>0</v>
      </c>
      <c r="I878" s="41">
        <f>ABS(I$5-(6-'4JSON'!I872))</f>
        <v>1</v>
      </c>
      <c r="J878" s="41">
        <f>ABS(J$5-(6-'4JSON'!J872))</f>
        <v>1</v>
      </c>
      <c r="K878" s="41">
        <f>ABS(K$5-(6-'4JSON'!K872))</f>
        <v>1</v>
      </c>
      <c r="L878" s="41">
        <f>ABS(L$5-(6-'4JSON'!L872))</f>
        <v>1</v>
      </c>
      <c r="M878" s="36">
        <f t="shared" si="1"/>
        <v>13</v>
      </c>
      <c r="N878" s="42">
        <f t="shared" si="2"/>
        <v>0.6388888889</v>
      </c>
    </row>
    <row r="879">
      <c r="A879" s="35">
        <f>'4JSON'!A873</f>
        <v>2174</v>
      </c>
      <c r="B879" s="25" t="str">
        <f>'4JSON'!B873</f>
        <v>Computer Programmers</v>
      </c>
      <c r="C879" s="41" t="str">
        <f>'4JSON'!C873</f>
        <v>Computer programmers and interactive media developers</v>
      </c>
      <c r="D879" s="41">
        <f>ABS(D$5-(6-'4JSON'!D873))</f>
        <v>3</v>
      </c>
      <c r="E879" s="41">
        <f>ABS(E$5-(6-'4JSON'!E873))</f>
        <v>1</v>
      </c>
      <c r="F879" s="41">
        <f>ABS(F$5-(6-'4JSON'!F873))</f>
        <v>2</v>
      </c>
      <c r="G879" s="41">
        <f>ABS(G$5-(6-'4JSON'!G873))</f>
        <v>1</v>
      </c>
      <c r="H879" s="41">
        <f>ABS(H$5-(6-'4JSON'!H873))</f>
        <v>1</v>
      </c>
      <c r="I879" s="41">
        <f>ABS(I$5-(6-'4JSON'!I873))</f>
        <v>2</v>
      </c>
      <c r="J879" s="41">
        <f>ABS(J$5-(6-'4JSON'!J873))</f>
        <v>1</v>
      </c>
      <c r="K879" s="41">
        <f>ABS(K$5-(6-'4JSON'!K873))</f>
        <v>1</v>
      </c>
      <c r="L879" s="41">
        <f>ABS(L$5-(6-'4JSON'!L873))</f>
        <v>1</v>
      </c>
      <c r="M879" s="36">
        <f t="shared" si="1"/>
        <v>13</v>
      </c>
      <c r="N879" s="42">
        <f t="shared" si="2"/>
        <v>0.6388888889</v>
      </c>
    </row>
    <row r="880">
      <c r="A880" s="35">
        <f>'4JSON'!A874</f>
        <v>6742</v>
      </c>
      <c r="B880" s="25" t="str">
        <f>'4JSON'!B874</f>
        <v>Door Attendants</v>
      </c>
      <c r="C880" s="41" t="str">
        <f>'4JSON'!C874</f>
        <v>Other service support occupations, n.e.c.</v>
      </c>
      <c r="D880" s="41">
        <f>ABS(D$5-(6-'4JSON'!D874))</f>
        <v>0</v>
      </c>
      <c r="E880" s="41">
        <f>ABS(E$5-(6-'4JSON'!E874))</f>
        <v>1</v>
      </c>
      <c r="F880" s="41">
        <f>ABS(F$5-(6-'4JSON'!F874))</f>
        <v>2</v>
      </c>
      <c r="G880" s="41">
        <f>ABS(G$5-(6-'4JSON'!G874))</f>
        <v>1</v>
      </c>
      <c r="H880" s="41">
        <f>ABS(H$5-(6-'4JSON'!H874))</f>
        <v>2</v>
      </c>
      <c r="I880" s="41">
        <f>ABS(I$5-(6-'4JSON'!I874))</f>
        <v>2</v>
      </c>
      <c r="J880" s="41">
        <f>ABS(J$5-(6-'4JSON'!J874))</f>
        <v>1</v>
      </c>
      <c r="K880" s="41">
        <f>ABS(K$5-(6-'4JSON'!K874))</f>
        <v>1</v>
      </c>
      <c r="L880" s="41">
        <f>ABS(L$5-(6-'4JSON'!L874))</f>
        <v>1</v>
      </c>
      <c r="M880" s="36">
        <f t="shared" si="1"/>
        <v>11</v>
      </c>
      <c r="N880" s="42">
        <f t="shared" si="2"/>
        <v>0.6944444444</v>
      </c>
    </row>
    <row r="881">
      <c r="A881" s="35">
        <f>'4JSON'!A875</f>
        <v>2133</v>
      </c>
      <c r="B881" s="25" t="str">
        <f>'4JSON'!B875</f>
        <v>Electrical and Electronics Engineers</v>
      </c>
      <c r="C881" s="41" t="str">
        <f>'4JSON'!C875</f>
        <v>Electrical and electronics engineers</v>
      </c>
      <c r="D881" s="41">
        <f>ABS(D$5-(6-'4JSON'!D875))</f>
        <v>3</v>
      </c>
      <c r="E881" s="41">
        <f>ABS(E$5-(6-'4JSON'!E875))</f>
        <v>1</v>
      </c>
      <c r="F881" s="41">
        <f>ABS(F$5-(6-'4JSON'!F875))</f>
        <v>2</v>
      </c>
      <c r="G881" s="41">
        <f>ABS(G$5-(6-'4JSON'!G875))</f>
        <v>1</v>
      </c>
      <c r="H881" s="41">
        <f>ABS(H$5-(6-'4JSON'!H875))</f>
        <v>0</v>
      </c>
      <c r="I881" s="41">
        <f>ABS(I$5-(6-'4JSON'!I875))</f>
        <v>1</v>
      </c>
      <c r="J881" s="41">
        <f>ABS(J$5-(6-'4JSON'!J875))</f>
        <v>1</v>
      </c>
      <c r="K881" s="41">
        <f>ABS(K$5-(6-'4JSON'!K875))</f>
        <v>1</v>
      </c>
      <c r="L881" s="41">
        <f>ABS(L$5-(6-'4JSON'!L875))</f>
        <v>1</v>
      </c>
      <c r="M881" s="36">
        <f t="shared" si="1"/>
        <v>11</v>
      </c>
      <c r="N881" s="42">
        <f t="shared" si="2"/>
        <v>0.6944444444</v>
      </c>
    </row>
    <row r="882">
      <c r="A882" s="35">
        <f>'4JSON'!A876</f>
        <v>421</v>
      </c>
      <c r="B882" s="25" t="str">
        <f>'4JSON'!B876</f>
        <v>Fashion Models</v>
      </c>
      <c r="C882" s="41" t="str">
        <f>'4JSON'!C876</f>
        <v>Administrators - post-secondary education and vocational training</v>
      </c>
      <c r="D882" s="41">
        <f>ABS(D$5-(6-'4JSON'!D876))</f>
        <v>0</v>
      </c>
      <c r="E882" s="41">
        <f>ABS(E$5-(6-'4JSON'!E876))</f>
        <v>1</v>
      </c>
      <c r="F882" s="41">
        <f>ABS(F$5-(6-'4JSON'!F876))</f>
        <v>2</v>
      </c>
      <c r="G882" s="41">
        <f>ABS(G$5-(6-'4JSON'!G876))</f>
        <v>1</v>
      </c>
      <c r="H882" s="41">
        <f>ABS(H$5-(6-'4JSON'!H876))</f>
        <v>2</v>
      </c>
      <c r="I882" s="41">
        <f>ABS(I$5-(6-'4JSON'!I876))</f>
        <v>2</v>
      </c>
      <c r="J882" s="41">
        <f>ABS(J$5-(6-'4JSON'!J876))</f>
        <v>1</v>
      </c>
      <c r="K882" s="41">
        <f>ABS(K$5-(6-'4JSON'!K876))</f>
        <v>1</v>
      </c>
      <c r="L882" s="41">
        <f>ABS(L$5-(6-'4JSON'!L876))</f>
        <v>1</v>
      </c>
      <c r="M882" s="36">
        <f t="shared" si="1"/>
        <v>11</v>
      </c>
      <c r="N882" s="42">
        <f t="shared" si="2"/>
        <v>0.6944444444</v>
      </c>
    </row>
    <row r="883">
      <c r="A883" s="35">
        <f>'4JSON'!A877</f>
        <v>1114</v>
      </c>
      <c r="B883" s="25" t="str">
        <f>'4JSON'!B877</f>
        <v>Financial Examiners and Inspectors</v>
      </c>
      <c r="C883" s="41" t="str">
        <f>'4JSON'!C877</f>
        <v>Other financial officers</v>
      </c>
      <c r="D883" s="41">
        <f>ABS(D$5-(6-'4JSON'!D877))</f>
        <v>2</v>
      </c>
      <c r="E883" s="41">
        <f>ABS(E$5-(6-'4JSON'!E877))</f>
        <v>1</v>
      </c>
      <c r="F883" s="41">
        <f>ABS(F$5-(6-'4JSON'!F877))</f>
        <v>1</v>
      </c>
      <c r="G883" s="41">
        <f>ABS(G$5-(6-'4JSON'!G877))</f>
        <v>1</v>
      </c>
      <c r="H883" s="41">
        <f>ABS(H$5-(6-'4JSON'!H877))</f>
        <v>2</v>
      </c>
      <c r="I883" s="41">
        <f>ABS(I$5-(6-'4JSON'!I877))</f>
        <v>1</v>
      </c>
      <c r="J883" s="41">
        <f>ABS(J$5-(6-'4JSON'!J877))</f>
        <v>1</v>
      </c>
      <c r="K883" s="41">
        <f>ABS(K$5-(6-'4JSON'!K877))</f>
        <v>1</v>
      </c>
      <c r="L883" s="41">
        <f>ABS(L$5-(6-'4JSON'!L877))</f>
        <v>1</v>
      </c>
      <c r="M883" s="36">
        <f t="shared" si="1"/>
        <v>11</v>
      </c>
      <c r="N883" s="42">
        <f t="shared" si="2"/>
        <v>0.6944444444</v>
      </c>
    </row>
    <row r="884">
      <c r="A884" s="35">
        <f>'4JSON'!A878</f>
        <v>1114</v>
      </c>
      <c r="B884" s="25" t="str">
        <f>'4JSON'!B878</f>
        <v>Financial Investigators</v>
      </c>
      <c r="C884" s="41" t="str">
        <f>'4JSON'!C878</f>
        <v>Other financial officers</v>
      </c>
      <c r="D884" s="41">
        <f>ABS(D$5-(6-'4JSON'!D878))</f>
        <v>2</v>
      </c>
      <c r="E884" s="41">
        <f>ABS(E$5-(6-'4JSON'!E878))</f>
        <v>1</v>
      </c>
      <c r="F884" s="41">
        <f>ABS(F$5-(6-'4JSON'!F878))</f>
        <v>1</v>
      </c>
      <c r="G884" s="41">
        <f>ABS(G$5-(6-'4JSON'!G878))</f>
        <v>1</v>
      </c>
      <c r="H884" s="41">
        <f>ABS(H$5-(6-'4JSON'!H878))</f>
        <v>2</v>
      </c>
      <c r="I884" s="41">
        <f>ABS(I$5-(6-'4JSON'!I878))</f>
        <v>1</v>
      </c>
      <c r="J884" s="41">
        <f>ABS(J$5-(6-'4JSON'!J878))</f>
        <v>1</v>
      </c>
      <c r="K884" s="41">
        <f>ABS(K$5-(6-'4JSON'!K878))</f>
        <v>1</v>
      </c>
      <c r="L884" s="41">
        <f>ABS(L$5-(6-'4JSON'!L878))</f>
        <v>1</v>
      </c>
      <c r="M884" s="36">
        <f t="shared" si="1"/>
        <v>11</v>
      </c>
      <c r="N884" s="42">
        <f t="shared" si="2"/>
        <v>0.6944444444</v>
      </c>
    </row>
    <row r="885">
      <c r="A885" s="35">
        <f>'4JSON'!A879</f>
        <v>6711</v>
      </c>
      <c r="B885" s="25" t="str">
        <f>'4JSON'!B879</f>
        <v>Food Service Helpers</v>
      </c>
      <c r="C885" s="41" t="str">
        <f>'4JSON'!C879</f>
        <v>Food counter attendants, kitchen helpers and related support occupations</v>
      </c>
      <c r="D885" s="41">
        <f>ABS(D$5-(6-'4JSON'!D879))</f>
        <v>0</v>
      </c>
      <c r="E885" s="41">
        <f>ABS(E$5-(6-'4JSON'!E879))</f>
        <v>1</v>
      </c>
      <c r="F885" s="41">
        <f>ABS(F$5-(6-'4JSON'!F879))</f>
        <v>2</v>
      </c>
      <c r="G885" s="41">
        <f>ABS(G$5-(6-'4JSON'!G879))</f>
        <v>1</v>
      </c>
      <c r="H885" s="41">
        <f>ABS(H$5-(6-'4JSON'!H879))</f>
        <v>2</v>
      </c>
      <c r="I885" s="41">
        <f>ABS(I$5-(6-'4JSON'!I879))</f>
        <v>2</v>
      </c>
      <c r="J885" s="41">
        <f>ABS(J$5-(6-'4JSON'!J879))</f>
        <v>1</v>
      </c>
      <c r="K885" s="41">
        <f>ABS(K$5-(6-'4JSON'!K879))</f>
        <v>1</v>
      </c>
      <c r="L885" s="41">
        <f>ABS(L$5-(6-'4JSON'!L879))</f>
        <v>1</v>
      </c>
      <c r="M885" s="36">
        <f t="shared" si="1"/>
        <v>11</v>
      </c>
      <c r="N885" s="42">
        <f t="shared" si="2"/>
        <v>0.6944444444</v>
      </c>
    </row>
    <row r="886">
      <c r="A886" s="35">
        <f>'4JSON'!A880</f>
        <v>412</v>
      </c>
      <c r="B886" s="25" t="str">
        <f>'4JSON'!B880</f>
        <v>Government Managers - Economic Analysis, Policy Development and Program Administration</v>
      </c>
      <c r="C886" s="41" t="str">
        <f>'4JSON'!C880</f>
        <v>Government managers - economic analysis, policy development and program administration</v>
      </c>
      <c r="D886" s="41">
        <f>ABS(D$5-(6-'4JSON'!D880))</f>
        <v>2</v>
      </c>
      <c r="E886" s="41">
        <f>ABS(E$5-(6-'4JSON'!E880))</f>
        <v>1</v>
      </c>
      <c r="F886" s="41">
        <f>ABS(F$5-(6-'4JSON'!F880))</f>
        <v>2</v>
      </c>
      <c r="G886" s="41">
        <f>ABS(G$5-(6-'4JSON'!G880))</f>
        <v>1</v>
      </c>
      <c r="H886" s="41">
        <f>ABS(H$5-(6-'4JSON'!H880))</f>
        <v>2</v>
      </c>
      <c r="I886" s="41">
        <f>ABS(I$5-(6-'4JSON'!I880))</f>
        <v>0</v>
      </c>
      <c r="J886" s="41">
        <f>ABS(J$5-(6-'4JSON'!J880))</f>
        <v>1</v>
      </c>
      <c r="K886" s="41">
        <f>ABS(K$5-(6-'4JSON'!K880))</f>
        <v>1</v>
      </c>
      <c r="L886" s="41">
        <f>ABS(L$5-(6-'4JSON'!L880))</f>
        <v>1</v>
      </c>
      <c r="M886" s="36">
        <f t="shared" si="1"/>
        <v>11</v>
      </c>
      <c r="N886" s="42">
        <f t="shared" si="2"/>
        <v>0.6944444444</v>
      </c>
    </row>
    <row r="887">
      <c r="A887" s="35">
        <f>'4JSON'!A881</f>
        <v>413</v>
      </c>
      <c r="B887" s="25" t="str">
        <f>'4JSON'!B881</f>
        <v>Government Managers - Education Policy Development and Program Administration</v>
      </c>
      <c r="C887" s="41" t="str">
        <f>'4JSON'!C881</f>
        <v>Government managers - education policy development and program administration</v>
      </c>
      <c r="D887" s="41">
        <f>ABS(D$5-(6-'4JSON'!D881))</f>
        <v>2</v>
      </c>
      <c r="E887" s="41">
        <f>ABS(E$5-(6-'4JSON'!E881))</f>
        <v>2</v>
      </c>
      <c r="F887" s="41">
        <f>ABS(F$5-(6-'4JSON'!F881))</f>
        <v>1</v>
      </c>
      <c r="G887" s="41">
        <f>ABS(G$5-(6-'4JSON'!G881))</f>
        <v>1</v>
      </c>
      <c r="H887" s="41">
        <f>ABS(H$5-(6-'4JSON'!H881))</f>
        <v>2</v>
      </c>
      <c r="I887" s="41">
        <f>ABS(I$5-(6-'4JSON'!I881))</f>
        <v>0</v>
      </c>
      <c r="J887" s="41">
        <f>ABS(J$5-(6-'4JSON'!J881))</f>
        <v>1</v>
      </c>
      <c r="K887" s="41">
        <f>ABS(K$5-(6-'4JSON'!K881))</f>
        <v>1</v>
      </c>
      <c r="L887" s="41">
        <f>ABS(L$5-(6-'4JSON'!L881))</f>
        <v>1</v>
      </c>
      <c r="M887" s="36">
        <f t="shared" si="1"/>
        <v>11</v>
      </c>
      <c r="N887" s="42">
        <f t="shared" si="2"/>
        <v>0.6944444444</v>
      </c>
    </row>
    <row r="888">
      <c r="A888" s="35">
        <f>'4JSON'!A882</f>
        <v>411</v>
      </c>
      <c r="B888" s="25" t="str">
        <f>'4JSON'!B882</f>
        <v>Government Managers - Health and Social Policy Development and Program Administration</v>
      </c>
      <c r="C888" s="41" t="str">
        <f>'4JSON'!C882</f>
        <v>Government managers - health and social policy development and program administration</v>
      </c>
      <c r="D888" s="41">
        <f>ABS(D$5-(6-'4JSON'!D882))</f>
        <v>2</v>
      </c>
      <c r="E888" s="41">
        <f>ABS(E$5-(6-'4JSON'!E882))</f>
        <v>2</v>
      </c>
      <c r="F888" s="41">
        <f>ABS(F$5-(6-'4JSON'!F882))</f>
        <v>1</v>
      </c>
      <c r="G888" s="41">
        <f>ABS(G$5-(6-'4JSON'!G882))</f>
        <v>1</v>
      </c>
      <c r="H888" s="41">
        <f>ABS(H$5-(6-'4JSON'!H882))</f>
        <v>2</v>
      </c>
      <c r="I888" s="41">
        <f>ABS(I$5-(6-'4JSON'!I882))</f>
        <v>0</v>
      </c>
      <c r="J888" s="41">
        <f>ABS(J$5-(6-'4JSON'!J882))</f>
        <v>1</v>
      </c>
      <c r="K888" s="41">
        <f>ABS(K$5-(6-'4JSON'!K882))</f>
        <v>1</v>
      </c>
      <c r="L888" s="41">
        <f>ABS(L$5-(6-'4JSON'!L882))</f>
        <v>1</v>
      </c>
      <c r="M888" s="36">
        <f t="shared" si="1"/>
        <v>11</v>
      </c>
      <c r="N888" s="42">
        <f t="shared" si="2"/>
        <v>0.6944444444</v>
      </c>
    </row>
    <row r="889">
      <c r="A889" s="35">
        <f>'4JSON'!A883</f>
        <v>6721</v>
      </c>
      <c r="B889" s="25" t="str">
        <f>'4JSON'!B883</f>
        <v>Guest Service Attendants</v>
      </c>
      <c r="C889" s="41" t="str">
        <f>'4JSON'!C883</f>
        <v>Support occupations in accommodation, travel and facilities set-up services</v>
      </c>
      <c r="D889" s="41">
        <f>ABS(D$5-(6-'4JSON'!D883))</f>
        <v>0</v>
      </c>
      <c r="E889" s="41">
        <f>ABS(E$5-(6-'4JSON'!E883))</f>
        <v>1</v>
      </c>
      <c r="F889" s="41">
        <f>ABS(F$5-(6-'4JSON'!F883))</f>
        <v>2</v>
      </c>
      <c r="G889" s="41">
        <f>ABS(G$5-(6-'4JSON'!G883))</f>
        <v>1</v>
      </c>
      <c r="H889" s="41">
        <f>ABS(H$5-(6-'4JSON'!H883))</f>
        <v>2</v>
      </c>
      <c r="I889" s="41">
        <f>ABS(I$5-(6-'4JSON'!I883))</f>
        <v>2</v>
      </c>
      <c r="J889" s="41">
        <f>ABS(J$5-(6-'4JSON'!J883))</f>
        <v>1</v>
      </c>
      <c r="K889" s="41">
        <f>ABS(K$5-(6-'4JSON'!K883))</f>
        <v>1</v>
      </c>
      <c r="L889" s="41">
        <f>ABS(L$5-(6-'4JSON'!L883))</f>
        <v>1</v>
      </c>
      <c r="M889" s="36">
        <f t="shared" si="1"/>
        <v>11</v>
      </c>
      <c r="N889" s="42">
        <f t="shared" si="2"/>
        <v>0.6944444444</v>
      </c>
    </row>
    <row r="890">
      <c r="A890" s="35">
        <f>'4JSON'!A884</f>
        <v>4169</v>
      </c>
      <c r="B890" s="25" t="str">
        <f>'4JSON'!B884</f>
        <v>Historians</v>
      </c>
      <c r="C890" s="41" t="str">
        <f>'4JSON'!C884</f>
        <v>Other professional occupations in social science, n.e.c.</v>
      </c>
      <c r="D890" s="41">
        <f>ABS(D$5-(6-'4JSON'!D884))</f>
        <v>3</v>
      </c>
      <c r="E890" s="41">
        <f>ABS(E$5-(6-'4JSON'!E884))</f>
        <v>1</v>
      </c>
      <c r="F890" s="41">
        <f>ABS(F$5-(6-'4JSON'!F884))</f>
        <v>0</v>
      </c>
      <c r="G890" s="41">
        <f>ABS(G$5-(6-'4JSON'!G884))</f>
        <v>1</v>
      </c>
      <c r="H890" s="41">
        <f>ABS(H$5-(6-'4JSON'!H884))</f>
        <v>2</v>
      </c>
      <c r="I890" s="41">
        <f>ABS(I$5-(6-'4JSON'!I884))</f>
        <v>1</v>
      </c>
      <c r="J890" s="41">
        <f>ABS(J$5-(6-'4JSON'!J884))</f>
        <v>1</v>
      </c>
      <c r="K890" s="41">
        <f>ABS(K$5-(6-'4JSON'!K884))</f>
        <v>1</v>
      </c>
      <c r="L890" s="41">
        <f>ABS(L$5-(6-'4JSON'!L884))</f>
        <v>1</v>
      </c>
      <c r="M890" s="36">
        <f t="shared" si="1"/>
        <v>11</v>
      </c>
      <c r="N890" s="42">
        <f t="shared" si="2"/>
        <v>0.6944444444</v>
      </c>
    </row>
    <row r="891">
      <c r="A891" s="35">
        <f>'4JSON'!A885</f>
        <v>2141</v>
      </c>
      <c r="B891" s="25" t="str">
        <f>'4JSON'!B885</f>
        <v>Industrial and Manufacturing Engineers</v>
      </c>
      <c r="C891" s="41" t="str">
        <f>'4JSON'!C885</f>
        <v>Industrial and manufacturing engineers</v>
      </c>
      <c r="D891" s="41">
        <f>ABS(D$5-(6-'4JSON'!D885))</f>
        <v>3</v>
      </c>
      <c r="E891" s="41">
        <f>ABS(E$5-(6-'4JSON'!E885))</f>
        <v>1</v>
      </c>
      <c r="F891" s="41">
        <f>ABS(F$5-(6-'4JSON'!F885))</f>
        <v>2</v>
      </c>
      <c r="G891" s="41">
        <f>ABS(G$5-(6-'4JSON'!G885))</f>
        <v>1</v>
      </c>
      <c r="H891" s="41">
        <f>ABS(H$5-(6-'4JSON'!H885))</f>
        <v>0</v>
      </c>
      <c r="I891" s="41">
        <f>ABS(I$5-(6-'4JSON'!I885))</f>
        <v>1</v>
      </c>
      <c r="J891" s="41">
        <f>ABS(J$5-(6-'4JSON'!J885))</f>
        <v>1</v>
      </c>
      <c r="K891" s="41">
        <f>ABS(K$5-(6-'4JSON'!K885))</f>
        <v>1</v>
      </c>
      <c r="L891" s="41">
        <f>ABS(L$5-(6-'4JSON'!L885))</f>
        <v>1</v>
      </c>
      <c r="M891" s="36">
        <f t="shared" si="1"/>
        <v>11</v>
      </c>
      <c r="N891" s="42">
        <f t="shared" si="2"/>
        <v>0.6944444444</v>
      </c>
    </row>
    <row r="892">
      <c r="A892" s="35">
        <f>'4JSON'!A886</f>
        <v>2174</v>
      </c>
      <c r="B892" s="25" t="str">
        <f>'4JSON'!B886</f>
        <v>Interactive Media Developers</v>
      </c>
      <c r="C892" s="41" t="str">
        <f>'4JSON'!C886</f>
        <v>Computer programmers and interactive media developers</v>
      </c>
      <c r="D892" s="41">
        <f>ABS(D$5-(6-'4JSON'!D886))</f>
        <v>3</v>
      </c>
      <c r="E892" s="41">
        <f>ABS(E$5-(6-'4JSON'!E886))</f>
        <v>1</v>
      </c>
      <c r="F892" s="41">
        <f>ABS(F$5-(6-'4JSON'!F886))</f>
        <v>2</v>
      </c>
      <c r="G892" s="41">
        <f>ABS(G$5-(6-'4JSON'!G886))</f>
        <v>1</v>
      </c>
      <c r="H892" s="41">
        <f>ABS(H$5-(6-'4JSON'!H886))</f>
        <v>1</v>
      </c>
      <c r="I892" s="41">
        <f>ABS(I$5-(6-'4JSON'!I886))</f>
        <v>2</v>
      </c>
      <c r="J892" s="41">
        <f>ABS(J$5-(6-'4JSON'!J886))</f>
        <v>1</v>
      </c>
      <c r="K892" s="41">
        <f>ABS(K$5-(6-'4JSON'!K886))</f>
        <v>1</v>
      </c>
      <c r="L892" s="41">
        <f>ABS(L$5-(6-'4JSON'!L886))</f>
        <v>1</v>
      </c>
      <c r="M892" s="36">
        <f t="shared" si="1"/>
        <v>13</v>
      </c>
      <c r="N892" s="42">
        <f t="shared" si="2"/>
        <v>0.6388888889</v>
      </c>
    </row>
    <row r="893">
      <c r="A893" s="35">
        <f>'4JSON'!A887</f>
        <v>4112</v>
      </c>
      <c r="B893" s="25" t="str">
        <f>'4JSON'!B887</f>
        <v>Lawyers and Quebec Notaries</v>
      </c>
      <c r="C893" s="41" t="str">
        <f>'4JSON'!C887</f>
        <v>Lawyers and Quebec notaries</v>
      </c>
      <c r="D893" s="41">
        <f>ABS(D$5-(6-'4JSON'!D887))</f>
        <v>3</v>
      </c>
      <c r="E893" s="41">
        <f>ABS(E$5-(6-'4JSON'!E887))</f>
        <v>2</v>
      </c>
      <c r="F893" s="41">
        <f>ABS(F$5-(6-'4JSON'!F887))</f>
        <v>0</v>
      </c>
      <c r="G893" s="41">
        <f>ABS(G$5-(6-'4JSON'!G887))</f>
        <v>1</v>
      </c>
      <c r="H893" s="41">
        <f>ABS(H$5-(6-'4JSON'!H887))</f>
        <v>2</v>
      </c>
      <c r="I893" s="41">
        <f>ABS(I$5-(6-'4JSON'!I887))</f>
        <v>0</v>
      </c>
      <c r="J893" s="41">
        <f>ABS(J$5-(6-'4JSON'!J887))</f>
        <v>1</v>
      </c>
      <c r="K893" s="41">
        <f>ABS(K$5-(6-'4JSON'!K887))</f>
        <v>1</v>
      </c>
      <c r="L893" s="41">
        <f>ABS(L$5-(6-'4JSON'!L887))</f>
        <v>1</v>
      </c>
      <c r="M893" s="36">
        <f t="shared" si="1"/>
        <v>11</v>
      </c>
      <c r="N893" s="42">
        <f t="shared" si="2"/>
        <v>0.6944444444</v>
      </c>
    </row>
    <row r="894">
      <c r="A894" s="35">
        <f>'4JSON'!A888</f>
        <v>511</v>
      </c>
      <c r="B894" s="25" t="str">
        <f>'4JSON'!B888</f>
        <v>Library, Archive, Museum and Art Gallery Managers</v>
      </c>
      <c r="C894" s="41" t="str">
        <f>'4JSON'!C888</f>
        <v>Library, archive, museum and art gallery managers</v>
      </c>
      <c r="D894" s="41">
        <f>ABS(D$5-(6-'4JSON'!D888))</f>
        <v>2</v>
      </c>
      <c r="E894" s="41">
        <f>ABS(E$5-(6-'4JSON'!E888))</f>
        <v>2</v>
      </c>
      <c r="F894" s="41">
        <f>ABS(F$5-(6-'4JSON'!F888))</f>
        <v>1</v>
      </c>
      <c r="G894" s="41">
        <f>ABS(G$5-(6-'4JSON'!G888))</f>
        <v>1</v>
      </c>
      <c r="H894" s="41">
        <f>ABS(H$5-(6-'4JSON'!H888))</f>
        <v>2</v>
      </c>
      <c r="I894" s="41">
        <f>ABS(I$5-(6-'4JSON'!I888))</f>
        <v>0</v>
      </c>
      <c r="J894" s="41">
        <f>ABS(J$5-(6-'4JSON'!J888))</f>
        <v>1</v>
      </c>
      <c r="K894" s="41">
        <f>ABS(K$5-(6-'4JSON'!K888))</f>
        <v>1</v>
      </c>
      <c r="L894" s="41">
        <f>ABS(L$5-(6-'4JSON'!L888))</f>
        <v>1</v>
      </c>
      <c r="M894" s="36">
        <f t="shared" si="1"/>
        <v>11</v>
      </c>
      <c r="N894" s="42">
        <f t="shared" si="2"/>
        <v>0.6944444444</v>
      </c>
    </row>
    <row r="895">
      <c r="A895" s="35">
        <f>'4JSON'!A889</f>
        <v>423</v>
      </c>
      <c r="B895" s="25" t="str">
        <f>'4JSON'!B889</f>
        <v>Managers in Social, Community and Correctional Services</v>
      </c>
      <c r="C895" s="41" t="str">
        <f>'4JSON'!C889</f>
        <v>Managers in social, community and correctional services</v>
      </c>
      <c r="D895" s="41">
        <f>ABS(D$5-(6-'4JSON'!D889))</f>
        <v>2</v>
      </c>
      <c r="E895" s="41">
        <f>ABS(E$5-(6-'4JSON'!E889))</f>
        <v>2</v>
      </c>
      <c r="F895" s="41">
        <f>ABS(F$5-(6-'4JSON'!F889))</f>
        <v>1</v>
      </c>
      <c r="G895" s="41">
        <f>ABS(G$5-(6-'4JSON'!G889))</f>
        <v>1</v>
      </c>
      <c r="H895" s="41">
        <f>ABS(H$5-(6-'4JSON'!H889))</f>
        <v>2</v>
      </c>
      <c r="I895" s="41">
        <f>ABS(I$5-(6-'4JSON'!I889))</f>
        <v>0</v>
      </c>
      <c r="J895" s="41">
        <f>ABS(J$5-(6-'4JSON'!J889))</f>
        <v>1</v>
      </c>
      <c r="K895" s="41">
        <f>ABS(K$5-(6-'4JSON'!K889))</f>
        <v>1</v>
      </c>
      <c r="L895" s="41">
        <f>ABS(L$5-(6-'4JSON'!L889))</f>
        <v>1</v>
      </c>
      <c r="M895" s="36">
        <f t="shared" si="1"/>
        <v>11</v>
      </c>
      <c r="N895" s="42">
        <f t="shared" si="2"/>
        <v>0.6944444444</v>
      </c>
    </row>
    <row r="896">
      <c r="A896" s="35">
        <f>'4JSON'!A890</f>
        <v>2161</v>
      </c>
      <c r="B896" s="25" t="str">
        <f>'4JSON'!B890</f>
        <v>Mathematicians</v>
      </c>
      <c r="C896" s="41" t="str">
        <f>'4JSON'!C890</f>
        <v>Mathematicians, statisticians and actuaries</v>
      </c>
      <c r="D896" s="41">
        <f>ABS(D$5-(6-'4JSON'!D890))</f>
        <v>3</v>
      </c>
      <c r="E896" s="41">
        <f>ABS(E$5-(6-'4JSON'!E890))</f>
        <v>1</v>
      </c>
      <c r="F896" s="41">
        <f>ABS(F$5-(6-'4JSON'!F890))</f>
        <v>2</v>
      </c>
      <c r="G896" s="41">
        <f>ABS(G$5-(6-'4JSON'!G890))</f>
        <v>1</v>
      </c>
      <c r="H896" s="41">
        <f>ABS(H$5-(6-'4JSON'!H890))</f>
        <v>1</v>
      </c>
      <c r="I896" s="41">
        <f>ABS(I$5-(6-'4JSON'!I890))</f>
        <v>2</v>
      </c>
      <c r="J896" s="41">
        <f>ABS(J$5-(6-'4JSON'!J890))</f>
        <v>1</v>
      </c>
      <c r="K896" s="41">
        <f>ABS(K$5-(6-'4JSON'!K890))</f>
        <v>1</v>
      </c>
      <c r="L896" s="41">
        <f>ABS(L$5-(6-'4JSON'!L890))</f>
        <v>1</v>
      </c>
      <c r="M896" s="36">
        <f t="shared" si="1"/>
        <v>13</v>
      </c>
      <c r="N896" s="42">
        <f t="shared" si="2"/>
        <v>0.6388888889</v>
      </c>
    </row>
    <row r="897">
      <c r="A897" s="35">
        <f>'4JSON'!A891</f>
        <v>7622</v>
      </c>
      <c r="B897" s="25" t="str">
        <f>'4JSON'!B891</f>
        <v>Motor Transport Labourers</v>
      </c>
      <c r="C897" s="41" t="str">
        <f>'4JSON'!C891</f>
        <v>Railway and motor transport labourers</v>
      </c>
      <c r="D897" s="41">
        <f>ABS(D$5-(6-'4JSON'!D891))</f>
        <v>0</v>
      </c>
      <c r="E897" s="41">
        <f>ABS(E$5-(6-'4JSON'!E891))</f>
        <v>1</v>
      </c>
      <c r="F897" s="41">
        <f>ABS(F$5-(6-'4JSON'!F891))</f>
        <v>2</v>
      </c>
      <c r="G897" s="41">
        <f>ABS(G$5-(6-'4JSON'!G891))</f>
        <v>1</v>
      </c>
      <c r="H897" s="41">
        <f>ABS(H$5-(6-'4JSON'!H891))</f>
        <v>2</v>
      </c>
      <c r="I897" s="41">
        <f>ABS(I$5-(6-'4JSON'!I891))</f>
        <v>2</v>
      </c>
      <c r="J897" s="41">
        <f>ABS(J$5-(6-'4JSON'!J891))</f>
        <v>1</v>
      </c>
      <c r="K897" s="41">
        <f>ABS(K$5-(6-'4JSON'!K891))</f>
        <v>1</v>
      </c>
      <c r="L897" s="41">
        <f>ABS(L$5-(6-'4JSON'!L891))</f>
        <v>1</v>
      </c>
      <c r="M897" s="36">
        <f t="shared" si="1"/>
        <v>11</v>
      </c>
      <c r="N897" s="42">
        <f t="shared" si="2"/>
        <v>0.6944444444</v>
      </c>
    </row>
    <row r="898">
      <c r="A898" s="35">
        <f>'4JSON'!A892</f>
        <v>6742</v>
      </c>
      <c r="B898" s="25" t="str">
        <f>'4JSON'!B892</f>
        <v>Other Elemental Service Workers</v>
      </c>
      <c r="C898" s="41" t="str">
        <f>'4JSON'!C892</f>
        <v>Other service support occupations, n.e.c.</v>
      </c>
      <c r="D898" s="41">
        <f>ABS(D$5-(6-'4JSON'!D892))</f>
        <v>0</v>
      </c>
      <c r="E898" s="41">
        <f>ABS(E$5-(6-'4JSON'!E892))</f>
        <v>1</v>
      </c>
      <c r="F898" s="41">
        <f>ABS(F$5-(6-'4JSON'!F892))</f>
        <v>2</v>
      </c>
      <c r="G898" s="41">
        <f>ABS(G$5-(6-'4JSON'!G892))</f>
        <v>1</v>
      </c>
      <c r="H898" s="41">
        <f>ABS(H$5-(6-'4JSON'!H892))</f>
        <v>2</v>
      </c>
      <c r="I898" s="41">
        <f>ABS(I$5-(6-'4JSON'!I892))</f>
        <v>2</v>
      </c>
      <c r="J898" s="41">
        <f>ABS(J$5-(6-'4JSON'!J892))</f>
        <v>1</v>
      </c>
      <c r="K898" s="41">
        <f>ABS(K$5-(6-'4JSON'!K892))</f>
        <v>1</v>
      </c>
      <c r="L898" s="41">
        <f>ABS(L$5-(6-'4JSON'!L892))</f>
        <v>1</v>
      </c>
      <c r="M898" s="36">
        <f t="shared" si="1"/>
        <v>11</v>
      </c>
      <c r="N898" s="42">
        <f t="shared" si="2"/>
        <v>0.6944444444</v>
      </c>
    </row>
    <row r="899">
      <c r="A899" s="35">
        <f>'4JSON'!A893</f>
        <v>4169</v>
      </c>
      <c r="B899" s="25" t="str">
        <f>'4JSON'!B893</f>
        <v>Other Social Science Professionals</v>
      </c>
      <c r="C899" s="41" t="str">
        <f>'4JSON'!C893</f>
        <v>Other professional occupations in social science, n.e.c.</v>
      </c>
      <c r="D899" s="41">
        <f>ABS(D$5-(6-'4JSON'!D893))</f>
        <v>3</v>
      </c>
      <c r="E899" s="41">
        <f>ABS(E$5-(6-'4JSON'!E893))</f>
        <v>1</v>
      </c>
      <c r="F899" s="41">
        <f>ABS(F$5-(6-'4JSON'!F893))</f>
        <v>0</v>
      </c>
      <c r="G899" s="41">
        <f>ABS(G$5-(6-'4JSON'!G893))</f>
        <v>1</v>
      </c>
      <c r="H899" s="41">
        <f>ABS(H$5-(6-'4JSON'!H893))</f>
        <v>2</v>
      </c>
      <c r="I899" s="41">
        <f>ABS(I$5-(6-'4JSON'!I893))</f>
        <v>1</v>
      </c>
      <c r="J899" s="41">
        <f>ABS(J$5-(6-'4JSON'!J893))</f>
        <v>1</v>
      </c>
      <c r="K899" s="41">
        <f>ABS(K$5-(6-'4JSON'!K893))</f>
        <v>1</v>
      </c>
      <c r="L899" s="41">
        <f>ABS(L$5-(6-'4JSON'!L893))</f>
        <v>1</v>
      </c>
      <c r="M899" s="36">
        <f t="shared" si="1"/>
        <v>11</v>
      </c>
      <c r="N899" s="42">
        <f t="shared" si="2"/>
        <v>0.6944444444</v>
      </c>
    </row>
    <row r="900">
      <c r="A900" s="35">
        <f>'4JSON'!A894</f>
        <v>4151</v>
      </c>
      <c r="B900" s="25" t="str">
        <f>'4JSON'!B894</f>
        <v>Psychologists</v>
      </c>
      <c r="C900" s="41" t="str">
        <f>'4JSON'!C894</f>
        <v>Psychologists</v>
      </c>
      <c r="D900" s="41">
        <f>ABS(D$5-(6-'4JSON'!D894))</f>
        <v>3</v>
      </c>
      <c r="E900" s="41">
        <f>ABS(E$5-(6-'4JSON'!E894))</f>
        <v>2</v>
      </c>
      <c r="F900" s="41">
        <f>ABS(F$5-(6-'4JSON'!F894))</f>
        <v>1</v>
      </c>
      <c r="G900" s="41">
        <f>ABS(G$5-(6-'4JSON'!G894))</f>
        <v>0</v>
      </c>
      <c r="H900" s="41">
        <f>ABS(H$5-(6-'4JSON'!H894))</f>
        <v>2</v>
      </c>
      <c r="I900" s="41">
        <f>ABS(I$5-(6-'4JSON'!I894))</f>
        <v>0</v>
      </c>
      <c r="J900" s="41">
        <f>ABS(J$5-(6-'4JSON'!J894))</f>
        <v>1</v>
      </c>
      <c r="K900" s="41">
        <f>ABS(K$5-(6-'4JSON'!K894))</f>
        <v>1</v>
      </c>
      <c r="L900" s="41">
        <f>ABS(L$5-(6-'4JSON'!L894))</f>
        <v>1</v>
      </c>
      <c r="M900" s="36">
        <f t="shared" si="1"/>
        <v>11</v>
      </c>
      <c r="N900" s="42">
        <f t="shared" si="2"/>
        <v>0.6944444444</v>
      </c>
    </row>
    <row r="901">
      <c r="A901" s="35">
        <f>'4JSON'!A895</f>
        <v>4169</v>
      </c>
      <c r="B901" s="25" t="str">
        <f>'4JSON'!B895</f>
        <v>Psychometricians and Psychometrists</v>
      </c>
      <c r="C901" s="41" t="str">
        <f>'4JSON'!C895</f>
        <v>Other professional occupations in social science, n.e.c.</v>
      </c>
      <c r="D901" s="41">
        <f>ABS(D$5-(6-'4JSON'!D895))</f>
        <v>3</v>
      </c>
      <c r="E901" s="41">
        <f>ABS(E$5-(6-'4JSON'!E895))</f>
        <v>1</v>
      </c>
      <c r="F901" s="41">
        <f>ABS(F$5-(6-'4JSON'!F895))</f>
        <v>0</v>
      </c>
      <c r="G901" s="41">
        <f>ABS(G$5-(6-'4JSON'!G895))</f>
        <v>1</v>
      </c>
      <c r="H901" s="41">
        <f>ABS(H$5-(6-'4JSON'!H895))</f>
        <v>2</v>
      </c>
      <c r="I901" s="41">
        <f>ABS(I$5-(6-'4JSON'!I895))</f>
        <v>1</v>
      </c>
      <c r="J901" s="41">
        <f>ABS(J$5-(6-'4JSON'!J895))</f>
        <v>1</v>
      </c>
      <c r="K901" s="41">
        <f>ABS(K$5-(6-'4JSON'!K895))</f>
        <v>1</v>
      </c>
      <c r="L901" s="41">
        <f>ABS(L$5-(6-'4JSON'!L895))</f>
        <v>1</v>
      </c>
      <c r="M901" s="36">
        <f t="shared" si="1"/>
        <v>11</v>
      </c>
      <c r="N901" s="42">
        <f t="shared" si="2"/>
        <v>0.6944444444</v>
      </c>
    </row>
    <row r="902">
      <c r="A902" s="35">
        <f>'4JSON'!A896</f>
        <v>7621</v>
      </c>
      <c r="B902" s="25" t="str">
        <f>'4JSON'!B896</f>
        <v>Public Works and Maintenance Labourers</v>
      </c>
      <c r="C902" s="41" t="str">
        <f>'4JSON'!C896</f>
        <v>Public works and maintenance labourers</v>
      </c>
      <c r="D902" s="41">
        <f>ABS(D$5-(6-'4JSON'!D896))</f>
        <v>0</v>
      </c>
      <c r="E902" s="41">
        <f>ABS(E$5-(6-'4JSON'!E896))</f>
        <v>1</v>
      </c>
      <c r="F902" s="41">
        <f>ABS(F$5-(6-'4JSON'!F896))</f>
        <v>2</v>
      </c>
      <c r="G902" s="41">
        <f>ABS(G$5-(6-'4JSON'!G896))</f>
        <v>1</v>
      </c>
      <c r="H902" s="41">
        <f>ABS(H$5-(6-'4JSON'!H896))</f>
        <v>2</v>
      </c>
      <c r="I902" s="41">
        <f>ABS(I$5-(6-'4JSON'!I896))</f>
        <v>2</v>
      </c>
      <c r="J902" s="41">
        <f>ABS(J$5-(6-'4JSON'!J896))</f>
        <v>1</v>
      </c>
      <c r="K902" s="41">
        <f>ABS(K$5-(6-'4JSON'!K896))</f>
        <v>1</v>
      </c>
      <c r="L902" s="41">
        <f>ABS(L$5-(6-'4JSON'!L896))</f>
        <v>1</v>
      </c>
      <c r="M902" s="36">
        <f t="shared" si="1"/>
        <v>11</v>
      </c>
      <c r="N902" s="42">
        <f t="shared" si="2"/>
        <v>0.6944444444</v>
      </c>
    </row>
    <row r="903">
      <c r="A903" s="35">
        <f>'4JSON'!A897</f>
        <v>7622</v>
      </c>
      <c r="B903" s="25" t="str">
        <f>'4JSON'!B897</f>
        <v>Railway Labourers</v>
      </c>
      <c r="C903" s="41" t="str">
        <f>'4JSON'!C897</f>
        <v>Railway and motor transport labourers</v>
      </c>
      <c r="D903" s="41">
        <f>ABS(D$5-(6-'4JSON'!D897))</f>
        <v>0</v>
      </c>
      <c r="E903" s="41">
        <f>ABS(E$5-(6-'4JSON'!E897))</f>
        <v>1</v>
      </c>
      <c r="F903" s="41">
        <f>ABS(F$5-(6-'4JSON'!F897))</f>
        <v>2</v>
      </c>
      <c r="G903" s="41">
        <f>ABS(G$5-(6-'4JSON'!G897))</f>
        <v>1</v>
      </c>
      <c r="H903" s="41">
        <f>ABS(H$5-(6-'4JSON'!H897))</f>
        <v>2</v>
      </c>
      <c r="I903" s="41">
        <f>ABS(I$5-(6-'4JSON'!I897))</f>
        <v>2</v>
      </c>
      <c r="J903" s="41">
        <f>ABS(J$5-(6-'4JSON'!J897))</f>
        <v>1</v>
      </c>
      <c r="K903" s="41">
        <f>ABS(K$5-(6-'4JSON'!K897))</f>
        <v>1</v>
      </c>
      <c r="L903" s="41">
        <f>ABS(L$5-(6-'4JSON'!L897))</f>
        <v>1</v>
      </c>
      <c r="M903" s="36">
        <f t="shared" si="1"/>
        <v>11</v>
      </c>
      <c r="N903" s="42">
        <f t="shared" si="2"/>
        <v>0.6944444444</v>
      </c>
    </row>
    <row r="904">
      <c r="A904" s="35">
        <f>'4JSON'!A898</f>
        <v>421</v>
      </c>
      <c r="B904" s="25" t="str">
        <f>'4JSON'!B898</f>
        <v>Registrars</v>
      </c>
      <c r="C904" s="41" t="str">
        <f>'4JSON'!C898</f>
        <v>Administrators - post-secondary education and vocational training</v>
      </c>
      <c r="D904" s="41">
        <f>ABS(D$5-(6-'4JSON'!D898))</f>
        <v>3</v>
      </c>
      <c r="E904" s="41">
        <f>ABS(E$5-(6-'4JSON'!E898))</f>
        <v>1</v>
      </c>
      <c r="F904" s="41">
        <f>ABS(F$5-(6-'4JSON'!F898))</f>
        <v>1</v>
      </c>
      <c r="G904" s="41">
        <f>ABS(G$5-(6-'4JSON'!G898))</f>
        <v>1</v>
      </c>
      <c r="H904" s="41">
        <f>ABS(H$5-(6-'4JSON'!H898))</f>
        <v>2</v>
      </c>
      <c r="I904" s="41">
        <f>ABS(I$5-(6-'4JSON'!I898))</f>
        <v>0</v>
      </c>
      <c r="J904" s="41">
        <f>ABS(J$5-(6-'4JSON'!J898))</f>
        <v>1</v>
      </c>
      <c r="K904" s="41">
        <f>ABS(K$5-(6-'4JSON'!K898))</f>
        <v>1</v>
      </c>
      <c r="L904" s="41">
        <f>ABS(L$5-(6-'4JSON'!L898))</f>
        <v>1</v>
      </c>
      <c r="M904" s="36">
        <f t="shared" si="1"/>
        <v>11</v>
      </c>
      <c r="N904" s="42">
        <f t="shared" si="2"/>
        <v>0.6944444444</v>
      </c>
    </row>
    <row r="905">
      <c r="A905" s="35">
        <f>'4JSON'!A899</f>
        <v>422</v>
      </c>
      <c r="B905" s="25" t="str">
        <f>'4JSON'!B899</f>
        <v>School Principals</v>
      </c>
      <c r="C905" s="41" t="str">
        <f>'4JSON'!C899</f>
        <v>School principals and administrators of elementary and secondary education</v>
      </c>
      <c r="D905" s="41">
        <f>ABS(D$5-(6-'4JSON'!D899))</f>
        <v>3</v>
      </c>
      <c r="E905" s="41">
        <f>ABS(E$5-(6-'4JSON'!E899))</f>
        <v>1</v>
      </c>
      <c r="F905" s="41">
        <f>ABS(F$5-(6-'4JSON'!F899))</f>
        <v>1</v>
      </c>
      <c r="G905" s="41">
        <f>ABS(G$5-(6-'4JSON'!G899))</f>
        <v>1</v>
      </c>
      <c r="H905" s="41">
        <f>ABS(H$5-(6-'4JSON'!H899))</f>
        <v>2</v>
      </c>
      <c r="I905" s="41">
        <f>ABS(I$5-(6-'4JSON'!I899))</f>
        <v>0</v>
      </c>
      <c r="J905" s="41">
        <f>ABS(J$5-(6-'4JSON'!J899))</f>
        <v>1</v>
      </c>
      <c r="K905" s="41">
        <f>ABS(K$5-(6-'4JSON'!K899))</f>
        <v>1</v>
      </c>
      <c r="L905" s="41">
        <f>ABS(L$5-(6-'4JSON'!L899))</f>
        <v>1</v>
      </c>
      <c r="M905" s="36">
        <f t="shared" si="1"/>
        <v>11</v>
      </c>
      <c r="N905" s="42">
        <f t="shared" si="2"/>
        <v>0.6944444444</v>
      </c>
    </row>
    <row r="906">
      <c r="A906" s="35">
        <f>'4JSON'!A900</f>
        <v>912</v>
      </c>
      <c r="B906" s="25" t="str">
        <f>'4JSON'!B900</f>
        <v>Senior Managers - Goods Production, Utilities,Transportation and Construction</v>
      </c>
      <c r="C906" s="41" t="str">
        <f>'4JSON'!C900</f>
        <v>Utilities managers</v>
      </c>
      <c r="D906" s="41">
        <f>ABS(D$5-(6-'4JSON'!D900))</f>
        <v>3</v>
      </c>
      <c r="E906" s="41">
        <f>ABS(E$5-(6-'4JSON'!E900))</f>
        <v>1</v>
      </c>
      <c r="F906" s="41">
        <f>ABS(F$5-(6-'4JSON'!F900))</f>
        <v>1</v>
      </c>
      <c r="G906" s="41">
        <f>ABS(G$5-(6-'4JSON'!G900))</f>
        <v>1</v>
      </c>
      <c r="H906" s="41">
        <f>ABS(H$5-(6-'4JSON'!H900))</f>
        <v>2</v>
      </c>
      <c r="I906" s="41">
        <f>ABS(I$5-(6-'4JSON'!I900))</f>
        <v>0</v>
      </c>
      <c r="J906" s="41">
        <f>ABS(J$5-(6-'4JSON'!J900))</f>
        <v>1</v>
      </c>
      <c r="K906" s="41">
        <f>ABS(K$5-(6-'4JSON'!K900))</f>
        <v>1</v>
      </c>
      <c r="L906" s="41">
        <f>ABS(L$5-(6-'4JSON'!L900))</f>
        <v>1</v>
      </c>
      <c r="M906" s="36">
        <f t="shared" si="1"/>
        <v>11</v>
      </c>
      <c r="N906" s="42">
        <f t="shared" si="2"/>
        <v>0.6944444444</v>
      </c>
    </row>
    <row r="907">
      <c r="A907" s="35">
        <f>'4JSON'!A901</f>
        <v>15</v>
      </c>
      <c r="B907" s="25" t="str">
        <f>'4JSON'!B901</f>
        <v>Senior Managers - Trade, Broadcasting and Other Services, n.e.c.</v>
      </c>
      <c r="C907" s="41" t="str">
        <f>'4JSON'!C901</f>
        <v>Senior managers - trade, broadcasting and other services, n.e.c.</v>
      </c>
      <c r="D907" s="41">
        <f>ABS(D$5-(6-'4JSON'!D901))</f>
        <v>3</v>
      </c>
      <c r="E907" s="41">
        <f>ABS(E$5-(6-'4JSON'!E901))</f>
        <v>1</v>
      </c>
      <c r="F907" s="41">
        <f>ABS(F$5-(6-'4JSON'!F901))</f>
        <v>1</v>
      </c>
      <c r="G907" s="41">
        <f>ABS(G$5-(6-'4JSON'!G901))</f>
        <v>1</v>
      </c>
      <c r="H907" s="41">
        <f>ABS(H$5-(6-'4JSON'!H901))</f>
        <v>2</v>
      </c>
      <c r="I907" s="41">
        <f>ABS(I$5-(6-'4JSON'!I901))</f>
        <v>0</v>
      </c>
      <c r="J907" s="41">
        <f>ABS(J$5-(6-'4JSON'!J901))</f>
        <v>1</v>
      </c>
      <c r="K907" s="41">
        <f>ABS(K$5-(6-'4JSON'!K901))</f>
        <v>1</v>
      </c>
      <c r="L907" s="41">
        <f>ABS(L$5-(6-'4JSON'!L901))</f>
        <v>1</v>
      </c>
      <c r="M907" s="36">
        <f t="shared" si="1"/>
        <v>11</v>
      </c>
      <c r="N907" s="42">
        <f t="shared" si="2"/>
        <v>0.6944444444</v>
      </c>
    </row>
    <row r="908">
      <c r="A908" s="35">
        <f>'4JSON'!A902</f>
        <v>2161</v>
      </c>
      <c r="B908" s="25" t="str">
        <f>'4JSON'!B902</f>
        <v>Statisticians</v>
      </c>
      <c r="C908" s="41" t="str">
        <f>'4JSON'!C902</f>
        <v>Mathematicians, statisticians and actuaries</v>
      </c>
      <c r="D908" s="41">
        <f>ABS(D$5-(6-'4JSON'!D902))</f>
        <v>3</v>
      </c>
      <c r="E908" s="41">
        <f>ABS(E$5-(6-'4JSON'!E902))</f>
        <v>1</v>
      </c>
      <c r="F908" s="41">
        <f>ABS(F$5-(6-'4JSON'!F902))</f>
        <v>2</v>
      </c>
      <c r="G908" s="41">
        <f>ABS(G$5-(6-'4JSON'!G902))</f>
        <v>1</v>
      </c>
      <c r="H908" s="41">
        <f>ABS(H$5-(6-'4JSON'!H902))</f>
        <v>1</v>
      </c>
      <c r="I908" s="41">
        <f>ABS(I$5-(6-'4JSON'!I902))</f>
        <v>2</v>
      </c>
      <c r="J908" s="41">
        <f>ABS(J$5-(6-'4JSON'!J902))</f>
        <v>1</v>
      </c>
      <c r="K908" s="41">
        <f>ABS(K$5-(6-'4JSON'!K902))</f>
        <v>1</v>
      </c>
      <c r="L908" s="41">
        <f>ABS(L$5-(6-'4JSON'!L902))</f>
        <v>1</v>
      </c>
      <c r="M908" s="36">
        <f t="shared" si="1"/>
        <v>13</v>
      </c>
      <c r="N908" s="42">
        <f t="shared" si="2"/>
        <v>0.6388888889</v>
      </c>
    </row>
    <row r="909">
      <c r="A909" s="35">
        <f>'4JSON'!A903</f>
        <v>1212</v>
      </c>
      <c r="B909" s="25" t="str">
        <f>'4JSON'!B903</f>
        <v>Supervisors, Finance and Insurance Clerks</v>
      </c>
      <c r="C909" s="41" t="str">
        <f>'4JSON'!C903</f>
        <v>Supervisors, finance and insurance office workers</v>
      </c>
      <c r="D909" s="41">
        <f>ABS(D$5-(6-'4JSON'!D903))</f>
        <v>1</v>
      </c>
      <c r="E909" s="41">
        <f>ABS(E$5-(6-'4JSON'!E903))</f>
        <v>0</v>
      </c>
      <c r="F909" s="41">
        <f>ABS(F$5-(6-'4JSON'!F903))</f>
        <v>1</v>
      </c>
      <c r="G909" s="41">
        <f>ABS(G$5-(6-'4JSON'!G903))</f>
        <v>1</v>
      </c>
      <c r="H909" s="41">
        <f>ABS(H$5-(6-'4JSON'!H903))</f>
        <v>2</v>
      </c>
      <c r="I909" s="41">
        <f>ABS(I$5-(6-'4JSON'!I903))</f>
        <v>1</v>
      </c>
      <c r="J909" s="41">
        <f>ABS(J$5-(6-'4JSON'!J903))</f>
        <v>1</v>
      </c>
      <c r="K909" s="41">
        <f>ABS(K$5-(6-'4JSON'!K903))</f>
        <v>1</v>
      </c>
      <c r="L909" s="41">
        <f>ABS(L$5-(6-'4JSON'!L903))</f>
        <v>1</v>
      </c>
      <c r="M909" s="36">
        <f t="shared" si="1"/>
        <v>9</v>
      </c>
      <c r="N909" s="42">
        <f t="shared" si="2"/>
        <v>0.75</v>
      </c>
    </row>
    <row r="910">
      <c r="A910" s="35">
        <f>'4JSON'!A904</f>
        <v>6623</v>
      </c>
      <c r="B910" s="25" t="str">
        <f>'4JSON'!B904</f>
        <v>Telephone Solicitors and Telemarketers</v>
      </c>
      <c r="C910" s="41" t="str">
        <f>'4JSON'!C904</f>
        <v>Other sales related occupations</v>
      </c>
      <c r="D910" s="41">
        <f>ABS(D$5-(6-'4JSON'!D904))</f>
        <v>0</v>
      </c>
      <c r="E910" s="41">
        <f>ABS(E$5-(6-'4JSON'!E904))</f>
        <v>0</v>
      </c>
      <c r="F910" s="41">
        <f>ABS(F$5-(6-'4JSON'!F904))</f>
        <v>1</v>
      </c>
      <c r="G910" s="41">
        <f>ABS(G$5-(6-'4JSON'!G904))</f>
        <v>2</v>
      </c>
      <c r="H910" s="41">
        <f>ABS(H$5-(6-'4JSON'!H904))</f>
        <v>2</v>
      </c>
      <c r="I910" s="41">
        <f>ABS(I$5-(6-'4JSON'!I904))</f>
        <v>1</v>
      </c>
      <c r="J910" s="41">
        <f>ABS(J$5-(6-'4JSON'!J904))</f>
        <v>1</v>
      </c>
      <c r="K910" s="41">
        <f>ABS(K$5-(6-'4JSON'!K904))</f>
        <v>1</v>
      </c>
      <c r="L910" s="41">
        <f>ABS(L$5-(6-'4JSON'!L904))</f>
        <v>1</v>
      </c>
      <c r="M910" s="36">
        <f t="shared" si="1"/>
        <v>9</v>
      </c>
      <c r="N910" s="42">
        <f t="shared" si="2"/>
        <v>0.75</v>
      </c>
    </row>
    <row r="911">
      <c r="A911" s="35">
        <f>'4JSON'!A905</f>
        <v>1111</v>
      </c>
      <c r="B911" s="25" t="str">
        <f>'4JSON'!B905</f>
        <v>Accountants</v>
      </c>
      <c r="C911" s="41" t="str">
        <f>'4JSON'!C905</f>
        <v>Financial auditors and accountants</v>
      </c>
      <c r="D911" s="41">
        <f>ABS(D$5-(6-'4JSON'!D905))</f>
        <v>2</v>
      </c>
      <c r="E911" s="41">
        <f>ABS(E$5-(6-'4JSON'!E905))</f>
        <v>1</v>
      </c>
      <c r="F911" s="41">
        <f>ABS(F$5-(6-'4JSON'!F905))</f>
        <v>2</v>
      </c>
      <c r="G911" s="41">
        <f>ABS(G$5-(6-'4JSON'!G905))</f>
        <v>1</v>
      </c>
      <c r="H911" s="41">
        <f>ABS(H$5-(6-'4JSON'!H905))</f>
        <v>2</v>
      </c>
      <c r="I911" s="41">
        <f>ABS(I$5-(6-'4JSON'!I905))</f>
        <v>1</v>
      </c>
      <c r="J911" s="41">
        <f>ABS(J$5-(6-'4JSON'!J905))</f>
        <v>1</v>
      </c>
      <c r="K911" s="41">
        <f>ABS(K$5-(6-'4JSON'!K905))</f>
        <v>1</v>
      </c>
      <c r="L911" s="41">
        <f>ABS(L$5-(6-'4JSON'!L905))</f>
        <v>1</v>
      </c>
      <c r="M911" s="36">
        <f t="shared" si="1"/>
        <v>12</v>
      </c>
      <c r="N911" s="42">
        <f t="shared" si="2"/>
        <v>0.6666666667</v>
      </c>
    </row>
    <row r="912">
      <c r="A912" s="35">
        <f>'4JSON'!A906</f>
        <v>2146</v>
      </c>
      <c r="B912" s="25" t="str">
        <f>'4JSON'!B906</f>
        <v>Aerospace Engineers</v>
      </c>
      <c r="C912" s="41" t="str">
        <f>'4JSON'!C906</f>
        <v>Aerospace engineers</v>
      </c>
      <c r="D912" s="41">
        <f>ABS(D$5-(6-'4JSON'!D906))</f>
        <v>3</v>
      </c>
      <c r="E912" s="41">
        <f>ABS(E$5-(6-'4JSON'!E906))</f>
        <v>2</v>
      </c>
      <c r="F912" s="41">
        <f>ABS(F$5-(6-'4JSON'!F906))</f>
        <v>2</v>
      </c>
      <c r="G912" s="41">
        <f>ABS(G$5-(6-'4JSON'!G906))</f>
        <v>1</v>
      </c>
      <c r="H912" s="41">
        <f>ABS(H$5-(6-'4JSON'!H906))</f>
        <v>0</v>
      </c>
      <c r="I912" s="41">
        <f>ABS(I$5-(6-'4JSON'!I906))</f>
        <v>1</v>
      </c>
      <c r="J912" s="41">
        <f>ABS(J$5-(6-'4JSON'!J906))</f>
        <v>1</v>
      </c>
      <c r="K912" s="41">
        <f>ABS(K$5-(6-'4JSON'!K906))</f>
        <v>1</v>
      </c>
      <c r="L912" s="41">
        <f>ABS(L$5-(6-'4JSON'!L906))</f>
        <v>1</v>
      </c>
      <c r="M912" s="36">
        <f t="shared" si="1"/>
        <v>12</v>
      </c>
      <c r="N912" s="42">
        <f t="shared" si="2"/>
        <v>0.6666666667</v>
      </c>
    </row>
    <row r="913">
      <c r="A913" s="35">
        <f>'4JSON'!A907</f>
        <v>122</v>
      </c>
      <c r="B913" s="25" t="str">
        <f>'4JSON'!B907</f>
        <v>Banking and Other Investment Managers</v>
      </c>
      <c r="C913" s="41" t="str">
        <f>'4JSON'!C907</f>
        <v>Banking, credit and other investment managers</v>
      </c>
      <c r="D913" s="41">
        <f>ABS(D$5-(6-'4JSON'!D907))</f>
        <v>3</v>
      </c>
      <c r="E913" s="41">
        <f>ABS(E$5-(6-'4JSON'!E907))</f>
        <v>1</v>
      </c>
      <c r="F913" s="41">
        <f>ABS(F$5-(6-'4JSON'!F907))</f>
        <v>2</v>
      </c>
      <c r="G913" s="41">
        <f>ABS(G$5-(6-'4JSON'!G907))</f>
        <v>1</v>
      </c>
      <c r="H913" s="41">
        <f>ABS(H$5-(6-'4JSON'!H907))</f>
        <v>2</v>
      </c>
      <c r="I913" s="41">
        <f>ABS(I$5-(6-'4JSON'!I907))</f>
        <v>0</v>
      </c>
      <c r="J913" s="41">
        <f>ABS(J$5-(6-'4JSON'!J907))</f>
        <v>1</v>
      </c>
      <c r="K913" s="41">
        <f>ABS(K$5-(6-'4JSON'!K907))</f>
        <v>1</v>
      </c>
      <c r="L913" s="41">
        <f>ABS(L$5-(6-'4JSON'!L907))</f>
        <v>1</v>
      </c>
      <c r="M913" s="36">
        <f t="shared" si="1"/>
        <v>12</v>
      </c>
      <c r="N913" s="42">
        <f t="shared" si="2"/>
        <v>0.6666666667</v>
      </c>
    </row>
    <row r="914">
      <c r="A914" s="35">
        <f>'4JSON'!A908</f>
        <v>1114</v>
      </c>
      <c r="B914" s="25" t="str">
        <f>'4JSON'!B908</f>
        <v>Credit Managers</v>
      </c>
      <c r="C914" s="41" t="str">
        <f>'4JSON'!C908</f>
        <v>Other financial officers</v>
      </c>
      <c r="D914" s="41">
        <f>ABS(D$5-(6-'4JSON'!D908))</f>
        <v>3</v>
      </c>
      <c r="E914" s="41">
        <f>ABS(E$5-(6-'4JSON'!E908))</f>
        <v>1</v>
      </c>
      <c r="F914" s="41">
        <f>ABS(F$5-(6-'4JSON'!F908))</f>
        <v>2</v>
      </c>
      <c r="G914" s="41">
        <f>ABS(G$5-(6-'4JSON'!G908))</f>
        <v>1</v>
      </c>
      <c r="H914" s="41">
        <f>ABS(H$5-(6-'4JSON'!H908))</f>
        <v>2</v>
      </c>
      <c r="I914" s="41">
        <f>ABS(I$5-(6-'4JSON'!I908))</f>
        <v>0</v>
      </c>
      <c r="J914" s="41">
        <f>ABS(J$5-(6-'4JSON'!J908))</f>
        <v>1</v>
      </c>
      <c r="K914" s="41">
        <f>ABS(K$5-(6-'4JSON'!K908))</f>
        <v>1</v>
      </c>
      <c r="L914" s="41">
        <f>ABS(L$5-(6-'4JSON'!L908))</f>
        <v>1</v>
      </c>
      <c r="M914" s="36">
        <f t="shared" si="1"/>
        <v>12</v>
      </c>
      <c r="N914" s="42">
        <f t="shared" si="2"/>
        <v>0.6666666667</v>
      </c>
    </row>
    <row r="915">
      <c r="A915" s="35">
        <f>'4JSON'!A909</f>
        <v>4162</v>
      </c>
      <c r="B915" s="25" t="str">
        <f>'4JSON'!B909</f>
        <v>Economists and Economic Policy Researchers and Analysts</v>
      </c>
      <c r="C915" s="41" t="str">
        <f>'4JSON'!C909</f>
        <v>Economists and economic policy researchers and analysts</v>
      </c>
      <c r="D915" s="41">
        <f>ABS(D$5-(6-'4JSON'!D909))</f>
        <v>3</v>
      </c>
      <c r="E915" s="41">
        <f>ABS(E$5-(6-'4JSON'!E909))</f>
        <v>1</v>
      </c>
      <c r="F915" s="41">
        <f>ABS(F$5-(6-'4JSON'!F909))</f>
        <v>2</v>
      </c>
      <c r="G915" s="41">
        <f>ABS(G$5-(6-'4JSON'!G909))</f>
        <v>1</v>
      </c>
      <c r="H915" s="41">
        <f>ABS(H$5-(6-'4JSON'!H909))</f>
        <v>2</v>
      </c>
      <c r="I915" s="41">
        <f>ABS(I$5-(6-'4JSON'!I909))</f>
        <v>0</v>
      </c>
      <c r="J915" s="41">
        <f>ABS(J$5-(6-'4JSON'!J909))</f>
        <v>1</v>
      </c>
      <c r="K915" s="41">
        <f>ABS(K$5-(6-'4JSON'!K909))</f>
        <v>1</v>
      </c>
      <c r="L915" s="41">
        <f>ABS(L$5-(6-'4JSON'!L909))</f>
        <v>1</v>
      </c>
      <c r="M915" s="36">
        <f t="shared" si="1"/>
        <v>12</v>
      </c>
      <c r="N915" s="42">
        <f t="shared" si="2"/>
        <v>0.6666666667</v>
      </c>
    </row>
    <row r="916">
      <c r="A916" s="35">
        <f>'4JSON'!A910</f>
        <v>421</v>
      </c>
      <c r="B916" s="25" t="str">
        <f>'4JSON'!B910</f>
        <v>Faculty Administrators</v>
      </c>
      <c r="C916" s="41" t="str">
        <f>'4JSON'!C910</f>
        <v>Administrators - post-secondary education and vocational training</v>
      </c>
      <c r="D916" s="41">
        <f>ABS(D$5-(6-'4JSON'!D910))</f>
        <v>3</v>
      </c>
      <c r="E916" s="41">
        <f>ABS(E$5-(6-'4JSON'!E910))</f>
        <v>2</v>
      </c>
      <c r="F916" s="41">
        <f>ABS(F$5-(6-'4JSON'!F910))</f>
        <v>1</v>
      </c>
      <c r="G916" s="41">
        <f>ABS(G$5-(6-'4JSON'!G910))</f>
        <v>1</v>
      </c>
      <c r="H916" s="41">
        <f>ABS(H$5-(6-'4JSON'!H910))</f>
        <v>2</v>
      </c>
      <c r="I916" s="41">
        <f>ABS(I$5-(6-'4JSON'!I910))</f>
        <v>0</v>
      </c>
      <c r="J916" s="41">
        <f>ABS(J$5-(6-'4JSON'!J910))</f>
        <v>1</v>
      </c>
      <c r="K916" s="41">
        <f>ABS(K$5-(6-'4JSON'!K910))</f>
        <v>1</v>
      </c>
      <c r="L916" s="41">
        <f>ABS(L$5-(6-'4JSON'!L910))</f>
        <v>1</v>
      </c>
      <c r="M916" s="36">
        <f t="shared" si="1"/>
        <v>12</v>
      </c>
      <c r="N916" s="42">
        <f t="shared" si="2"/>
        <v>0.6666666667</v>
      </c>
    </row>
    <row r="917">
      <c r="A917" s="35">
        <f>'4JSON'!A911</f>
        <v>1254</v>
      </c>
      <c r="B917" s="25" t="str">
        <f>'4JSON'!B911</f>
        <v>Financial Analysts</v>
      </c>
      <c r="C917" s="41" t="str">
        <f>'4JSON'!C911</f>
        <v>Statistical officers and related research support occupations</v>
      </c>
      <c r="D917" s="41">
        <f>ABS(D$5-(6-'4JSON'!D911))</f>
        <v>2</v>
      </c>
      <c r="E917" s="41">
        <f>ABS(E$5-(6-'4JSON'!E911))</f>
        <v>1</v>
      </c>
      <c r="F917" s="41">
        <f>ABS(F$5-(6-'4JSON'!F911))</f>
        <v>2</v>
      </c>
      <c r="G917" s="41">
        <f>ABS(G$5-(6-'4JSON'!G911))</f>
        <v>1</v>
      </c>
      <c r="H917" s="41">
        <f>ABS(H$5-(6-'4JSON'!H911))</f>
        <v>2</v>
      </c>
      <c r="I917" s="41">
        <f>ABS(I$5-(6-'4JSON'!I911))</f>
        <v>1</v>
      </c>
      <c r="J917" s="41">
        <f>ABS(J$5-(6-'4JSON'!J911))</f>
        <v>1</v>
      </c>
      <c r="K917" s="41">
        <f>ABS(K$5-(6-'4JSON'!K911))</f>
        <v>1</v>
      </c>
      <c r="L917" s="41">
        <f>ABS(L$5-(6-'4JSON'!L911))</f>
        <v>1</v>
      </c>
      <c r="M917" s="36">
        <f t="shared" si="1"/>
        <v>12</v>
      </c>
      <c r="N917" s="42">
        <f t="shared" si="2"/>
        <v>0.6666666667</v>
      </c>
    </row>
    <row r="918">
      <c r="A918" s="35">
        <f>'4JSON'!A912</f>
        <v>111</v>
      </c>
      <c r="B918" s="25" t="str">
        <f>'4JSON'!B912</f>
        <v>Financial Managers</v>
      </c>
      <c r="C918" s="41" t="str">
        <f>'4JSON'!C912</f>
        <v>Financial managers</v>
      </c>
      <c r="D918" s="41">
        <f>ABS(D$5-(6-'4JSON'!D912))</f>
        <v>3</v>
      </c>
      <c r="E918" s="41">
        <f>ABS(E$5-(6-'4JSON'!E912))</f>
        <v>1</v>
      </c>
      <c r="F918" s="41">
        <f>ABS(F$5-(6-'4JSON'!F912))</f>
        <v>2</v>
      </c>
      <c r="G918" s="41">
        <f>ABS(G$5-(6-'4JSON'!G912))</f>
        <v>1</v>
      </c>
      <c r="H918" s="41">
        <f>ABS(H$5-(6-'4JSON'!H912))</f>
        <v>2</v>
      </c>
      <c r="I918" s="41">
        <f>ABS(I$5-(6-'4JSON'!I912))</f>
        <v>0</v>
      </c>
      <c r="J918" s="41">
        <f>ABS(J$5-(6-'4JSON'!J912))</f>
        <v>1</v>
      </c>
      <c r="K918" s="41">
        <f>ABS(K$5-(6-'4JSON'!K912))</f>
        <v>1</v>
      </c>
      <c r="L918" s="41">
        <f>ABS(L$5-(6-'4JSON'!L912))</f>
        <v>1</v>
      </c>
      <c r="M918" s="36">
        <f t="shared" si="1"/>
        <v>12</v>
      </c>
      <c r="N918" s="42">
        <f t="shared" si="2"/>
        <v>0.6666666667</v>
      </c>
    </row>
    <row r="919">
      <c r="A919" s="35">
        <f>'4JSON'!A913</f>
        <v>4169</v>
      </c>
      <c r="B919" s="25" t="str">
        <f>'4JSON'!B913</f>
        <v>Geographers</v>
      </c>
      <c r="C919" s="41" t="str">
        <f>'4JSON'!C913</f>
        <v>Other professional occupations in social science, n.e.c.</v>
      </c>
      <c r="D919" s="41">
        <f>ABS(D$5-(6-'4JSON'!D913))</f>
        <v>3</v>
      </c>
      <c r="E919" s="41">
        <f>ABS(E$5-(6-'4JSON'!E913))</f>
        <v>1</v>
      </c>
      <c r="F919" s="41">
        <f>ABS(F$5-(6-'4JSON'!F913))</f>
        <v>1</v>
      </c>
      <c r="G919" s="41">
        <f>ABS(G$5-(6-'4JSON'!G913))</f>
        <v>1</v>
      </c>
      <c r="H919" s="41">
        <f>ABS(H$5-(6-'4JSON'!H913))</f>
        <v>2</v>
      </c>
      <c r="I919" s="41">
        <f>ABS(I$5-(6-'4JSON'!I913))</f>
        <v>1</v>
      </c>
      <c r="J919" s="41">
        <f>ABS(J$5-(6-'4JSON'!J913))</f>
        <v>1</v>
      </c>
      <c r="K919" s="41">
        <f>ABS(K$5-(6-'4JSON'!K913))</f>
        <v>1</v>
      </c>
      <c r="L919" s="41">
        <f>ABS(L$5-(6-'4JSON'!L913))</f>
        <v>1</v>
      </c>
      <c r="M919" s="36">
        <f t="shared" si="1"/>
        <v>12</v>
      </c>
      <c r="N919" s="42">
        <f t="shared" si="2"/>
        <v>0.6666666667</v>
      </c>
    </row>
    <row r="920">
      <c r="A920" s="35">
        <f>'4JSON'!A914</f>
        <v>112</v>
      </c>
      <c r="B920" s="25" t="str">
        <f>'4JSON'!B914</f>
        <v>Human Resources Managers</v>
      </c>
      <c r="C920" s="41" t="str">
        <f>'4JSON'!C914</f>
        <v>Human resources managers</v>
      </c>
      <c r="D920" s="41">
        <f>ABS(D$5-(6-'4JSON'!D914))</f>
        <v>3</v>
      </c>
      <c r="E920" s="41">
        <f>ABS(E$5-(6-'4JSON'!E914))</f>
        <v>2</v>
      </c>
      <c r="F920" s="41">
        <f>ABS(F$5-(6-'4JSON'!F914))</f>
        <v>1</v>
      </c>
      <c r="G920" s="41">
        <f>ABS(G$5-(6-'4JSON'!G914))</f>
        <v>1</v>
      </c>
      <c r="H920" s="41">
        <f>ABS(H$5-(6-'4JSON'!H914))</f>
        <v>2</v>
      </c>
      <c r="I920" s="41">
        <f>ABS(I$5-(6-'4JSON'!I914))</f>
        <v>0</v>
      </c>
      <c r="J920" s="41">
        <f>ABS(J$5-(6-'4JSON'!J914))</f>
        <v>1</v>
      </c>
      <c r="K920" s="41">
        <f>ABS(K$5-(6-'4JSON'!K914))</f>
        <v>1</v>
      </c>
      <c r="L920" s="41">
        <f>ABS(L$5-(6-'4JSON'!L914))</f>
        <v>1</v>
      </c>
      <c r="M920" s="36">
        <f t="shared" si="1"/>
        <v>12</v>
      </c>
      <c r="N920" s="42">
        <f t="shared" si="2"/>
        <v>0.6666666667</v>
      </c>
    </row>
    <row r="921">
      <c r="A921" s="35">
        <f>'4JSON'!A915</f>
        <v>1112</v>
      </c>
      <c r="B921" s="25" t="str">
        <f>'4JSON'!B915</f>
        <v>Investment Analysts</v>
      </c>
      <c r="C921" s="41" t="str">
        <f>'4JSON'!C915</f>
        <v>Financial and investment analysts</v>
      </c>
      <c r="D921" s="41">
        <f>ABS(D$5-(6-'4JSON'!D915))</f>
        <v>2</v>
      </c>
      <c r="E921" s="41">
        <f>ABS(E$5-(6-'4JSON'!E915))</f>
        <v>1</v>
      </c>
      <c r="F921" s="41">
        <f>ABS(F$5-(6-'4JSON'!F915))</f>
        <v>2</v>
      </c>
      <c r="G921" s="41">
        <f>ABS(G$5-(6-'4JSON'!G915))</f>
        <v>1</v>
      </c>
      <c r="H921" s="41">
        <f>ABS(H$5-(6-'4JSON'!H915))</f>
        <v>2</v>
      </c>
      <c r="I921" s="41">
        <f>ABS(I$5-(6-'4JSON'!I915))</f>
        <v>1</v>
      </c>
      <c r="J921" s="41">
        <f>ABS(J$5-(6-'4JSON'!J915))</f>
        <v>1</v>
      </c>
      <c r="K921" s="41">
        <f>ABS(K$5-(6-'4JSON'!K915))</f>
        <v>1</v>
      </c>
      <c r="L921" s="41">
        <f>ABS(L$5-(6-'4JSON'!L915))</f>
        <v>1</v>
      </c>
      <c r="M921" s="36">
        <f t="shared" si="1"/>
        <v>12</v>
      </c>
      <c r="N921" s="42">
        <f t="shared" si="2"/>
        <v>0.6666666667</v>
      </c>
    </row>
    <row r="922">
      <c r="A922" s="35">
        <f>'4JSON'!A916</f>
        <v>4111</v>
      </c>
      <c r="B922" s="25" t="str">
        <f>'4JSON'!B916</f>
        <v>Judges</v>
      </c>
      <c r="C922" s="41" t="str">
        <f>'4JSON'!C916</f>
        <v>Judges</v>
      </c>
      <c r="D922" s="41">
        <f>ABS(D$5-(6-'4JSON'!D916))</f>
        <v>3</v>
      </c>
      <c r="E922" s="41">
        <f>ABS(E$5-(6-'4JSON'!E916))</f>
        <v>2</v>
      </c>
      <c r="F922" s="41">
        <f>ABS(F$5-(6-'4JSON'!F916))</f>
        <v>0</v>
      </c>
      <c r="G922" s="41">
        <f>ABS(G$5-(6-'4JSON'!G916))</f>
        <v>1</v>
      </c>
      <c r="H922" s="41">
        <f>ABS(H$5-(6-'4JSON'!H916))</f>
        <v>2</v>
      </c>
      <c r="I922" s="41">
        <f>ABS(I$5-(6-'4JSON'!I916))</f>
        <v>1</v>
      </c>
      <c r="J922" s="41">
        <f>ABS(J$5-(6-'4JSON'!J916))</f>
        <v>1</v>
      </c>
      <c r="K922" s="41">
        <f>ABS(K$5-(6-'4JSON'!K916))</f>
        <v>1</v>
      </c>
      <c r="L922" s="41">
        <f>ABS(L$5-(6-'4JSON'!L916))</f>
        <v>1</v>
      </c>
      <c r="M922" s="36">
        <f t="shared" si="1"/>
        <v>12</v>
      </c>
      <c r="N922" s="42">
        <f t="shared" si="2"/>
        <v>0.6666666667</v>
      </c>
    </row>
    <row r="923">
      <c r="A923" s="35">
        <f>'4JSON'!A917</f>
        <v>4169</v>
      </c>
      <c r="B923" s="25" t="str">
        <f>'4JSON'!B917</f>
        <v>Linguists</v>
      </c>
      <c r="C923" s="41" t="str">
        <f>'4JSON'!C917</f>
        <v>Other professional occupations in social science, n.e.c.</v>
      </c>
      <c r="D923" s="41">
        <f>ABS(D$5-(6-'4JSON'!D917))</f>
        <v>3</v>
      </c>
      <c r="E923" s="41">
        <f>ABS(E$5-(6-'4JSON'!E917))</f>
        <v>2</v>
      </c>
      <c r="F923" s="41">
        <f>ABS(F$5-(6-'4JSON'!F917))</f>
        <v>0</v>
      </c>
      <c r="G923" s="41">
        <f>ABS(G$5-(6-'4JSON'!G917))</f>
        <v>1</v>
      </c>
      <c r="H923" s="41">
        <f>ABS(H$5-(6-'4JSON'!H917))</f>
        <v>2</v>
      </c>
      <c r="I923" s="41">
        <f>ABS(I$5-(6-'4JSON'!I917))</f>
        <v>1</v>
      </c>
      <c r="J923" s="41">
        <f>ABS(J$5-(6-'4JSON'!J917))</f>
        <v>1</v>
      </c>
      <c r="K923" s="41">
        <f>ABS(K$5-(6-'4JSON'!K917))</f>
        <v>1</v>
      </c>
      <c r="L923" s="41">
        <f>ABS(L$5-(6-'4JSON'!L917))</f>
        <v>1</v>
      </c>
      <c r="M923" s="36">
        <f t="shared" si="1"/>
        <v>12</v>
      </c>
      <c r="N923" s="42">
        <f t="shared" si="2"/>
        <v>0.6666666667</v>
      </c>
    </row>
    <row r="924">
      <c r="A924" s="35">
        <f>'4JSON'!A918</f>
        <v>311</v>
      </c>
      <c r="B924" s="25" t="str">
        <f>'4JSON'!B918</f>
        <v>Managers in Health Care</v>
      </c>
      <c r="C924" s="41" t="str">
        <f>'4JSON'!C918</f>
        <v>Managers in health care</v>
      </c>
      <c r="D924" s="41">
        <f>ABS(D$5-(6-'4JSON'!D918))</f>
        <v>3</v>
      </c>
      <c r="E924" s="41">
        <f>ABS(E$5-(6-'4JSON'!E918))</f>
        <v>2</v>
      </c>
      <c r="F924" s="41">
        <f>ABS(F$5-(6-'4JSON'!F918))</f>
        <v>1</v>
      </c>
      <c r="G924" s="41">
        <f>ABS(G$5-(6-'4JSON'!G918))</f>
        <v>1</v>
      </c>
      <c r="H924" s="41">
        <f>ABS(H$5-(6-'4JSON'!H918))</f>
        <v>2</v>
      </c>
      <c r="I924" s="41">
        <f>ABS(I$5-(6-'4JSON'!I918))</f>
        <v>0</v>
      </c>
      <c r="J924" s="41">
        <f>ABS(J$5-(6-'4JSON'!J918))</f>
        <v>1</v>
      </c>
      <c r="K924" s="41">
        <f>ABS(K$5-(6-'4JSON'!K918))</f>
        <v>1</v>
      </c>
      <c r="L924" s="41">
        <f>ABS(L$5-(6-'4JSON'!L918))</f>
        <v>1</v>
      </c>
      <c r="M924" s="36">
        <f t="shared" si="1"/>
        <v>12</v>
      </c>
      <c r="N924" s="42">
        <f t="shared" si="2"/>
        <v>0.6666666667</v>
      </c>
    </row>
    <row r="925">
      <c r="A925" s="35">
        <f>'4JSON'!A919</f>
        <v>4169</v>
      </c>
      <c r="B925" s="25" t="str">
        <f>'4JSON'!B919</f>
        <v>Political Scientists</v>
      </c>
      <c r="C925" s="41" t="str">
        <f>'4JSON'!C919</f>
        <v>Other professional occupations in social science, n.e.c.</v>
      </c>
      <c r="D925" s="41">
        <f>ABS(D$5-(6-'4JSON'!D919))</f>
        <v>3</v>
      </c>
      <c r="E925" s="41">
        <f>ABS(E$5-(6-'4JSON'!E919))</f>
        <v>2</v>
      </c>
      <c r="F925" s="41">
        <f>ABS(F$5-(6-'4JSON'!F919))</f>
        <v>0</v>
      </c>
      <c r="G925" s="41">
        <f>ABS(G$5-(6-'4JSON'!G919))</f>
        <v>1</v>
      </c>
      <c r="H925" s="41">
        <f>ABS(H$5-(6-'4JSON'!H919))</f>
        <v>2</v>
      </c>
      <c r="I925" s="41">
        <f>ABS(I$5-(6-'4JSON'!I919))</f>
        <v>1</v>
      </c>
      <c r="J925" s="41">
        <f>ABS(J$5-(6-'4JSON'!J919))</f>
        <v>1</v>
      </c>
      <c r="K925" s="41">
        <f>ABS(K$5-(6-'4JSON'!K919))</f>
        <v>1</v>
      </c>
      <c r="L925" s="41">
        <f>ABS(L$5-(6-'4JSON'!L919))</f>
        <v>1</v>
      </c>
      <c r="M925" s="36">
        <f t="shared" si="1"/>
        <v>12</v>
      </c>
      <c r="N925" s="42">
        <f t="shared" si="2"/>
        <v>0.6666666667</v>
      </c>
    </row>
    <row r="926">
      <c r="A926" s="35">
        <f>'4JSON'!A920</f>
        <v>12</v>
      </c>
      <c r="B926" s="25" t="str">
        <f>'4JSON'!B920</f>
        <v>Senior Government Managers and Officials</v>
      </c>
      <c r="C926" s="41" t="str">
        <f>'4JSON'!C920</f>
        <v>Senior government managers and officials</v>
      </c>
      <c r="D926" s="41">
        <f>ABS(D$5-(6-'4JSON'!D920))</f>
        <v>3</v>
      </c>
      <c r="E926" s="41">
        <f>ABS(E$5-(6-'4JSON'!E920))</f>
        <v>2</v>
      </c>
      <c r="F926" s="41">
        <f>ABS(F$5-(6-'4JSON'!F920))</f>
        <v>1</v>
      </c>
      <c r="G926" s="41">
        <f>ABS(G$5-(6-'4JSON'!G920))</f>
        <v>1</v>
      </c>
      <c r="H926" s="41">
        <f>ABS(H$5-(6-'4JSON'!H920))</f>
        <v>2</v>
      </c>
      <c r="I926" s="41">
        <f>ABS(I$5-(6-'4JSON'!I920))</f>
        <v>0</v>
      </c>
      <c r="J926" s="41">
        <f>ABS(J$5-(6-'4JSON'!J920))</f>
        <v>1</v>
      </c>
      <c r="K926" s="41">
        <f>ABS(K$5-(6-'4JSON'!K920))</f>
        <v>1</v>
      </c>
      <c r="L926" s="41">
        <f>ABS(L$5-(6-'4JSON'!L920))</f>
        <v>1</v>
      </c>
      <c r="M926" s="36">
        <f t="shared" si="1"/>
        <v>12</v>
      </c>
      <c r="N926" s="42">
        <f t="shared" si="2"/>
        <v>0.6666666667</v>
      </c>
    </row>
    <row r="927">
      <c r="A927" s="35">
        <f>'4JSON'!A921</f>
        <v>13</v>
      </c>
      <c r="B927" s="25" t="str">
        <f>'4JSON'!B921</f>
        <v>Senior Managers - Financial, Communications and Other Business Services</v>
      </c>
      <c r="C927" s="41" t="str">
        <f>'4JSON'!C921</f>
        <v>Senior managers - financial, communications and other business services</v>
      </c>
      <c r="D927" s="41">
        <f>ABS(D$5-(6-'4JSON'!D921))</f>
        <v>3</v>
      </c>
      <c r="E927" s="41">
        <f>ABS(E$5-(6-'4JSON'!E921))</f>
        <v>1</v>
      </c>
      <c r="F927" s="41">
        <f>ABS(F$5-(6-'4JSON'!F921))</f>
        <v>2</v>
      </c>
      <c r="G927" s="41">
        <f>ABS(G$5-(6-'4JSON'!G921))</f>
        <v>1</v>
      </c>
      <c r="H927" s="41">
        <f>ABS(H$5-(6-'4JSON'!H921))</f>
        <v>2</v>
      </c>
      <c r="I927" s="41">
        <f>ABS(I$5-(6-'4JSON'!I921))</f>
        <v>0</v>
      </c>
      <c r="J927" s="41">
        <f>ABS(J$5-(6-'4JSON'!J921))</f>
        <v>1</v>
      </c>
      <c r="K927" s="41">
        <f>ABS(K$5-(6-'4JSON'!K921))</f>
        <v>1</v>
      </c>
      <c r="L927" s="41">
        <f>ABS(L$5-(6-'4JSON'!L921))</f>
        <v>1</v>
      </c>
      <c r="M927" s="36">
        <f t="shared" si="1"/>
        <v>12</v>
      </c>
      <c r="N927" s="42">
        <f t="shared" si="2"/>
        <v>0.6666666667</v>
      </c>
    </row>
    <row r="928">
      <c r="A928" s="35">
        <f>'4JSON'!A922</f>
        <v>14</v>
      </c>
      <c r="B928" s="25" t="str">
        <f>'4JSON'!B922</f>
        <v>Senior Managers - Health, Education, Social and Community Services and Membership Organizations</v>
      </c>
      <c r="C928" s="41" t="str">
        <f>'4JSON'!C922</f>
        <v>Senior managers - health, education, social and community services and membership organizations</v>
      </c>
      <c r="D928" s="41">
        <f>ABS(D$5-(6-'4JSON'!D922))</f>
        <v>3</v>
      </c>
      <c r="E928" s="41">
        <f>ABS(E$5-(6-'4JSON'!E922))</f>
        <v>2</v>
      </c>
      <c r="F928" s="41">
        <f>ABS(F$5-(6-'4JSON'!F922))</f>
        <v>1</v>
      </c>
      <c r="G928" s="41">
        <f>ABS(G$5-(6-'4JSON'!G922))</f>
        <v>1</v>
      </c>
      <c r="H928" s="41">
        <f>ABS(H$5-(6-'4JSON'!H922))</f>
        <v>2</v>
      </c>
      <c r="I928" s="41">
        <f>ABS(I$5-(6-'4JSON'!I922))</f>
        <v>0</v>
      </c>
      <c r="J928" s="41">
        <f>ABS(J$5-(6-'4JSON'!J922))</f>
        <v>1</v>
      </c>
      <c r="K928" s="41">
        <f>ABS(K$5-(6-'4JSON'!K922))</f>
        <v>1</v>
      </c>
      <c r="L928" s="41">
        <f>ABS(L$5-(6-'4JSON'!L922))</f>
        <v>1</v>
      </c>
      <c r="M928" s="36">
        <f t="shared" si="1"/>
        <v>12</v>
      </c>
      <c r="N928" s="42">
        <f t="shared" si="2"/>
        <v>0.6666666667</v>
      </c>
    </row>
    <row r="929">
      <c r="A929" s="35">
        <f>'4JSON'!A923</f>
        <v>4169</v>
      </c>
      <c r="B929" s="25" t="str">
        <f>'4JSON'!B923</f>
        <v>Sociologists</v>
      </c>
      <c r="C929" s="41" t="str">
        <f>'4JSON'!C923</f>
        <v>Other professional occupations in social science, n.e.c.</v>
      </c>
      <c r="D929" s="41">
        <f>ABS(D$5-(6-'4JSON'!D923))</f>
        <v>3</v>
      </c>
      <c r="E929" s="41">
        <f>ABS(E$5-(6-'4JSON'!E923))</f>
        <v>2</v>
      </c>
      <c r="F929" s="41">
        <f>ABS(F$5-(6-'4JSON'!F923))</f>
        <v>0</v>
      </c>
      <c r="G929" s="41">
        <f>ABS(G$5-(6-'4JSON'!G923))</f>
        <v>1</v>
      </c>
      <c r="H929" s="41">
        <f>ABS(H$5-(6-'4JSON'!H923))</f>
        <v>2</v>
      </c>
      <c r="I929" s="41">
        <f>ABS(I$5-(6-'4JSON'!I923))</f>
        <v>1</v>
      </c>
      <c r="J929" s="41">
        <f>ABS(J$5-(6-'4JSON'!J923))</f>
        <v>1</v>
      </c>
      <c r="K929" s="41">
        <f>ABS(K$5-(6-'4JSON'!K923))</f>
        <v>1</v>
      </c>
      <c r="L929" s="41">
        <f>ABS(L$5-(6-'4JSON'!L923))</f>
        <v>1</v>
      </c>
      <c r="M929" s="36">
        <f t="shared" si="1"/>
        <v>12</v>
      </c>
      <c r="N929" s="42">
        <f t="shared" si="2"/>
        <v>0.6666666667</v>
      </c>
    </row>
    <row r="930">
      <c r="A930" s="35">
        <f>'4JSON'!A924</f>
        <v>1111</v>
      </c>
      <c r="B930" s="25" t="str">
        <f>'4JSON'!B924</f>
        <v>Financial Auditors</v>
      </c>
      <c r="C930" s="41" t="str">
        <f>'4JSON'!C924</f>
        <v>Financial auditors and accountants</v>
      </c>
      <c r="D930" s="41">
        <f>ABS(D$5-(6-'4JSON'!D924))</f>
        <v>2</v>
      </c>
      <c r="E930" s="41">
        <f>ABS(E$5-(6-'4JSON'!E924))</f>
        <v>1</v>
      </c>
      <c r="F930" s="41">
        <f>ABS(F$5-(6-'4JSON'!F924))</f>
        <v>2</v>
      </c>
      <c r="G930" s="41">
        <f>ABS(G$5-(6-'4JSON'!G924))</f>
        <v>1</v>
      </c>
      <c r="H930" s="41">
        <f>ABS(H$5-(6-'4JSON'!H924))</f>
        <v>2</v>
      </c>
      <c r="I930" s="41">
        <f>ABS(I$5-(6-'4JSON'!I924))</f>
        <v>2</v>
      </c>
      <c r="J930" s="41">
        <f>ABS(J$5-(6-'4JSON'!J924))</f>
        <v>1</v>
      </c>
      <c r="K930" s="41">
        <f>ABS(K$5-(6-'4JSON'!K924))</f>
        <v>1</v>
      </c>
      <c r="L930" s="41">
        <f>ABS(L$5-(6-'4JSON'!L924))</f>
        <v>1</v>
      </c>
      <c r="M930" s="36">
        <f t="shared" si="1"/>
        <v>13</v>
      </c>
      <c r="N930" s="42">
        <f t="shared" si="2"/>
        <v>0.6388888889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5"/>
    <col customWidth="1" min="2" max="2" width="4.13"/>
    <col customWidth="1" min="3" max="3" width="9.13"/>
    <col customWidth="1" min="4" max="4" width="19.5"/>
    <col customWidth="1" min="5" max="5" width="71.38"/>
    <col customWidth="1" min="6" max="6" width="7.63"/>
    <col customWidth="1" min="7" max="7" width="6.63"/>
    <col customWidth="1" min="8" max="8" width="5.75"/>
    <col customWidth="1" min="9" max="10" width="4.88"/>
    <col customWidth="1" min="11" max="11" width="4.25"/>
    <col customWidth="1" min="12" max="12" width="5.88"/>
    <col customWidth="1" min="13" max="13" width="5.75"/>
    <col customWidth="1" min="14" max="15" width="2.88"/>
    <col customWidth="1" min="16" max="16" width="23.0"/>
    <col customWidth="1" min="17" max="17" width="6.38"/>
    <col customWidth="1" min="18" max="19" width="6.13"/>
    <col customWidth="1" min="20" max="20" width="7.0"/>
    <col customWidth="1" min="21" max="21" width="10.0"/>
    <col customWidth="1" min="22" max="25" width="6.13"/>
    <col customWidth="1" min="26" max="26" width="7.13"/>
    <col customWidth="1" min="27" max="27" width="14.13"/>
  </cols>
  <sheetData>
    <row r="1" ht="15.75" customHeight="1">
      <c r="A1" s="2"/>
      <c r="B1" s="2"/>
      <c r="C1" s="2"/>
      <c r="D1" s="2"/>
      <c r="E1" s="1"/>
      <c r="F1" s="1">
        <v>0.0</v>
      </c>
      <c r="G1" s="1">
        <v>1.0</v>
      </c>
      <c r="H1" s="2">
        <v>2.0</v>
      </c>
      <c r="I1" s="1">
        <v>3.0</v>
      </c>
      <c r="J1" s="1">
        <v>4.0</v>
      </c>
      <c r="K1" s="2"/>
      <c r="L1" s="2"/>
      <c r="M1" s="2"/>
      <c r="N1" s="2"/>
      <c r="O1" s="2"/>
      <c r="P1" s="2"/>
      <c r="Q1" s="2"/>
      <c r="R1" s="43" t="s">
        <v>89</v>
      </c>
      <c r="S1" s="43" t="s">
        <v>90</v>
      </c>
      <c r="T1" s="43" t="s">
        <v>91</v>
      </c>
      <c r="U1" s="43" t="s">
        <v>20</v>
      </c>
      <c r="V1" s="43" t="s">
        <v>41</v>
      </c>
      <c r="W1" s="2"/>
      <c r="X1" s="2"/>
      <c r="Y1" s="2"/>
      <c r="Z1" s="3"/>
      <c r="AA1" s="2"/>
      <c r="AB1" s="2"/>
      <c r="AC1" s="2"/>
      <c r="AD1" s="2"/>
      <c r="AE1" s="2"/>
      <c r="AF1" s="2"/>
    </row>
    <row r="2" ht="15.75" customHeight="1">
      <c r="A2" s="2"/>
      <c r="B2" s="2"/>
      <c r="C2" s="44" t="s">
        <v>92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2"/>
      <c r="AB2" s="2"/>
      <c r="AC2" s="2"/>
      <c r="AD2" s="2"/>
      <c r="AE2" s="2"/>
      <c r="AF2" s="2"/>
    </row>
    <row r="3" ht="15.75" customHeight="1">
      <c r="A3" s="2"/>
      <c r="B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2"/>
      <c r="AB3" s="2"/>
      <c r="AC3" s="2"/>
      <c r="AD3" s="2"/>
      <c r="AE3" s="2"/>
      <c r="AF3" s="2"/>
    </row>
    <row r="4" ht="15.75" customHeight="1">
      <c r="A4" s="4"/>
      <c r="B4" s="4" t="s">
        <v>93</v>
      </c>
      <c r="C4" s="5" t="s">
        <v>94</v>
      </c>
      <c r="D4" s="7" t="s">
        <v>95</v>
      </c>
      <c r="E4" s="7" t="s">
        <v>96</v>
      </c>
      <c r="F4" s="6" t="str">
        <f>'Abilities-NewQOrder'!J4</f>
        <v>very difficult</v>
      </c>
      <c r="G4" s="7" t="str">
        <f>'Abilities-NewQOrder'!I4</f>
        <v>difficult</v>
      </c>
      <c r="H4" s="7" t="s">
        <v>6</v>
      </c>
      <c r="I4" s="7" t="str">
        <f>'Abilities-NewQOrder'!G4</f>
        <v>easy</v>
      </c>
      <c r="J4" s="8" t="str">
        <f>'Abilities-NewQOrder'!F4</f>
        <v>very easy</v>
      </c>
      <c r="K4" s="7"/>
      <c r="L4" s="7" t="s">
        <v>9</v>
      </c>
      <c r="M4" s="7" t="s">
        <v>10</v>
      </c>
      <c r="N4" s="3"/>
      <c r="O4" s="3"/>
      <c r="P4" s="9" t="s">
        <v>11</v>
      </c>
      <c r="Q4" s="9" t="s">
        <v>12</v>
      </c>
      <c r="R4" s="9" t="s">
        <v>13</v>
      </c>
      <c r="S4" s="9" t="s">
        <v>14</v>
      </c>
      <c r="T4" s="9" t="s">
        <v>15</v>
      </c>
      <c r="U4" s="3" t="s">
        <v>16</v>
      </c>
      <c r="V4" s="3"/>
      <c r="W4" s="10" t="s">
        <v>17</v>
      </c>
      <c r="X4" s="3"/>
      <c r="Y4" s="3"/>
      <c r="Z4" s="3"/>
      <c r="AA4" s="2"/>
      <c r="AB4" s="3"/>
      <c r="AC4" s="3"/>
      <c r="AD4" s="3"/>
      <c r="AE4" s="3"/>
      <c r="AF4" s="3"/>
    </row>
    <row r="5" ht="15.75" customHeight="1">
      <c r="B5" s="2">
        <v>2.0</v>
      </c>
      <c r="C5" s="11">
        <v>1.0</v>
      </c>
      <c r="D5" s="12" t="s">
        <v>21</v>
      </c>
      <c r="E5" s="12" t="s">
        <v>97</v>
      </c>
      <c r="F5" s="1" t="str">
        <f t="shared" ref="F5:J5" si="1">indirect(concatenate("Abilities-NewQOrder"&amp;"!",R$1,$B5+4))</f>
        <v/>
      </c>
      <c r="G5" s="1" t="str">
        <f t="shared" si="1"/>
        <v/>
      </c>
      <c r="H5" s="1" t="str">
        <f t="shared" si="1"/>
        <v/>
      </c>
      <c r="I5" s="1">
        <f t="shared" si="1"/>
        <v>1</v>
      </c>
      <c r="J5" s="1" t="str">
        <f t="shared" si="1"/>
        <v/>
      </c>
      <c r="K5" s="2"/>
      <c r="L5" s="2">
        <f t="shared" ref="L5:L43" si="3">sum(F5:J5)</f>
        <v>1</v>
      </c>
      <c r="M5" s="2">
        <f t="shared" ref="M5:M43" si="4">F$1*F5+G$1*G5+H$1*H5+I$1*I5+J$1*J5</f>
        <v>3</v>
      </c>
      <c r="N5" s="1"/>
      <c r="O5" s="1" t="s">
        <v>20</v>
      </c>
      <c r="P5" s="17" t="str">
        <f>Masters!B6</f>
        <v>General learning ability</v>
      </c>
      <c r="Q5" s="18">
        <f t="shared" ref="Q5:Q13" si="5">sumifs(M$5:M$43,D$5:D$43,P5)</f>
        <v>9</v>
      </c>
      <c r="R5" s="18">
        <f t="shared" ref="R5:R13" si="6">countif(D$5:D$43,P5)</f>
        <v>5</v>
      </c>
      <c r="S5" s="18">
        <f t="shared" ref="S5:S13" si="7">Q5/R5</f>
        <v>1.8</v>
      </c>
      <c r="T5" s="19">
        <f t="shared" ref="T5:T13" si="8">Q5/(R5*4)</f>
        <v>0.45</v>
      </c>
      <c r="U5" s="2">
        <f t="shared" ref="U5:U13" si="9">FLOOR(T5*4,1)+1</f>
        <v>2</v>
      </c>
      <c r="V5" s="2"/>
      <c r="W5" s="20">
        <f t="shared" ref="W5:W13" si="10">round(T5*4,0)+1</f>
        <v>3</v>
      </c>
      <c r="X5" s="2"/>
      <c r="Y5" s="2"/>
      <c r="Z5" s="3"/>
      <c r="AA5" s="2" t="str">
        <f>indirect("Abilities-NewQOrder"&amp;"!J6")</f>
        <v/>
      </c>
      <c r="AB5" s="2"/>
      <c r="AC5" s="2"/>
      <c r="AD5" s="2"/>
      <c r="AE5" s="2"/>
      <c r="AF5" s="2"/>
    </row>
    <row r="6" ht="15.75" customHeight="1">
      <c r="B6" s="45">
        <v>3.0</v>
      </c>
      <c r="C6" s="11">
        <v>2.0</v>
      </c>
      <c r="D6" s="12" t="s">
        <v>24</v>
      </c>
      <c r="E6" s="12" t="s">
        <v>98</v>
      </c>
      <c r="F6" s="1" t="str">
        <f t="shared" ref="F6:J6" si="2">indirect(concatenate("Abilities-NewQOrder"&amp;"!",R$1,$N6))</f>
        <v/>
      </c>
      <c r="G6" s="1" t="str">
        <f t="shared" si="2"/>
        <v/>
      </c>
      <c r="H6" s="1">
        <f t="shared" si="2"/>
        <v>1</v>
      </c>
      <c r="I6" s="1" t="str">
        <f t="shared" si="2"/>
        <v/>
      </c>
      <c r="J6" s="1" t="str">
        <f t="shared" si="2"/>
        <v/>
      </c>
      <c r="K6" s="2"/>
      <c r="L6" s="2">
        <f t="shared" si="3"/>
        <v>1</v>
      </c>
      <c r="M6" s="2">
        <f t="shared" si="4"/>
        <v>2</v>
      </c>
      <c r="N6" s="1">
        <f t="shared" ref="N6:N43" si="12">B6+4</f>
        <v>7</v>
      </c>
      <c r="O6" s="1" t="s">
        <v>23</v>
      </c>
      <c r="P6" s="17" t="str">
        <f>Masters!B7</f>
        <v>Verbal ability</v>
      </c>
      <c r="Q6" s="18">
        <f t="shared" si="5"/>
        <v>8</v>
      </c>
      <c r="R6" s="18">
        <f t="shared" si="6"/>
        <v>4</v>
      </c>
      <c r="S6" s="18">
        <f t="shared" si="7"/>
        <v>2</v>
      </c>
      <c r="T6" s="19">
        <f t="shared" si="8"/>
        <v>0.5</v>
      </c>
      <c r="U6" s="2">
        <f t="shared" si="9"/>
        <v>3</v>
      </c>
      <c r="V6" s="2"/>
      <c r="W6" s="20">
        <f t="shared" si="10"/>
        <v>3</v>
      </c>
      <c r="X6" s="2"/>
      <c r="Y6" s="2"/>
      <c r="Z6" s="3"/>
      <c r="AA6" s="2" t="str">
        <f>indirect("'Abilities-NewQOrder'"&amp;"!J7")</f>
        <v/>
      </c>
      <c r="AB6" s="2"/>
      <c r="AC6" s="2"/>
      <c r="AD6" s="2"/>
      <c r="AE6" s="2"/>
      <c r="AF6" s="2"/>
    </row>
    <row r="7" ht="15.75" customHeight="1">
      <c r="B7" s="2">
        <v>8.0</v>
      </c>
      <c r="C7" s="11">
        <v>3.0</v>
      </c>
      <c r="D7" s="12" t="s">
        <v>39</v>
      </c>
      <c r="E7" s="12" t="s">
        <v>99</v>
      </c>
      <c r="F7" s="1" t="str">
        <f t="shared" ref="F7:J7" si="11">indirect(concatenate("Abilities-NewQOrder"&amp;"!",R$1,$N7))</f>
        <v/>
      </c>
      <c r="G7" s="1" t="str">
        <f t="shared" si="11"/>
        <v/>
      </c>
      <c r="H7" s="1">
        <f t="shared" si="11"/>
        <v>1</v>
      </c>
      <c r="I7" s="1" t="str">
        <f t="shared" si="11"/>
        <v/>
      </c>
      <c r="J7" s="1" t="str">
        <f t="shared" si="11"/>
        <v/>
      </c>
      <c r="K7" s="2"/>
      <c r="L7" s="2">
        <f t="shared" si="3"/>
        <v>1</v>
      </c>
      <c r="M7" s="2">
        <f t="shared" si="4"/>
        <v>2</v>
      </c>
      <c r="N7" s="1">
        <f t="shared" si="12"/>
        <v>12</v>
      </c>
      <c r="O7" s="1" t="s">
        <v>26</v>
      </c>
      <c r="P7" s="17" t="str">
        <f>Masters!B8</f>
        <v>Numerical ability</v>
      </c>
      <c r="Q7" s="18">
        <f t="shared" si="5"/>
        <v>13</v>
      </c>
      <c r="R7" s="18">
        <f t="shared" si="6"/>
        <v>5</v>
      </c>
      <c r="S7" s="18">
        <f t="shared" si="7"/>
        <v>2.6</v>
      </c>
      <c r="T7" s="19">
        <f t="shared" si="8"/>
        <v>0.65</v>
      </c>
      <c r="U7" s="2">
        <f t="shared" si="9"/>
        <v>3</v>
      </c>
      <c r="V7" s="2"/>
      <c r="W7" s="20">
        <f t="shared" si="10"/>
        <v>4</v>
      </c>
      <c r="X7" s="2"/>
      <c r="Y7" s="2"/>
      <c r="Z7" s="3"/>
      <c r="AA7" s="2">
        <f>indirect("'Abilities-NewQOrder'"&amp;"!J9")</f>
        <v>1</v>
      </c>
      <c r="AB7" s="2"/>
      <c r="AC7" s="2"/>
      <c r="AD7" s="2"/>
      <c r="AE7" s="2"/>
      <c r="AF7" s="2"/>
    </row>
    <row r="8" ht="15.75" customHeight="1">
      <c r="B8" s="45">
        <v>9.0</v>
      </c>
      <c r="C8" s="11">
        <v>4.0</v>
      </c>
      <c r="D8" s="12" t="s">
        <v>42</v>
      </c>
      <c r="E8" s="12" t="s">
        <v>100</v>
      </c>
      <c r="F8" s="1" t="str">
        <f t="shared" ref="F8:J8" si="13">indirect(concatenate("Abilities-NewQOrder"&amp;"!",R$1,$N8))</f>
        <v/>
      </c>
      <c r="G8" s="1" t="str">
        <f t="shared" si="13"/>
        <v/>
      </c>
      <c r="H8" s="1" t="str">
        <f t="shared" si="13"/>
        <v/>
      </c>
      <c r="I8" s="1">
        <f t="shared" si="13"/>
        <v>1</v>
      </c>
      <c r="J8" s="1" t="str">
        <f t="shared" si="13"/>
        <v/>
      </c>
      <c r="K8" s="2"/>
      <c r="L8" s="2">
        <f t="shared" si="3"/>
        <v>1</v>
      </c>
      <c r="M8" s="2">
        <f t="shared" si="4"/>
        <v>3</v>
      </c>
      <c r="N8" s="1">
        <f t="shared" si="12"/>
        <v>13</v>
      </c>
      <c r="O8" s="1" t="s">
        <v>29</v>
      </c>
      <c r="P8" s="17" t="str">
        <f>Masters!B9</f>
        <v>Spatial perception</v>
      </c>
      <c r="Q8" s="18">
        <f t="shared" si="5"/>
        <v>8</v>
      </c>
      <c r="R8" s="18">
        <f t="shared" si="6"/>
        <v>4</v>
      </c>
      <c r="S8" s="18">
        <f t="shared" si="7"/>
        <v>2</v>
      </c>
      <c r="T8" s="19">
        <f t="shared" si="8"/>
        <v>0.5</v>
      </c>
      <c r="U8" s="2">
        <f t="shared" si="9"/>
        <v>3</v>
      </c>
      <c r="V8" s="2"/>
      <c r="W8" s="20">
        <f t="shared" si="10"/>
        <v>3</v>
      </c>
      <c r="X8" s="2"/>
      <c r="Y8" s="2"/>
      <c r="Z8" s="3"/>
      <c r="AA8" s="2"/>
      <c r="AB8" s="2"/>
      <c r="AC8" s="2"/>
      <c r="AD8" s="2"/>
      <c r="AE8" s="2"/>
      <c r="AF8" s="2"/>
    </row>
    <row r="9" ht="15.75" customHeight="1">
      <c r="B9" s="2">
        <v>13.0</v>
      </c>
      <c r="C9" s="11">
        <v>5.0</v>
      </c>
      <c r="D9" s="12" t="s">
        <v>33</v>
      </c>
      <c r="E9" s="12" t="s">
        <v>101</v>
      </c>
      <c r="F9" s="1" t="str">
        <f t="shared" ref="F9:J9" si="14">indirect(concatenate("Abilities-NewQOrder"&amp;"!",R$1,$N9))</f>
        <v/>
      </c>
      <c r="G9" s="1" t="str">
        <f t="shared" si="14"/>
        <v/>
      </c>
      <c r="H9" s="1">
        <f t="shared" si="14"/>
        <v>1</v>
      </c>
      <c r="I9" s="1" t="str">
        <f t="shared" si="14"/>
        <v/>
      </c>
      <c r="J9" s="1" t="str">
        <f t="shared" si="14"/>
        <v/>
      </c>
      <c r="K9" s="2"/>
      <c r="L9" s="2">
        <f t="shared" si="3"/>
        <v>1</v>
      </c>
      <c r="M9" s="2">
        <f t="shared" si="4"/>
        <v>2</v>
      </c>
      <c r="N9" s="1">
        <f t="shared" si="12"/>
        <v>17</v>
      </c>
      <c r="O9" s="1" t="s">
        <v>32</v>
      </c>
      <c r="P9" s="17" t="str">
        <f>Masters!B10</f>
        <v>Form perception</v>
      </c>
      <c r="Q9" s="18">
        <f t="shared" si="5"/>
        <v>12</v>
      </c>
      <c r="R9" s="18">
        <f t="shared" si="6"/>
        <v>4</v>
      </c>
      <c r="S9" s="18">
        <f t="shared" si="7"/>
        <v>3</v>
      </c>
      <c r="T9" s="19">
        <f t="shared" si="8"/>
        <v>0.75</v>
      </c>
      <c r="U9" s="2">
        <f t="shared" si="9"/>
        <v>4</v>
      </c>
      <c r="V9" s="2"/>
      <c r="W9" s="20">
        <f t="shared" si="10"/>
        <v>4</v>
      </c>
      <c r="X9" s="2"/>
      <c r="Y9" s="2"/>
      <c r="Z9" s="3"/>
      <c r="AA9" s="2"/>
      <c r="AB9" s="2"/>
      <c r="AC9" s="2"/>
      <c r="AD9" s="2"/>
      <c r="AE9" s="2"/>
      <c r="AF9" s="2"/>
    </row>
    <row r="10" ht="15.75" customHeight="1">
      <c r="B10" s="2">
        <v>14.0</v>
      </c>
      <c r="C10" s="11">
        <v>6.0</v>
      </c>
      <c r="D10" s="12" t="s">
        <v>18</v>
      </c>
      <c r="E10" s="12" t="s">
        <v>102</v>
      </c>
      <c r="F10" s="1" t="str">
        <f t="shared" ref="F10:J10" si="15">indirect(concatenate("Abilities-NewQOrder"&amp;"!",R$1,$N10))</f>
        <v/>
      </c>
      <c r="G10" s="1">
        <f t="shared" si="15"/>
        <v>1</v>
      </c>
      <c r="H10" s="1" t="str">
        <f t="shared" si="15"/>
        <v/>
      </c>
      <c r="I10" s="1" t="str">
        <f t="shared" si="15"/>
        <v/>
      </c>
      <c r="J10" s="1" t="str">
        <f t="shared" si="15"/>
        <v/>
      </c>
      <c r="K10" s="2"/>
      <c r="L10" s="2">
        <f t="shared" si="3"/>
        <v>1</v>
      </c>
      <c r="M10" s="2">
        <f t="shared" si="4"/>
        <v>1</v>
      </c>
      <c r="N10" s="1">
        <f t="shared" si="12"/>
        <v>18</v>
      </c>
      <c r="O10" s="1" t="s">
        <v>35</v>
      </c>
      <c r="P10" s="17" t="str">
        <f>Masters!B11</f>
        <v>Clerical perception</v>
      </c>
      <c r="Q10" s="18">
        <f t="shared" si="5"/>
        <v>8</v>
      </c>
      <c r="R10" s="18">
        <f t="shared" si="6"/>
        <v>4</v>
      </c>
      <c r="S10" s="18">
        <f t="shared" si="7"/>
        <v>2</v>
      </c>
      <c r="T10" s="19">
        <f t="shared" si="8"/>
        <v>0.5</v>
      </c>
      <c r="U10" s="2">
        <f t="shared" si="9"/>
        <v>3</v>
      </c>
      <c r="V10" s="2"/>
      <c r="W10" s="20">
        <f t="shared" si="10"/>
        <v>3</v>
      </c>
      <c r="X10" s="2"/>
      <c r="Y10" s="2"/>
      <c r="Z10" s="3"/>
      <c r="AA10" s="2" t="str">
        <f>'Abilities-NewQOrder'!J7</f>
        <v/>
      </c>
      <c r="AB10" s="2"/>
      <c r="AC10" s="2"/>
      <c r="AD10" s="2"/>
      <c r="AE10" s="2"/>
      <c r="AF10" s="2"/>
    </row>
    <row r="11" ht="15.75" customHeight="1">
      <c r="B11" s="45">
        <v>15.0</v>
      </c>
      <c r="C11" s="11">
        <v>7.0</v>
      </c>
      <c r="D11" s="12" t="s">
        <v>42</v>
      </c>
      <c r="E11" s="12" t="s">
        <v>103</v>
      </c>
      <c r="F11" s="1">
        <f t="shared" ref="F11:J11" si="16">indirect(concatenate("Abilities-NewQOrder"&amp;"!",R$1,$N11))</f>
        <v>1</v>
      </c>
      <c r="G11" s="1" t="str">
        <f t="shared" si="16"/>
        <v/>
      </c>
      <c r="H11" s="1" t="str">
        <f t="shared" si="16"/>
        <v/>
      </c>
      <c r="I11" s="1" t="str">
        <f t="shared" si="16"/>
        <v/>
      </c>
      <c r="J11" s="1" t="str">
        <f t="shared" si="16"/>
        <v/>
      </c>
      <c r="K11" s="2"/>
      <c r="L11" s="2">
        <f t="shared" si="3"/>
        <v>1</v>
      </c>
      <c r="M11" s="2">
        <f t="shared" si="4"/>
        <v>0</v>
      </c>
      <c r="N11" s="1">
        <f t="shared" si="12"/>
        <v>19</v>
      </c>
      <c r="O11" s="1" t="s">
        <v>38</v>
      </c>
      <c r="P11" s="17" t="str">
        <f>Masters!B12</f>
        <v>Motor co-ordination</v>
      </c>
      <c r="Q11" s="18">
        <f t="shared" si="5"/>
        <v>8</v>
      </c>
      <c r="R11" s="18">
        <f t="shared" si="6"/>
        <v>4</v>
      </c>
      <c r="S11" s="18">
        <f t="shared" si="7"/>
        <v>2</v>
      </c>
      <c r="T11" s="19">
        <f t="shared" si="8"/>
        <v>0.5</v>
      </c>
      <c r="U11" s="2">
        <f t="shared" si="9"/>
        <v>3</v>
      </c>
      <c r="V11" s="2"/>
      <c r="W11" s="20">
        <f t="shared" si="10"/>
        <v>3</v>
      </c>
      <c r="X11" s="2"/>
      <c r="Y11" s="2"/>
      <c r="Z11" s="3"/>
      <c r="AA11" s="2"/>
      <c r="AB11" s="2"/>
      <c r="AC11" s="2"/>
      <c r="AD11" s="2"/>
      <c r="AE11" s="2"/>
      <c r="AF11" s="2"/>
    </row>
    <row r="12" ht="15.75" customHeight="1">
      <c r="B12" s="45">
        <v>16.0</v>
      </c>
      <c r="C12" s="11">
        <v>8.0</v>
      </c>
      <c r="D12" s="12" t="s">
        <v>39</v>
      </c>
      <c r="E12" s="12" t="s">
        <v>104</v>
      </c>
      <c r="F12" s="1">
        <f t="shared" ref="F12:J12" si="17">indirect(concatenate("Abilities-NewQOrder"&amp;"!",R$1,$N12))</f>
        <v>1</v>
      </c>
      <c r="G12" s="1" t="str">
        <f t="shared" si="17"/>
        <v/>
      </c>
      <c r="H12" s="1" t="str">
        <f t="shared" si="17"/>
        <v/>
      </c>
      <c r="I12" s="1" t="str">
        <f t="shared" si="17"/>
        <v/>
      </c>
      <c r="J12" s="1" t="str">
        <f t="shared" si="17"/>
        <v/>
      </c>
      <c r="K12" s="2"/>
      <c r="L12" s="2">
        <f t="shared" si="3"/>
        <v>1</v>
      </c>
      <c r="M12" s="2">
        <f t="shared" si="4"/>
        <v>0</v>
      </c>
      <c r="N12" s="1">
        <f t="shared" si="12"/>
        <v>20</v>
      </c>
      <c r="O12" s="1" t="s">
        <v>41</v>
      </c>
      <c r="P12" s="17" t="str">
        <f>Masters!B13</f>
        <v>Finger dexterity</v>
      </c>
      <c r="Q12" s="18">
        <f t="shared" si="5"/>
        <v>10</v>
      </c>
      <c r="R12" s="18">
        <f t="shared" si="6"/>
        <v>5</v>
      </c>
      <c r="S12" s="18">
        <f t="shared" si="7"/>
        <v>2</v>
      </c>
      <c r="T12" s="19">
        <f t="shared" si="8"/>
        <v>0.5</v>
      </c>
      <c r="U12" s="2">
        <f t="shared" si="9"/>
        <v>3</v>
      </c>
      <c r="V12" s="2"/>
      <c r="W12" s="20">
        <f t="shared" si="10"/>
        <v>3</v>
      </c>
      <c r="X12" s="2"/>
      <c r="Y12" s="2"/>
      <c r="Z12" s="3"/>
      <c r="AA12" s="2"/>
      <c r="AB12" s="2"/>
      <c r="AC12" s="2"/>
      <c r="AD12" s="2"/>
      <c r="AE12" s="2"/>
      <c r="AF12" s="2"/>
    </row>
    <row r="13" ht="15.75" customHeight="1">
      <c r="B13" s="2">
        <v>17.0</v>
      </c>
      <c r="C13" s="11">
        <v>9.0</v>
      </c>
      <c r="D13" s="12" t="s">
        <v>21</v>
      </c>
      <c r="E13" s="12" t="s">
        <v>105</v>
      </c>
      <c r="F13" s="1" t="str">
        <f t="shared" ref="F13:J13" si="18">indirect(concatenate("Abilities-NewQOrder"&amp;"!",R$1,$N13))</f>
        <v/>
      </c>
      <c r="G13" s="1">
        <f t="shared" si="18"/>
        <v>1</v>
      </c>
      <c r="H13" s="1" t="str">
        <f t="shared" si="18"/>
        <v/>
      </c>
      <c r="I13" s="1" t="str">
        <f t="shared" si="18"/>
        <v/>
      </c>
      <c r="J13" s="1" t="str">
        <f t="shared" si="18"/>
        <v/>
      </c>
      <c r="K13" s="2"/>
      <c r="L13" s="2">
        <f t="shared" si="3"/>
        <v>1</v>
      </c>
      <c r="M13" s="2">
        <f t="shared" si="4"/>
        <v>1</v>
      </c>
      <c r="N13" s="1">
        <f t="shared" si="12"/>
        <v>21</v>
      </c>
      <c r="O13" s="1" t="s">
        <v>44</v>
      </c>
      <c r="P13" s="17" t="str">
        <f>Masters!B14</f>
        <v>Manual dexterity</v>
      </c>
      <c r="Q13" s="18">
        <f t="shared" si="5"/>
        <v>10</v>
      </c>
      <c r="R13" s="18">
        <f t="shared" si="6"/>
        <v>4</v>
      </c>
      <c r="S13" s="18">
        <f t="shared" si="7"/>
        <v>2.5</v>
      </c>
      <c r="T13" s="19">
        <f t="shared" si="8"/>
        <v>0.625</v>
      </c>
      <c r="U13" s="2">
        <f t="shared" si="9"/>
        <v>3</v>
      </c>
      <c r="V13" s="2"/>
      <c r="W13" s="20">
        <f t="shared" si="10"/>
        <v>4</v>
      </c>
      <c r="X13" s="2"/>
      <c r="Y13" s="2"/>
      <c r="Z13" s="3"/>
      <c r="AA13" s="2"/>
      <c r="AB13" s="2"/>
      <c r="AC13" s="2"/>
      <c r="AD13" s="2"/>
      <c r="AE13" s="2"/>
      <c r="AF13" s="2"/>
    </row>
    <row r="14" ht="15.75" customHeight="1">
      <c r="B14" s="2">
        <v>1.0</v>
      </c>
      <c r="C14" s="11">
        <v>10.0</v>
      </c>
      <c r="D14" s="12" t="s">
        <v>18</v>
      </c>
      <c r="E14" s="12" t="s">
        <v>106</v>
      </c>
      <c r="F14" s="1" t="str">
        <f t="shared" ref="F14:J14" si="19">indirect(concatenate("Abilities-NewQOrder"&amp;"!",R$1,$N14))</f>
        <v/>
      </c>
      <c r="G14" s="1" t="str">
        <f t="shared" si="19"/>
        <v/>
      </c>
      <c r="H14" s="1" t="str">
        <f t="shared" si="19"/>
        <v/>
      </c>
      <c r="I14" s="1" t="str">
        <f t="shared" si="19"/>
        <v/>
      </c>
      <c r="J14" s="1">
        <f t="shared" si="19"/>
        <v>1</v>
      </c>
      <c r="K14" s="2"/>
      <c r="L14" s="2">
        <f t="shared" si="3"/>
        <v>1</v>
      </c>
      <c r="M14" s="2">
        <f t="shared" si="4"/>
        <v>4</v>
      </c>
      <c r="N14" s="1">
        <f t="shared" si="12"/>
        <v>5</v>
      </c>
      <c r="O14" s="2"/>
      <c r="P14" s="17" t="str">
        <f>Masters!B15</f>
        <v/>
      </c>
      <c r="Q14" s="18"/>
      <c r="R14" s="18"/>
      <c r="S14" s="18"/>
      <c r="T14" s="18"/>
      <c r="U14" s="2"/>
      <c r="V14" s="2"/>
      <c r="W14" s="2"/>
      <c r="X14" s="2"/>
      <c r="Y14" s="2"/>
      <c r="Z14" s="3"/>
      <c r="AA14" s="2"/>
      <c r="AB14" s="2"/>
      <c r="AC14" s="2"/>
      <c r="AD14" s="2"/>
      <c r="AE14" s="2"/>
      <c r="AF14" s="2"/>
    </row>
    <row r="15" ht="15.75" customHeight="1">
      <c r="B15" s="45">
        <v>4.0</v>
      </c>
      <c r="C15" s="11">
        <v>11.0</v>
      </c>
      <c r="D15" s="12" t="s">
        <v>27</v>
      </c>
      <c r="E15" s="12" t="s">
        <v>107</v>
      </c>
      <c r="F15" s="1" t="str">
        <f t="shared" ref="F15:J15" si="20">indirect(concatenate("Abilities-NewQOrder"&amp;"!",R$1,$N15))</f>
        <v/>
      </c>
      <c r="G15" s="1">
        <f t="shared" si="20"/>
        <v>1</v>
      </c>
      <c r="H15" s="1" t="str">
        <f t="shared" si="20"/>
        <v/>
      </c>
      <c r="I15" s="1" t="str">
        <f t="shared" si="20"/>
        <v/>
      </c>
      <c r="J15" s="1" t="str">
        <f t="shared" si="20"/>
        <v/>
      </c>
      <c r="K15" s="2"/>
      <c r="L15" s="2">
        <f t="shared" si="3"/>
        <v>1</v>
      </c>
      <c r="M15" s="2">
        <f t="shared" si="4"/>
        <v>1</v>
      </c>
      <c r="N15" s="1">
        <f t="shared" si="12"/>
        <v>8</v>
      </c>
      <c r="O15" s="2"/>
      <c r="P15" s="22" t="str">
        <f>Masters!B16</f>
        <v> </v>
      </c>
      <c r="Q15" s="23"/>
      <c r="R15" s="23"/>
      <c r="S15" s="23"/>
      <c r="T15" s="23"/>
      <c r="U15" s="23"/>
      <c r="V15" s="23"/>
      <c r="W15" s="23"/>
      <c r="X15" s="23"/>
      <c r="Y15" s="2"/>
      <c r="Z15" s="22"/>
      <c r="AA15" s="23"/>
      <c r="AB15" s="2"/>
      <c r="AC15" s="2"/>
      <c r="AD15" s="2"/>
      <c r="AE15" s="2"/>
      <c r="AF15" s="2"/>
    </row>
    <row r="16" ht="15.75" customHeight="1">
      <c r="B16" s="2">
        <v>5.0</v>
      </c>
      <c r="C16" s="11">
        <v>12.0</v>
      </c>
      <c r="D16" s="12" t="s">
        <v>30</v>
      </c>
      <c r="E16" s="12" t="s">
        <v>108</v>
      </c>
      <c r="F16" s="1">
        <f t="shared" ref="F16:J16" si="21">indirect(concatenate("Abilities-NewQOrder"&amp;"!",R$1,$N16))</f>
        <v>1</v>
      </c>
      <c r="G16" s="1" t="str">
        <f t="shared" si="21"/>
        <v/>
      </c>
      <c r="H16" s="1" t="str">
        <f t="shared" si="21"/>
        <v/>
      </c>
      <c r="I16" s="1" t="str">
        <f t="shared" si="21"/>
        <v/>
      </c>
      <c r="J16" s="1" t="str">
        <f t="shared" si="21"/>
        <v/>
      </c>
      <c r="K16" s="2"/>
      <c r="L16" s="2">
        <f t="shared" si="3"/>
        <v>1</v>
      </c>
      <c r="M16" s="2">
        <f t="shared" si="4"/>
        <v>0</v>
      </c>
      <c r="N16" s="1">
        <f t="shared" si="12"/>
        <v>9</v>
      </c>
      <c r="O16" s="2"/>
      <c r="P16" s="22"/>
      <c r="Q16" s="22"/>
      <c r="R16" s="22"/>
      <c r="S16" s="22"/>
      <c r="T16" s="22"/>
      <c r="U16" s="22"/>
      <c r="V16" s="22"/>
      <c r="W16" s="22"/>
      <c r="X16" s="22"/>
      <c r="Y16" s="2"/>
      <c r="Z16" s="22"/>
      <c r="AA16" s="22"/>
      <c r="AB16" s="2"/>
      <c r="AC16" s="2"/>
      <c r="AD16" s="2"/>
      <c r="AE16" s="2"/>
      <c r="AF16" s="2"/>
    </row>
    <row r="17" ht="15.75" customHeight="1">
      <c r="B17" s="2">
        <v>6.0</v>
      </c>
      <c r="C17" s="11">
        <v>13.0</v>
      </c>
      <c r="D17" s="12" t="s">
        <v>33</v>
      </c>
      <c r="E17" s="12" t="s">
        <v>109</v>
      </c>
      <c r="F17" s="1">
        <f t="shared" ref="F17:J17" si="22">indirect(concatenate("Abilities-NewQOrder"&amp;"!",R$1,$N17))</f>
        <v>1</v>
      </c>
      <c r="G17" s="1" t="str">
        <f t="shared" si="22"/>
        <v/>
      </c>
      <c r="H17" s="1" t="str">
        <f t="shared" si="22"/>
        <v/>
      </c>
      <c r="I17" s="1" t="str">
        <f t="shared" si="22"/>
        <v/>
      </c>
      <c r="J17" s="1" t="str">
        <f t="shared" si="22"/>
        <v/>
      </c>
      <c r="K17" s="2"/>
      <c r="L17" s="2">
        <f t="shared" si="3"/>
        <v>1</v>
      </c>
      <c r="M17" s="2">
        <f t="shared" si="4"/>
        <v>0</v>
      </c>
      <c r="N17" s="1">
        <f t="shared" si="12"/>
        <v>10</v>
      </c>
      <c r="O17" s="2"/>
      <c r="P17" s="25" t="s">
        <v>50</v>
      </c>
      <c r="Q17" s="24" t="s">
        <v>51</v>
      </c>
      <c r="R17" s="25"/>
      <c r="S17" s="22"/>
      <c r="T17" s="22"/>
      <c r="U17" s="26" t="s">
        <v>110</v>
      </c>
      <c r="V17" s="22"/>
      <c r="W17" s="22"/>
      <c r="X17" s="22"/>
      <c r="Y17" s="2"/>
      <c r="Z17" s="22"/>
      <c r="AA17" s="22"/>
      <c r="AB17" s="2"/>
      <c r="AC17" s="2"/>
      <c r="AD17" s="2"/>
      <c r="AE17" s="2"/>
      <c r="AF17" s="2"/>
    </row>
    <row r="18" ht="15.75" customHeight="1">
      <c r="B18" s="2">
        <v>7.0</v>
      </c>
      <c r="C18" s="11">
        <v>14.0</v>
      </c>
      <c r="D18" s="12" t="s">
        <v>36</v>
      </c>
      <c r="E18" s="12" t="s">
        <v>111</v>
      </c>
      <c r="F18" s="1" t="str">
        <f t="shared" ref="F18:J18" si="23">indirect(concatenate("Abilities-NewQOrder"&amp;"!",R$1,$N18))</f>
        <v/>
      </c>
      <c r="G18" s="1">
        <f t="shared" si="23"/>
        <v>1</v>
      </c>
      <c r="H18" s="1" t="str">
        <f t="shared" si="23"/>
        <v/>
      </c>
      <c r="I18" s="1" t="str">
        <f t="shared" si="23"/>
        <v/>
      </c>
      <c r="J18" s="1" t="str">
        <f t="shared" si="23"/>
        <v/>
      </c>
      <c r="K18" s="2"/>
      <c r="L18" s="2">
        <f t="shared" si="3"/>
        <v>1</v>
      </c>
      <c r="M18" s="2">
        <f t="shared" si="4"/>
        <v>1</v>
      </c>
      <c r="N18" s="1">
        <f t="shared" si="12"/>
        <v>11</v>
      </c>
      <c r="O18" s="1">
        <v>1.0</v>
      </c>
      <c r="P18" s="25" t="str">
        <f>IFERROR(__xludf.DUMMYFUNCTION("Unique(Query('Helper-Abilities'!A8:N958,""Select C,N where C&lt;&gt;'' Order by N Desc, C Asc Limit 30""))"),"Machinists and machining and tooling inspectors")</f>
        <v>Machinists and machining and tooling inspectors</v>
      </c>
      <c r="Q18" s="29">
        <f>IFERROR(__xludf.DUMMYFUNCTION("""COMPUTED_VALUE"""),0.9722222222222222)</f>
        <v>0.9722222222</v>
      </c>
      <c r="S18" s="30"/>
      <c r="T18" s="30"/>
      <c r="U18" s="31" t="s">
        <v>112</v>
      </c>
      <c r="V18" s="30"/>
      <c r="W18" s="30"/>
      <c r="X18" s="30"/>
      <c r="Y18" s="2"/>
      <c r="Z18" s="22"/>
      <c r="AA18" s="32"/>
      <c r="AB18" s="2"/>
      <c r="AC18" s="2"/>
      <c r="AD18" s="2"/>
      <c r="AE18" s="2"/>
      <c r="AF18" s="2"/>
    </row>
    <row r="19" ht="15.75" customHeight="1">
      <c r="B19" s="2">
        <v>10.0</v>
      </c>
      <c r="C19" s="11">
        <v>15.0</v>
      </c>
      <c r="D19" s="12" t="s">
        <v>30</v>
      </c>
      <c r="E19" s="12" t="s">
        <v>113</v>
      </c>
      <c r="F19" s="1" t="str">
        <f t="shared" ref="F19:J19" si="24">indirect(concatenate("Abilities-NewQOrder"&amp;"!",R$1,$N19))</f>
        <v/>
      </c>
      <c r="G19" s="1" t="str">
        <f t="shared" si="24"/>
        <v/>
      </c>
      <c r="H19" s="1" t="str">
        <f t="shared" si="24"/>
        <v/>
      </c>
      <c r="I19" s="1" t="str">
        <f t="shared" si="24"/>
        <v/>
      </c>
      <c r="J19" s="1">
        <f t="shared" si="24"/>
        <v>1</v>
      </c>
      <c r="K19" s="2"/>
      <c r="L19" s="2">
        <f t="shared" si="3"/>
        <v>1</v>
      </c>
      <c r="M19" s="2">
        <f t="shared" si="4"/>
        <v>4</v>
      </c>
      <c r="N19" s="1">
        <f t="shared" si="12"/>
        <v>14</v>
      </c>
      <c r="O19" s="1">
        <v>2.0</v>
      </c>
      <c r="P19" s="25" t="str">
        <f>IFERROR(__xludf.DUMMYFUNCTION("""COMPUTED_VALUE"""),"Aircraft assemblers and aircraft assembly inspectors")</f>
        <v>Aircraft assemblers and aircraft assembly inspectors</v>
      </c>
      <c r="Q19" s="29">
        <f>IFERROR(__xludf.DUMMYFUNCTION("""COMPUTED_VALUE"""),0.9444444444444444)</f>
        <v>0.9444444444</v>
      </c>
      <c r="S19" s="30"/>
      <c r="T19" s="30"/>
      <c r="U19" s="31" t="s">
        <v>114</v>
      </c>
      <c r="V19" s="30"/>
      <c r="W19" s="30"/>
      <c r="X19" s="30"/>
      <c r="Y19" s="2"/>
      <c r="Z19" s="22"/>
      <c r="AA19" s="32"/>
      <c r="AB19" s="2"/>
      <c r="AC19" s="2"/>
      <c r="AD19" s="2"/>
      <c r="AE19" s="2"/>
      <c r="AF19" s="2"/>
    </row>
    <row r="20" ht="15.75" customHeight="1">
      <c r="B20" s="2">
        <v>11.0</v>
      </c>
      <c r="C20" s="11">
        <v>16.0</v>
      </c>
      <c r="D20" s="12" t="s">
        <v>36</v>
      </c>
      <c r="E20" s="12" t="s">
        <v>115</v>
      </c>
      <c r="F20" s="1" t="str">
        <f t="shared" ref="F20:J20" si="25">indirect(concatenate("Abilities-NewQOrder"&amp;"!",R$1,$N20))</f>
        <v/>
      </c>
      <c r="G20" s="1" t="str">
        <f t="shared" si="25"/>
        <v/>
      </c>
      <c r="H20" s="1" t="str">
        <f t="shared" si="25"/>
        <v/>
      </c>
      <c r="I20" s="1" t="str">
        <f t="shared" si="25"/>
        <v/>
      </c>
      <c r="J20" s="1">
        <f t="shared" si="25"/>
        <v>1</v>
      </c>
      <c r="K20" s="2"/>
      <c r="L20" s="2">
        <f t="shared" si="3"/>
        <v>1</v>
      </c>
      <c r="M20" s="2">
        <f t="shared" si="4"/>
        <v>4</v>
      </c>
      <c r="N20" s="1">
        <f t="shared" si="12"/>
        <v>15</v>
      </c>
      <c r="O20" s="1">
        <v>3.0</v>
      </c>
      <c r="P20" s="25" t="str">
        <f>IFERROR(__xludf.DUMMYFUNCTION("""COMPUTED_VALUE"""),"Animal health technologists and veterinary technicians")</f>
        <v>Animal health technologists and veterinary technicians</v>
      </c>
      <c r="Q20" s="29">
        <f>IFERROR(__xludf.DUMMYFUNCTION("""COMPUTED_VALUE"""),0.9444444444444444)</f>
        <v>0.9444444444</v>
      </c>
      <c r="S20" s="30"/>
      <c r="T20" s="30"/>
      <c r="U20" s="31" t="s">
        <v>116</v>
      </c>
      <c r="V20" s="30"/>
      <c r="W20" s="30"/>
      <c r="X20" s="30"/>
      <c r="Y20" s="2"/>
      <c r="Z20" s="22"/>
      <c r="AA20" s="32"/>
      <c r="AB20" s="2"/>
      <c r="AC20" s="2"/>
      <c r="AD20" s="2"/>
      <c r="AE20" s="2"/>
      <c r="AF20" s="2"/>
    </row>
    <row r="21" ht="15.75" customHeight="1">
      <c r="B21" s="45">
        <v>12.0</v>
      </c>
      <c r="C21" s="11">
        <v>17.0</v>
      </c>
      <c r="D21" s="12" t="s">
        <v>24</v>
      </c>
      <c r="E21" s="12" t="s">
        <v>117</v>
      </c>
      <c r="F21" s="1" t="str">
        <f t="shared" ref="F21:J21" si="26">indirect(concatenate("Abilities-NewQOrder"&amp;"!",R$1,$N21))</f>
        <v/>
      </c>
      <c r="G21" s="1" t="str">
        <f t="shared" si="26"/>
        <v/>
      </c>
      <c r="H21" s="1" t="str">
        <f t="shared" si="26"/>
        <v/>
      </c>
      <c r="I21" s="1">
        <f t="shared" si="26"/>
        <v>1</v>
      </c>
      <c r="J21" s="1" t="str">
        <f t="shared" si="26"/>
        <v/>
      </c>
      <c r="K21" s="2"/>
      <c r="L21" s="2">
        <f t="shared" si="3"/>
        <v>1</v>
      </c>
      <c r="M21" s="2">
        <f t="shared" si="4"/>
        <v>3</v>
      </c>
      <c r="N21" s="1">
        <f t="shared" si="12"/>
        <v>16</v>
      </c>
      <c r="O21" s="1">
        <v>4.0</v>
      </c>
      <c r="P21" s="25" t="str">
        <f>IFERROR(__xludf.DUMMYFUNCTION("""COMPUTED_VALUE"""),"Camera, platemaking and other prepress occupations")</f>
        <v>Camera, platemaking and other prepress occupations</v>
      </c>
      <c r="Q21" s="29">
        <f>IFERROR(__xludf.DUMMYFUNCTION("""COMPUTED_VALUE"""),0.9444444444444444)</f>
        <v>0.9444444444</v>
      </c>
      <c r="S21" s="30"/>
      <c r="T21" s="30"/>
      <c r="U21" s="31" t="s">
        <v>118</v>
      </c>
      <c r="V21" s="30"/>
      <c r="W21" s="30"/>
      <c r="X21" s="30"/>
      <c r="Y21" s="2"/>
      <c r="Z21" s="22"/>
      <c r="AA21" s="32"/>
      <c r="AB21" s="2"/>
      <c r="AC21" s="2"/>
      <c r="AD21" s="2"/>
      <c r="AE21" s="2"/>
      <c r="AF21" s="2"/>
    </row>
    <row r="22" ht="15.75" customHeight="1">
      <c r="B22" s="45">
        <v>23.0</v>
      </c>
      <c r="C22" s="11">
        <v>18.0</v>
      </c>
      <c r="D22" s="12" t="s">
        <v>39</v>
      </c>
      <c r="E22" s="12" t="s">
        <v>119</v>
      </c>
      <c r="F22" s="1" t="str">
        <f t="shared" ref="F22:J22" si="27">indirect(concatenate("Abilities-NewQOrder"&amp;"!",R$1,$N22))</f>
        <v/>
      </c>
      <c r="G22" s="1" t="str">
        <f t="shared" si="27"/>
        <v/>
      </c>
      <c r="H22" s="1">
        <f t="shared" si="27"/>
        <v>1</v>
      </c>
      <c r="I22" s="1" t="str">
        <f t="shared" si="27"/>
        <v/>
      </c>
      <c r="J22" s="1" t="str">
        <f t="shared" si="27"/>
        <v/>
      </c>
      <c r="K22" s="2"/>
      <c r="L22" s="2">
        <f t="shared" si="3"/>
        <v>1</v>
      </c>
      <c r="M22" s="2">
        <f t="shared" si="4"/>
        <v>2</v>
      </c>
      <c r="N22" s="1">
        <f t="shared" si="12"/>
        <v>27</v>
      </c>
      <c r="O22" s="1">
        <v>5.0</v>
      </c>
      <c r="P22" s="25" t="str">
        <f>IFERROR(__xludf.DUMMYFUNCTION("""COMPUTED_VALUE"""),"Chemical technologists and technicians")</f>
        <v>Chemical technologists and technicians</v>
      </c>
      <c r="Q22" s="29">
        <f>IFERROR(__xludf.DUMMYFUNCTION("""COMPUTED_VALUE"""),0.9444444444444444)</f>
        <v>0.9444444444</v>
      </c>
      <c r="S22" s="30"/>
      <c r="T22" s="30"/>
      <c r="U22" s="31" t="s">
        <v>120</v>
      </c>
      <c r="V22" s="30"/>
      <c r="W22" s="30"/>
      <c r="X22" s="30"/>
      <c r="Y22" s="2"/>
      <c r="Z22" s="22"/>
      <c r="AA22" s="32"/>
      <c r="AB22" s="2"/>
      <c r="AC22" s="2"/>
      <c r="AD22" s="2"/>
      <c r="AE22" s="2"/>
      <c r="AF22" s="2"/>
    </row>
    <row r="23" ht="15.75" customHeight="1">
      <c r="B23" s="2">
        <v>24.0</v>
      </c>
      <c r="C23" s="11">
        <v>19.0</v>
      </c>
      <c r="D23" s="12" t="s">
        <v>36</v>
      </c>
      <c r="E23" s="12" t="s">
        <v>62</v>
      </c>
      <c r="F23" s="1" t="str">
        <f t="shared" ref="F23:J23" si="28">indirect(concatenate("Abilities-NewQOrder"&amp;"!",R$1,$N23))</f>
        <v/>
      </c>
      <c r="G23" s="1">
        <f t="shared" si="28"/>
        <v>1</v>
      </c>
      <c r="H23" s="1" t="str">
        <f t="shared" si="28"/>
        <v/>
      </c>
      <c r="I23" s="1" t="str">
        <f t="shared" si="28"/>
        <v/>
      </c>
      <c r="J23" s="1" t="str">
        <f t="shared" si="28"/>
        <v/>
      </c>
      <c r="K23" s="2"/>
      <c r="L23" s="2">
        <f t="shared" si="3"/>
        <v>1</v>
      </c>
      <c r="M23" s="2">
        <f t="shared" si="4"/>
        <v>1</v>
      </c>
      <c r="N23" s="1">
        <f t="shared" si="12"/>
        <v>28</v>
      </c>
      <c r="O23" s="1">
        <v>6.0</v>
      </c>
      <c r="P23" s="25" t="str">
        <f>IFERROR(__xludf.DUMMYFUNCTION("""COMPUTED_VALUE"""),"Contractors and supervisors, machining, metal forming, shaping and erecting trades and related occupations")</f>
        <v>Contractors and supervisors, machining, metal forming, shaping and erecting trades and related occupations</v>
      </c>
      <c r="Q23" s="29">
        <f>IFERROR(__xludf.DUMMYFUNCTION("""COMPUTED_VALUE"""),0.9444444444444444)</f>
        <v>0.9444444444</v>
      </c>
      <c r="S23" s="30"/>
      <c r="T23" s="30"/>
      <c r="U23" s="31" t="s">
        <v>121</v>
      </c>
      <c r="V23" s="30"/>
      <c r="W23" s="30"/>
      <c r="X23" s="30"/>
      <c r="Y23" s="2"/>
      <c r="Z23" s="22"/>
      <c r="AA23" s="32"/>
      <c r="AB23" s="2"/>
      <c r="AC23" s="2"/>
      <c r="AD23" s="2"/>
      <c r="AE23" s="2"/>
      <c r="AF23" s="2"/>
    </row>
    <row r="24" ht="15.75" customHeight="1">
      <c r="B24" s="2">
        <v>25.0</v>
      </c>
      <c r="C24" s="11">
        <v>20.0</v>
      </c>
      <c r="D24" s="12" t="s">
        <v>30</v>
      </c>
      <c r="E24" s="12" t="s">
        <v>63</v>
      </c>
      <c r="F24" s="1">
        <f t="shared" ref="F24:J24" si="29">indirect(concatenate("Abilities-NewQOrder"&amp;"!",R$1,$N24))</f>
        <v>1</v>
      </c>
      <c r="G24" s="1" t="str">
        <f t="shared" si="29"/>
        <v/>
      </c>
      <c r="H24" s="1" t="str">
        <f t="shared" si="29"/>
        <v/>
      </c>
      <c r="I24" s="1" t="str">
        <f t="shared" si="29"/>
        <v/>
      </c>
      <c r="J24" s="1" t="str">
        <f t="shared" si="29"/>
        <v/>
      </c>
      <c r="K24" s="2"/>
      <c r="L24" s="2">
        <f t="shared" si="3"/>
        <v>1</v>
      </c>
      <c r="M24" s="2">
        <f t="shared" si="4"/>
        <v>0</v>
      </c>
      <c r="N24" s="1">
        <f t="shared" si="12"/>
        <v>29</v>
      </c>
      <c r="O24" s="1">
        <v>7.0</v>
      </c>
      <c r="P24" s="25" t="str">
        <f>IFERROR(__xludf.DUMMYFUNCTION("""COMPUTED_VALUE"""),"Gas fitters")</f>
        <v>Gas fitters</v>
      </c>
      <c r="Q24" s="29">
        <f>IFERROR(__xludf.DUMMYFUNCTION("""COMPUTED_VALUE"""),0.9444444444444444)</f>
        <v>0.9444444444</v>
      </c>
      <c r="S24" s="30"/>
      <c r="T24" s="30"/>
      <c r="U24" s="31" t="s">
        <v>122</v>
      </c>
      <c r="V24" s="30"/>
      <c r="W24" s="30"/>
      <c r="X24" s="30"/>
      <c r="Y24" s="2"/>
      <c r="Z24" s="22"/>
      <c r="AA24" s="32"/>
      <c r="AB24" s="2"/>
      <c r="AC24" s="2"/>
      <c r="AD24" s="2"/>
      <c r="AE24" s="2"/>
      <c r="AF24" s="2"/>
    </row>
    <row r="25" ht="15.75" customHeight="1">
      <c r="B25" s="2">
        <v>32.0</v>
      </c>
      <c r="C25" s="11">
        <v>21.0</v>
      </c>
      <c r="D25" s="12" t="s">
        <v>42</v>
      </c>
      <c r="E25" s="12" t="s">
        <v>70</v>
      </c>
      <c r="F25" s="1" t="str">
        <f t="shared" ref="F25:J25" si="30">indirect(concatenate("Abilities-NewQOrder"&amp;"!",R$1,$N25))</f>
        <v/>
      </c>
      <c r="G25" s="1" t="str">
        <f t="shared" si="30"/>
        <v/>
      </c>
      <c r="H25" s="1" t="str">
        <f t="shared" si="30"/>
        <v/>
      </c>
      <c r="I25" s="1">
        <f t="shared" si="30"/>
        <v>1</v>
      </c>
      <c r="J25" s="1" t="str">
        <f t="shared" si="30"/>
        <v/>
      </c>
      <c r="K25" s="2"/>
      <c r="L25" s="2">
        <f t="shared" si="3"/>
        <v>1</v>
      </c>
      <c r="M25" s="2">
        <f t="shared" si="4"/>
        <v>3</v>
      </c>
      <c r="N25" s="1">
        <f t="shared" si="12"/>
        <v>36</v>
      </c>
      <c r="O25" s="1">
        <v>8.0</v>
      </c>
      <c r="P25" s="25" t="str">
        <f>IFERROR(__xludf.DUMMYFUNCTION("""COMPUTED_VALUE"""),"Land survey technologists and technicians")</f>
        <v>Land survey technologists and technicians</v>
      </c>
      <c r="Q25" s="29">
        <f>IFERROR(__xludf.DUMMYFUNCTION("""COMPUTED_VALUE"""),0.9444444444444444)</f>
        <v>0.9444444444</v>
      </c>
      <c r="S25" s="30"/>
      <c r="T25" s="30"/>
      <c r="U25" s="31" t="s">
        <v>123</v>
      </c>
      <c r="V25" s="30"/>
      <c r="W25" s="30"/>
      <c r="X25" s="30"/>
      <c r="Y25" s="2"/>
      <c r="Z25" s="22"/>
      <c r="AA25" s="32"/>
      <c r="AB25" s="2"/>
      <c r="AC25" s="2"/>
      <c r="AD25" s="2"/>
      <c r="AE25" s="2"/>
      <c r="AF25" s="2"/>
    </row>
    <row r="26" ht="15.75" customHeight="1">
      <c r="B26" s="2">
        <v>33.0</v>
      </c>
      <c r="C26" s="11">
        <v>22.0</v>
      </c>
      <c r="D26" s="12" t="s">
        <v>33</v>
      </c>
      <c r="E26" s="12" t="s">
        <v>71</v>
      </c>
      <c r="F26" s="1" t="str">
        <f t="shared" ref="F26:J26" si="31">indirect(concatenate("Abilities-NewQOrder"&amp;"!",R$1,$N26))</f>
        <v/>
      </c>
      <c r="G26" s="1" t="str">
        <f t="shared" si="31"/>
        <v/>
      </c>
      <c r="H26" s="1">
        <f t="shared" si="31"/>
        <v>1</v>
      </c>
      <c r="I26" s="1" t="str">
        <f t="shared" si="31"/>
        <v/>
      </c>
      <c r="J26" s="1" t="str">
        <f t="shared" si="31"/>
        <v/>
      </c>
      <c r="K26" s="2"/>
      <c r="L26" s="2">
        <f t="shared" si="3"/>
        <v>1</v>
      </c>
      <c r="M26" s="2">
        <f t="shared" si="4"/>
        <v>2</v>
      </c>
      <c r="N26" s="1">
        <f t="shared" si="12"/>
        <v>37</v>
      </c>
      <c r="O26" s="1">
        <v>9.0</v>
      </c>
      <c r="P26" s="25" t="str">
        <f>IFERROR(__xludf.DUMMYFUNCTION("""COMPUTED_VALUE"""),"Aircraft assemblers and aircraft assembly inspectors")</f>
        <v>Aircraft assemblers and aircraft assembly inspectors</v>
      </c>
      <c r="Q26" s="29">
        <f>IFERROR(__xludf.DUMMYFUNCTION("""COMPUTED_VALUE"""),0.9166666666666666)</f>
        <v>0.9166666667</v>
      </c>
      <c r="S26" s="30"/>
      <c r="T26" s="30"/>
      <c r="U26" s="31" t="s">
        <v>124</v>
      </c>
      <c r="V26" s="30"/>
      <c r="W26" s="30"/>
      <c r="X26" s="30"/>
      <c r="Y26" s="2"/>
      <c r="Z26" s="22"/>
      <c r="AA26" s="32"/>
      <c r="AB26" s="2"/>
      <c r="AC26" s="2"/>
      <c r="AD26" s="2"/>
      <c r="AE26" s="2"/>
      <c r="AF26" s="2"/>
    </row>
    <row r="27" ht="15.75" customHeight="1">
      <c r="B27" s="2">
        <v>34.0</v>
      </c>
      <c r="C27" s="11">
        <v>23.0</v>
      </c>
      <c r="D27" s="12" t="s">
        <v>24</v>
      </c>
      <c r="E27" s="12" t="s">
        <v>72</v>
      </c>
      <c r="F27" s="1" t="str">
        <f t="shared" ref="F27:J27" si="32">indirect(concatenate("Abilities-NewQOrder"&amp;"!",R$1,$N27))</f>
        <v/>
      </c>
      <c r="G27" s="1">
        <f t="shared" si="32"/>
        <v>1</v>
      </c>
      <c r="H27" s="1" t="str">
        <f t="shared" si="32"/>
        <v/>
      </c>
      <c r="I27" s="1" t="str">
        <f t="shared" si="32"/>
        <v/>
      </c>
      <c r="J27" s="1" t="str">
        <f t="shared" si="32"/>
        <v/>
      </c>
      <c r="K27" s="2"/>
      <c r="L27" s="2">
        <f t="shared" si="3"/>
        <v>1</v>
      </c>
      <c r="M27" s="2">
        <f t="shared" si="4"/>
        <v>1</v>
      </c>
      <c r="N27" s="1">
        <f t="shared" si="12"/>
        <v>38</v>
      </c>
      <c r="O27" s="1">
        <v>10.0</v>
      </c>
      <c r="P27" s="25" t="str">
        <f>IFERROR(__xludf.DUMMYFUNCTION("""COMPUTED_VALUE"""),"Aircraft mechanics and aircraft inspectors")</f>
        <v>Aircraft mechanics and aircraft inspectors</v>
      </c>
      <c r="Q27" s="29">
        <f>IFERROR(__xludf.DUMMYFUNCTION("""COMPUTED_VALUE"""),0.9166666666666666)</f>
        <v>0.9166666667</v>
      </c>
      <c r="S27" s="30"/>
      <c r="T27" s="30"/>
      <c r="U27" s="31" t="s">
        <v>125</v>
      </c>
      <c r="V27" s="30"/>
      <c r="W27" s="30"/>
      <c r="X27" s="30"/>
      <c r="Y27" s="2"/>
      <c r="Z27" s="22"/>
      <c r="AA27" s="32"/>
      <c r="AB27" s="2"/>
      <c r="AC27" s="2"/>
      <c r="AD27" s="2"/>
      <c r="AE27" s="2"/>
      <c r="AF27" s="2"/>
    </row>
    <row r="28" ht="15.75" customHeight="1">
      <c r="B28" s="45">
        <v>38.0</v>
      </c>
      <c r="C28" s="11">
        <v>24.0</v>
      </c>
      <c r="D28" s="12" t="s">
        <v>30</v>
      </c>
      <c r="E28" s="12" t="s">
        <v>76</v>
      </c>
      <c r="F28" s="1" t="str">
        <f t="shared" ref="F28:J28" si="33">indirect(concatenate("Abilities-NewQOrder"&amp;"!",R$1,$N28))</f>
        <v/>
      </c>
      <c r="G28" s="1" t="str">
        <f t="shared" si="33"/>
        <v/>
      </c>
      <c r="H28" s="1" t="str">
        <f t="shared" si="33"/>
        <v/>
      </c>
      <c r="I28" s="1" t="str">
        <f t="shared" si="33"/>
        <v/>
      </c>
      <c r="J28" s="1">
        <f t="shared" si="33"/>
        <v>1</v>
      </c>
      <c r="K28" s="2"/>
      <c r="L28" s="2">
        <f t="shared" si="3"/>
        <v>1</v>
      </c>
      <c r="M28" s="2">
        <f t="shared" si="4"/>
        <v>4</v>
      </c>
      <c r="N28" s="1">
        <f t="shared" si="12"/>
        <v>42</v>
      </c>
      <c r="O28" s="1">
        <v>11.0</v>
      </c>
      <c r="P28" s="25" t="str">
        <f>IFERROR(__xludf.DUMMYFUNCTION("""COMPUTED_VALUE"""),"Appliance servicers and repairers")</f>
        <v>Appliance servicers and repairers</v>
      </c>
      <c r="Q28" s="29">
        <f>IFERROR(__xludf.DUMMYFUNCTION("""COMPUTED_VALUE"""),0.9166666666666666)</f>
        <v>0.9166666667</v>
      </c>
      <c r="S28" s="30"/>
      <c r="T28" s="30"/>
      <c r="U28" s="30"/>
      <c r="V28" s="30"/>
      <c r="W28" s="30"/>
      <c r="X28" s="30"/>
      <c r="Y28" s="2"/>
      <c r="Z28" s="22"/>
      <c r="AA28" s="32"/>
      <c r="AB28" s="2"/>
      <c r="AC28" s="2"/>
      <c r="AD28" s="2"/>
      <c r="AE28" s="2"/>
      <c r="AF28" s="2"/>
    </row>
    <row r="29" ht="15.75" customHeight="1">
      <c r="B29" s="2">
        <v>18.0</v>
      </c>
      <c r="C29" s="11">
        <v>25.0</v>
      </c>
      <c r="D29" s="12" t="s">
        <v>27</v>
      </c>
      <c r="E29" s="12" t="s">
        <v>126</v>
      </c>
      <c r="F29" s="1" t="str">
        <f t="shared" ref="F29:J29" si="34">indirect(concatenate("Abilities-NewQOrder"&amp;"!",R$1,$N29))</f>
        <v/>
      </c>
      <c r="G29" s="1" t="str">
        <f t="shared" si="34"/>
        <v/>
      </c>
      <c r="H29" s="1">
        <f t="shared" si="34"/>
        <v>1</v>
      </c>
      <c r="I29" s="1" t="str">
        <f t="shared" si="34"/>
        <v/>
      </c>
      <c r="J29" s="1" t="str">
        <f t="shared" si="34"/>
        <v/>
      </c>
      <c r="K29" s="2"/>
      <c r="L29" s="2">
        <f t="shared" si="3"/>
        <v>1</v>
      </c>
      <c r="M29" s="2">
        <f t="shared" si="4"/>
        <v>2</v>
      </c>
      <c r="N29" s="1">
        <f t="shared" si="12"/>
        <v>22</v>
      </c>
      <c r="O29" s="1">
        <v>12.0</v>
      </c>
      <c r="P29" s="25" t="str">
        <f>IFERROR(__xludf.DUMMYFUNCTION("""COMPUTED_VALUE"""),"Assemblers and inspectors, electrical appliance, apparatus and equipment manufacturing")</f>
        <v>Assemblers and inspectors, electrical appliance, apparatus and equipment manufacturing</v>
      </c>
      <c r="Q29" s="29">
        <f>IFERROR(__xludf.DUMMYFUNCTION("""COMPUTED_VALUE"""),0.9166666666666666)</f>
        <v>0.9166666667</v>
      </c>
      <c r="S29" s="30"/>
      <c r="T29" s="30"/>
      <c r="U29" s="30"/>
      <c r="V29" s="30"/>
      <c r="W29" s="30"/>
      <c r="X29" s="30"/>
      <c r="Y29" s="2"/>
      <c r="Z29" s="22"/>
      <c r="AA29" s="32"/>
      <c r="AB29" s="2"/>
      <c r="AC29" s="2"/>
      <c r="AD29" s="2"/>
      <c r="AE29" s="2"/>
      <c r="AF29" s="2"/>
    </row>
    <row r="30" ht="15.75" customHeight="1">
      <c r="B30" s="2">
        <v>19.0</v>
      </c>
      <c r="C30" s="11">
        <v>26.0</v>
      </c>
      <c r="D30" s="12" t="s">
        <v>27</v>
      </c>
      <c r="E30" s="12" t="s">
        <v>127</v>
      </c>
      <c r="F30" s="1" t="str">
        <f t="shared" ref="F30:J30" si="35">indirect(concatenate("Abilities-NewQOrder"&amp;"!",R$1,$N30))</f>
        <v/>
      </c>
      <c r="G30" s="1" t="str">
        <f t="shared" si="35"/>
        <v/>
      </c>
      <c r="H30" s="1" t="str">
        <f t="shared" si="35"/>
        <v/>
      </c>
      <c r="I30" s="1">
        <f t="shared" si="35"/>
        <v>1</v>
      </c>
      <c r="J30" s="1" t="str">
        <f t="shared" si="35"/>
        <v/>
      </c>
      <c r="K30" s="2"/>
      <c r="L30" s="2">
        <f t="shared" si="3"/>
        <v>1</v>
      </c>
      <c r="M30" s="2">
        <f t="shared" si="4"/>
        <v>3</v>
      </c>
      <c r="N30" s="1">
        <f t="shared" si="12"/>
        <v>23</v>
      </c>
      <c r="O30" s="1">
        <v>13.0</v>
      </c>
      <c r="P30" s="25" t="str">
        <f>IFERROR(__xludf.DUMMYFUNCTION("""COMPUTED_VALUE"""),"Audio and video recording technicians")</f>
        <v>Audio and video recording technicians</v>
      </c>
      <c r="Q30" s="29">
        <f>IFERROR(__xludf.DUMMYFUNCTION("""COMPUTED_VALUE"""),0.9166666666666666)</f>
        <v>0.9166666667</v>
      </c>
      <c r="S30" s="30"/>
      <c r="T30" s="30"/>
      <c r="U30" s="30"/>
      <c r="V30" s="30"/>
      <c r="W30" s="30"/>
      <c r="X30" s="30"/>
      <c r="Y30" s="2"/>
      <c r="Z30" s="22"/>
      <c r="AA30" s="32"/>
      <c r="AB30" s="2"/>
      <c r="AC30" s="2"/>
      <c r="AD30" s="2"/>
      <c r="AE30" s="2"/>
      <c r="AF30" s="2"/>
    </row>
    <row r="31" ht="15.75" customHeight="1">
      <c r="B31" s="2">
        <v>20.0</v>
      </c>
      <c r="C31" s="11">
        <v>27.0</v>
      </c>
      <c r="D31" s="12" t="s">
        <v>42</v>
      </c>
      <c r="E31" s="12" t="s">
        <v>128</v>
      </c>
      <c r="F31" s="1" t="str">
        <f t="shared" ref="F31:J31" si="36">indirect(concatenate("Abilities-NewQOrder"&amp;"!",R$1,$N31))</f>
        <v/>
      </c>
      <c r="G31" s="1" t="str">
        <f t="shared" si="36"/>
        <v/>
      </c>
      <c r="H31" s="1" t="str">
        <f t="shared" si="36"/>
        <v/>
      </c>
      <c r="I31" s="1" t="str">
        <f t="shared" si="36"/>
        <v/>
      </c>
      <c r="J31" s="1">
        <f t="shared" si="36"/>
        <v>1</v>
      </c>
      <c r="K31" s="2"/>
      <c r="L31" s="2">
        <f t="shared" si="3"/>
        <v>1</v>
      </c>
      <c r="M31" s="2">
        <f t="shared" si="4"/>
        <v>4</v>
      </c>
      <c r="N31" s="1">
        <f t="shared" si="12"/>
        <v>24</v>
      </c>
      <c r="O31" s="1">
        <v>14.0</v>
      </c>
      <c r="P31" s="25" t="str">
        <f>IFERROR(__xludf.DUMMYFUNCTION("""COMPUTED_VALUE"""),"Bakers")</f>
        <v>Bakers</v>
      </c>
      <c r="Q31" s="29">
        <f>IFERROR(__xludf.DUMMYFUNCTION("""COMPUTED_VALUE"""),0.9166666666666666)</f>
        <v>0.9166666667</v>
      </c>
      <c r="S31" s="30"/>
      <c r="T31" s="30"/>
      <c r="U31" s="30"/>
      <c r="V31" s="30"/>
      <c r="W31" s="30"/>
      <c r="X31" s="30"/>
      <c r="Y31" s="2"/>
      <c r="Z31" s="22"/>
      <c r="AA31" s="32"/>
      <c r="AB31" s="2"/>
      <c r="AC31" s="2"/>
      <c r="AD31" s="2"/>
      <c r="AE31" s="2"/>
      <c r="AF31" s="2"/>
    </row>
    <row r="32" ht="15.75" customHeight="1">
      <c r="B32" s="2">
        <v>21.0</v>
      </c>
      <c r="C32" s="11">
        <v>28.0</v>
      </c>
      <c r="D32" s="12" t="s">
        <v>21</v>
      </c>
      <c r="E32" s="12" t="s">
        <v>129</v>
      </c>
      <c r="F32" s="1" t="str">
        <f t="shared" ref="F32:J32" si="37">indirect(concatenate("Abilities-NewQOrder"&amp;"!",R$1,$N32))</f>
        <v/>
      </c>
      <c r="G32" s="1" t="str">
        <f t="shared" si="37"/>
        <v/>
      </c>
      <c r="H32" s="1" t="str">
        <f t="shared" si="37"/>
        <v/>
      </c>
      <c r="I32" s="1" t="str">
        <f t="shared" si="37"/>
        <v/>
      </c>
      <c r="J32" s="1">
        <f t="shared" si="37"/>
        <v>1</v>
      </c>
      <c r="K32" s="2"/>
      <c r="L32" s="2">
        <f t="shared" si="3"/>
        <v>1</v>
      </c>
      <c r="M32" s="2">
        <f t="shared" si="4"/>
        <v>4</v>
      </c>
      <c r="N32" s="1">
        <f t="shared" si="12"/>
        <v>25</v>
      </c>
      <c r="O32" s="1">
        <v>15.0</v>
      </c>
      <c r="P32" s="25" t="str">
        <f>IFERROR(__xludf.DUMMYFUNCTION("""COMPUTED_VALUE"""),"Biological technologists and technicians")</f>
        <v>Biological technologists and technicians</v>
      </c>
      <c r="Q32" s="29">
        <f>IFERROR(__xludf.DUMMYFUNCTION("""COMPUTED_VALUE"""),0.9166666666666666)</f>
        <v>0.9166666667</v>
      </c>
      <c r="S32" s="30"/>
      <c r="T32" s="30"/>
      <c r="U32" s="30"/>
      <c r="V32" s="30"/>
      <c r="W32" s="30"/>
      <c r="X32" s="30"/>
      <c r="Y32" s="2"/>
      <c r="Z32" s="22"/>
      <c r="AA32" s="32"/>
      <c r="AB32" s="2"/>
      <c r="AC32" s="2"/>
      <c r="AD32" s="2"/>
      <c r="AE32" s="2"/>
      <c r="AF32" s="2"/>
    </row>
    <row r="33" ht="15.75" customHeight="1">
      <c r="B33" s="2">
        <v>22.0</v>
      </c>
      <c r="C33" s="11">
        <v>29.0</v>
      </c>
      <c r="D33" s="12" t="s">
        <v>18</v>
      </c>
      <c r="E33" s="12" t="s">
        <v>130</v>
      </c>
      <c r="F33" s="1" t="str">
        <f t="shared" ref="F33:J33" si="38">indirect(concatenate("Abilities-NewQOrder"&amp;"!",R$1,$N33))</f>
        <v/>
      </c>
      <c r="G33" s="1" t="str">
        <f t="shared" si="38"/>
        <v/>
      </c>
      <c r="H33" s="1" t="str">
        <f t="shared" si="38"/>
        <v/>
      </c>
      <c r="I33" s="1">
        <f t="shared" si="38"/>
        <v>1</v>
      </c>
      <c r="J33" s="1" t="str">
        <f t="shared" si="38"/>
        <v/>
      </c>
      <c r="K33" s="2"/>
      <c r="L33" s="2">
        <f t="shared" si="3"/>
        <v>1</v>
      </c>
      <c r="M33" s="2">
        <f t="shared" si="4"/>
        <v>3</v>
      </c>
      <c r="N33" s="1">
        <f t="shared" si="12"/>
        <v>26</v>
      </c>
      <c r="O33" s="1">
        <v>16.0</v>
      </c>
      <c r="P33" s="25" t="str">
        <f>IFERROR(__xludf.DUMMYFUNCTION("""COMPUTED_VALUE"""),"Camera, platemaking and other prepress occupations")</f>
        <v>Camera, platemaking and other prepress occupations</v>
      </c>
      <c r="Q33" s="29">
        <f>IFERROR(__xludf.DUMMYFUNCTION("""COMPUTED_VALUE"""),0.9166666666666666)</f>
        <v>0.9166666667</v>
      </c>
      <c r="S33" s="30"/>
      <c r="T33" s="30"/>
      <c r="U33" s="30"/>
      <c r="V33" s="30"/>
      <c r="W33" s="30"/>
      <c r="X33" s="30"/>
      <c r="Y33" s="2"/>
      <c r="Z33" s="22"/>
      <c r="AA33" s="32"/>
      <c r="AB33" s="2"/>
      <c r="AC33" s="2"/>
      <c r="AD33" s="2"/>
      <c r="AE33" s="2"/>
      <c r="AF33" s="2"/>
    </row>
    <row r="34" ht="15.75" customHeight="1">
      <c r="B34" s="2">
        <v>26.0</v>
      </c>
      <c r="C34" s="11">
        <v>30.0</v>
      </c>
      <c r="D34" s="12" t="s">
        <v>27</v>
      </c>
      <c r="E34" s="12" t="s">
        <v>131</v>
      </c>
      <c r="F34" s="1">
        <f t="shared" ref="F34:J34" si="39">indirect(concatenate("Abilities-NewQOrder"&amp;"!",R$1,$N34))</f>
        <v>1</v>
      </c>
      <c r="G34" s="1" t="str">
        <f t="shared" si="39"/>
        <v/>
      </c>
      <c r="H34" s="1" t="str">
        <f t="shared" si="39"/>
        <v/>
      </c>
      <c r="I34" s="1" t="str">
        <f t="shared" si="39"/>
        <v/>
      </c>
      <c r="J34" s="1" t="str">
        <f t="shared" si="39"/>
        <v/>
      </c>
      <c r="K34" s="2"/>
      <c r="L34" s="2">
        <f t="shared" si="3"/>
        <v>1</v>
      </c>
      <c r="M34" s="2">
        <f t="shared" si="4"/>
        <v>0</v>
      </c>
      <c r="N34" s="1">
        <f t="shared" si="12"/>
        <v>30</v>
      </c>
      <c r="O34" s="1">
        <v>17.0</v>
      </c>
      <c r="P34" s="25" t="str">
        <f>IFERROR(__xludf.DUMMYFUNCTION("""COMPUTED_VALUE"""),"Cardiology technologists and electrophysiological diagnostic technologists, n.e.c.")</f>
        <v>Cardiology technologists and electrophysiological diagnostic technologists, n.e.c.</v>
      </c>
      <c r="Q34" s="29">
        <f>IFERROR(__xludf.DUMMYFUNCTION("""COMPUTED_VALUE"""),0.9166666666666666)</f>
        <v>0.9166666667</v>
      </c>
      <c r="S34" s="30"/>
      <c r="T34" s="30"/>
      <c r="U34" s="30"/>
      <c r="V34" s="30"/>
      <c r="W34" s="30"/>
      <c r="X34" s="30"/>
      <c r="Y34" s="2"/>
      <c r="Z34" s="22"/>
      <c r="AA34" s="32"/>
      <c r="AB34" s="2"/>
      <c r="AC34" s="2"/>
      <c r="AD34" s="2"/>
      <c r="AE34" s="2"/>
      <c r="AF34" s="2"/>
    </row>
    <row r="35" ht="15.75" customHeight="1">
      <c r="B35" s="2">
        <v>27.0</v>
      </c>
      <c r="C35" s="11">
        <v>31.0</v>
      </c>
      <c r="D35" s="12" t="s">
        <v>18</v>
      </c>
      <c r="E35" s="12" t="s">
        <v>132</v>
      </c>
      <c r="F35" s="1" t="str">
        <f t="shared" ref="F35:J35" si="40">indirect(concatenate("Abilities-NewQOrder"&amp;"!",R$1,$N35))</f>
        <v/>
      </c>
      <c r="G35" s="1">
        <f t="shared" si="40"/>
        <v>1</v>
      </c>
      <c r="H35" s="1" t="str">
        <f t="shared" si="40"/>
        <v/>
      </c>
      <c r="I35" s="1" t="str">
        <f t="shared" si="40"/>
        <v/>
      </c>
      <c r="J35" s="1" t="str">
        <f t="shared" si="40"/>
        <v/>
      </c>
      <c r="K35" s="2"/>
      <c r="L35" s="2">
        <f t="shared" si="3"/>
        <v>1</v>
      </c>
      <c r="M35" s="2">
        <f t="shared" si="4"/>
        <v>1</v>
      </c>
      <c r="N35" s="1">
        <f t="shared" si="12"/>
        <v>31</v>
      </c>
      <c r="O35" s="1">
        <v>18.0</v>
      </c>
      <c r="P35" s="25" t="str">
        <f>IFERROR(__xludf.DUMMYFUNCTION("""COMPUTED_VALUE"""),"Carpenters")</f>
        <v>Carpenters</v>
      </c>
      <c r="Q35" s="29">
        <f>IFERROR(__xludf.DUMMYFUNCTION("""COMPUTED_VALUE"""),0.9166666666666666)</f>
        <v>0.9166666667</v>
      </c>
      <c r="S35" s="30"/>
      <c r="T35" s="30"/>
      <c r="U35" s="30"/>
      <c r="V35" s="30"/>
      <c r="W35" s="30"/>
      <c r="X35" s="30"/>
      <c r="Y35" s="2"/>
      <c r="Z35" s="22"/>
      <c r="AA35" s="32"/>
      <c r="AB35" s="2"/>
      <c r="AC35" s="2"/>
      <c r="AD35" s="2"/>
      <c r="AE35" s="2"/>
      <c r="AF35" s="2"/>
    </row>
    <row r="36" ht="15.75" customHeight="1">
      <c r="B36" s="2">
        <v>28.0</v>
      </c>
      <c r="C36" s="11">
        <v>32.0</v>
      </c>
      <c r="D36" s="12" t="s">
        <v>24</v>
      </c>
      <c r="E36" s="12" t="s">
        <v>66</v>
      </c>
      <c r="F36" s="1" t="str">
        <f t="shared" ref="F36:J36" si="41">indirect(concatenate("Abilities-NewQOrder"&amp;"!",R$1,$N36))</f>
        <v/>
      </c>
      <c r="G36" s="1" t="str">
        <f t="shared" si="41"/>
        <v/>
      </c>
      <c r="H36" s="1">
        <f t="shared" si="41"/>
        <v>1</v>
      </c>
      <c r="I36" s="1" t="str">
        <f t="shared" si="41"/>
        <v/>
      </c>
      <c r="J36" s="1" t="str">
        <f t="shared" si="41"/>
        <v/>
      </c>
      <c r="K36" s="2"/>
      <c r="L36" s="2">
        <f t="shared" si="3"/>
        <v>1</v>
      </c>
      <c r="M36" s="2">
        <f t="shared" si="4"/>
        <v>2</v>
      </c>
      <c r="N36" s="1">
        <f t="shared" si="12"/>
        <v>32</v>
      </c>
      <c r="O36" s="1">
        <v>19.0</v>
      </c>
      <c r="P36" s="25" t="str">
        <f>IFERROR(__xludf.DUMMYFUNCTION("""COMPUTED_VALUE"""),"Construction millwrights and industrial mechanics")</f>
        <v>Construction millwrights and industrial mechanics</v>
      </c>
      <c r="Q36" s="29">
        <f>IFERROR(__xludf.DUMMYFUNCTION("""COMPUTED_VALUE"""),0.9166666666666666)</f>
        <v>0.9166666667</v>
      </c>
      <c r="S36" s="30"/>
      <c r="T36" s="30"/>
      <c r="U36" s="30"/>
      <c r="V36" s="30"/>
      <c r="W36" s="30"/>
      <c r="X36" s="30"/>
      <c r="Y36" s="2"/>
      <c r="Z36" s="22"/>
      <c r="AA36" s="32"/>
      <c r="AB36" s="2"/>
      <c r="AC36" s="2"/>
      <c r="AD36" s="2"/>
      <c r="AE36" s="2"/>
      <c r="AF36" s="2"/>
    </row>
    <row r="37" ht="15.75" customHeight="1">
      <c r="B37" s="45">
        <v>29.0</v>
      </c>
      <c r="C37" s="11">
        <v>33.0</v>
      </c>
      <c r="D37" s="12" t="s">
        <v>42</v>
      </c>
      <c r="E37" s="12" t="s">
        <v>133</v>
      </c>
      <c r="F37" s="1" t="str">
        <f t="shared" ref="F37:J37" si="42">indirect(concatenate("Abilities-NewQOrder"&amp;"!",R$1,$N37))</f>
        <v/>
      </c>
      <c r="G37" s="1" t="str">
        <f t="shared" si="42"/>
        <v/>
      </c>
      <c r="H37" s="1" t="str">
        <f t="shared" si="42"/>
        <v/>
      </c>
      <c r="I37" s="1">
        <f t="shared" si="42"/>
        <v>1</v>
      </c>
      <c r="J37" s="1" t="str">
        <f t="shared" si="42"/>
        <v/>
      </c>
      <c r="K37" s="2"/>
      <c r="L37" s="2">
        <f t="shared" si="3"/>
        <v>1</v>
      </c>
      <c r="M37" s="2">
        <f t="shared" si="4"/>
        <v>3</v>
      </c>
      <c r="N37" s="1">
        <f t="shared" si="12"/>
        <v>33</v>
      </c>
      <c r="O37" s="1">
        <v>20.0</v>
      </c>
      <c r="P37" s="25" t="str">
        <f>IFERROR(__xludf.DUMMYFUNCTION("""COMPUTED_VALUE"""),"Contractors and supervisors, carpentry trades")</f>
        <v>Contractors and supervisors, carpentry trades</v>
      </c>
      <c r="Q37" s="29">
        <f>IFERROR(__xludf.DUMMYFUNCTION("""COMPUTED_VALUE"""),0.9166666666666666)</f>
        <v>0.9166666667</v>
      </c>
      <c r="S37" s="30"/>
      <c r="T37" s="30"/>
      <c r="U37" s="30"/>
      <c r="V37" s="30"/>
      <c r="W37" s="30"/>
      <c r="X37" s="30"/>
      <c r="Y37" s="2"/>
      <c r="Z37" s="22"/>
      <c r="AA37" s="32"/>
      <c r="AB37" s="2"/>
      <c r="AC37" s="2"/>
      <c r="AD37" s="2"/>
      <c r="AE37" s="2"/>
      <c r="AF37" s="2"/>
    </row>
    <row r="38" ht="15.75" customHeight="1">
      <c r="B38" s="2">
        <v>30.0</v>
      </c>
      <c r="C38" s="11">
        <v>34.0</v>
      </c>
      <c r="D38" s="12" t="s">
        <v>33</v>
      </c>
      <c r="E38" s="12" t="s">
        <v>68</v>
      </c>
      <c r="F38" s="1" t="str">
        <f t="shared" ref="F38:J38" si="43">indirect(concatenate("Abilities-NewQOrder"&amp;"!",R$1,$N38))</f>
        <v/>
      </c>
      <c r="G38" s="1" t="str">
        <f t="shared" si="43"/>
        <v/>
      </c>
      <c r="H38" s="1" t="str">
        <f t="shared" si="43"/>
        <v/>
      </c>
      <c r="I38" s="1" t="str">
        <f t="shared" si="43"/>
        <v/>
      </c>
      <c r="J38" s="1">
        <f t="shared" si="43"/>
        <v>1</v>
      </c>
      <c r="K38" s="2"/>
      <c r="L38" s="2">
        <f t="shared" si="3"/>
        <v>1</v>
      </c>
      <c r="M38" s="2">
        <f t="shared" si="4"/>
        <v>4</v>
      </c>
      <c r="N38" s="1">
        <f t="shared" si="12"/>
        <v>34</v>
      </c>
      <c r="O38" s="1">
        <v>21.0</v>
      </c>
      <c r="P38" s="25" t="str">
        <f>IFERROR(__xludf.DUMMYFUNCTION("""COMPUTED_VALUE"""),"Contractors and supervisors, electrical trades and telecommunications occupations")</f>
        <v>Contractors and supervisors, electrical trades and telecommunications occupations</v>
      </c>
      <c r="Q38" s="29">
        <f>IFERROR(__xludf.DUMMYFUNCTION("""COMPUTED_VALUE"""),0.9166666666666666)</f>
        <v>0.9166666667</v>
      </c>
      <c r="S38" s="30"/>
      <c r="T38" s="30"/>
      <c r="U38" s="30"/>
      <c r="V38" s="30"/>
      <c r="W38" s="30"/>
      <c r="X38" s="30"/>
      <c r="Y38" s="2"/>
      <c r="Z38" s="22"/>
      <c r="AA38" s="32"/>
      <c r="AB38" s="2"/>
      <c r="AC38" s="2"/>
      <c r="AD38" s="2"/>
      <c r="AE38" s="2"/>
      <c r="AF38" s="2"/>
    </row>
    <row r="39" ht="15.75" customHeight="1">
      <c r="B39" s="45">
        <v>31.0</v>
      </c>
      <c r="C39" s="11">
        <v>35.0</v>
      </c>
      <c r="D39" s="12" t="s">
        <v>27</v>
      </c>
      <c r="E39" s="12" t="s">
        <v>134</v>
      </c>
      <c r="F39" s="1" t="str">
        <f t="shared" ref="F39:J39" si="44">indirect(concatenate("Abilities-NewQOrder"&amp;"!",R$1,$N39))</f>
        <v/>
      </c>
      <c r="G39" s="1" t="str">
        <f t="shared" si="44"/>
        <v/>
      </c>
      <c r="H39" s="1" t="str">
        <f t="shared" si="44"/>
        <v/>
      </c>
      <c r="I39" s="1" t="str">
        <f t="shared" si="44"/>
        <v/>
      </c>
      <c r="J39" s="1">
        <f t="shared" si="44"/>
        <v>1</v>
      </c>
      <c r="K39" s="2"/>
      <c r="L39" s="2">
        <f t="shared" si="3"/>
        <v>1</v>
      </c>
      <c r="M39" s="2">
        <f t="shared" si="4"/>
        <v>4</v>
      </c>
      <c r="N39" s="1">
        <f t="shared" si="12"/>
        <v>35</v>
      </c>
      <c r="O39" s="23"/>
      <c r="P39" s="22" t="str">
        <f>IFERROR(__xludf.DUMMYFUNCTION("""COMPUTED_VALUE"""),"Contractors and supervisors, heavy equipment operator crews")</f>
        <v>Contractors and supervisors, heavy equipment operator crews</v>
      </c>
      <c r="Q39" s="46">
        <f>IFERROR(__xludf.DUMMYFUNCTION("""COMPUTED_VALUE"""),0.9166666666666666)</f>
        <v>0.9166666667</v>
      </c>
      <c r="R39" s="30"/>
      <c r="S39" s="30"/>
      <c r="T39" s="30"/>
      <c r="U39" s="30"/>
      <c r="V39" s="30"/>
      <c r="W39" s="30"/>
      <c r="X39" s="30"/>
      <c r="Y39" s="2"/>
      <c r="Z39" s="22"/>
      <c r="AA39" s="32"/>
      <c r="AB39" s="2"/>
      <c r="AC39" s="2"/>
      <c r="AD39" s="2"/>
      <c r="AE39" s="2"/>
      <c r="AF39" s="2"/>
    </row>
    <row r="40" ht="15.75" customHeight="1">
      <c r="B40" s="2">
        <v>35.0</v>
      </c>
      <c r="C40" s="11">
        <v>36.0</v>
      </c>
      <c r="D40" s="12" t="s">
        <v>18</v>
      </c>
      <c r="E40" s="12" t="s">
        <v>135</v>
      </c>
      <c r="F40" s="1">
        <f t="shared" ref="F40:J40" si="45">indirect(concatenate("Abilities-NewQOrder"&amp;"!",R$1,$N40))</f>
        <v>1</v>
      </c>
      <c r="G40" s="1" t="str">
        <f t="shared" si="45"/>
        <v/>
      </c>
      <c r="H40" s="1" t="str">
        <f t="shared" si="45"/>
        <v/>
      </c>
      <c r="I40" s="1" t="str">
        <f t="shared" si="45"/>
        <v/>
      </c>
      <c r="J40" s="1" t="str">
        <f t="shared" si="45"/>
        <v/>
      </c>
      <c r="K40" s="2"/>
      <c r="L40" s="2">
        <f t="shared" si="3"/>
        <v>1</v>
      </c>
      <c r="M40" s="2">
        <f t="shared" si="4"/>
        <v>0</v>
      </c>
      <c r="N40" s="1">
        <f t="shared" si="12"/>
        <v>39</v>
      </c>
      <c r="O40" s="23"/>
      <c r="P40" s="22" t="str">
        <f>IFERROR(__xludf.DUMMYFUNCTION("""COMPUTED_VALUE"""),"Contractors and supervisors, machining, metal forming, shaping and erecting trades and related occupations")</f>
        <v>Contractors and supervisors, machining, metal forming, shaping and erecting trades and related occupations</v>
      </c>
      <c r="Q40" s="46">
        <f>IFERROR(__xludf.DUMMYFUNCTION("""COMPUTED_VALUE"""),0.9166666666666666)</f>
        <v>0.9166666667</v>
      </c>
      <c r="R40" s="30"/>
      <c r="S40" s="30"/>
      <c r="T40" s="30"/>
      <c r="U40" s="30"/>
      <c r="V40" s="30"/>
      <c r="W40" s="30"/>
      <c r="X40" s="30"/>
      <c r="Y40" s="2"/>
      <c r="Z40" s="22"/>
      <c r="AA40" s="32"/>
      <c r="AB40" s="2"/>
      <c r="AC40" s="2"/>
      <c r="AD40" s="2"/>
      <c r="AE40" s="2"/>
      <c r="AF40" s="2"/>
    </row>
    <row r="41" ht="15.75" customHeight="1">
      <c r="B41" s="2">
        <v>36.0</v>
      </c>
      <c r="C41" s="11">
        <v>37.0</v>
      </c>
      <c r="D41" s="12" t="s">
        <v>39</v>
      </c>
      <c r="E41" s="12" t="s">
        <v>74</v>
      </c>
      <c r="F41" s="1" t="str">
        <f t="shared" ref="F41:J41" si="46">indirect(concatenate("Abilities-NewQOrder"&amp;"!",R$1,$N41))</f>
        <v/>
      </c>
      <c r="G41" s="1" t="str">
        <f t="shared" si="46"/>
        <v/>
      </c>
      <c r="H41" s="1" t="str">
        <f t="shared" si="46"/>
        <v/>
      </c>
      <c r="I41" s="1" t="str">
        <f t="shared" si="46"/>
        <v/>
      </c>
      <c r="J41" s="1">
        <f t="shared" si="46"/>
        <v>1</v>
      </c>
      <c r="K41" s="2"/>
      <c r="L41" s="2">
        <f t="shared" si="3"/>
        <v>1</v>
      </c>
      <c r="M41" s="2">
        <f t="shared" si="4"/>
        <v>4</v>
      </c>
      <c r="N41" s="1">
        <f t="shared" si="12"/>
        <v>40</v>
      </c>
      <c r="O41" s="23"/>
      <c r="P41" s="22" t="str">
        <f>IFERROR(__xludf.DUMMYFUNCTION("""COMPUTED_VALUE"""),"Contractors and supervisors, mechanic trades")</f>
        <v>Contractors and supervisors, mechanic trades</v>
      </c>
      <c r="Q41" s="46">
        <f>IFERROR(__xludf.DUMMYFUNCTION("""COMPUTED_VALUE"""),0.9166666666666666)</f>
        <v>0.9166666667</v>
      </c>
      <c r="R41" s="30"/>
      <c r="S41" s="30"/>
      <c r="T41" s="30"/>
      <c r="U41" s="30"/>
      <c r="V41" s="30"/>
      <c r="W41" s="30"/>
      <c r="X41" s="30"/>
      <c r="Y41" s="2"/>
      <c r="Z41" s="22"/>
      <c r="AA41" s="32"/>
      <c r="AB41" s="2"/>
      <c r="AC41" s="2"/>
      <c r="AD41" s="2"/>
      <c r="AE41" s="2"/>
      <c r="AF41" s="2"/>
    </row>
    <row r="42" ht="15.75" customHeight="1">
      <c r="B42" s="2">
        <v>37.0</v>
      </c>
      <c r="C42" s="11">
        <v>38.0</v>
      </c>
      <c r="D42" s="12" t="s">
        <v>36</v>
      </c>
      <c r="E42" s="12" t="s">
        <v>75</v>
      </c>
      <c r="F42" s="1" t="str">
        <f t="shared" ref="F42:J42" si="47">indirect(concatenate("Abilities-NewQOrder"&amp;"!",R$1,$N42))</f>
        <v/>
      </c>
      <c r="G42" s="1" t="str">
        <f t="shared" si="47"/>
        <v/>
      </c>
      <c r="H42" s="1" t="str">
        <f t="shared" si="47"/>
        <v/>
      </c>
      <c r="I42" s="1" t="str">
        <f t="shared" si="47"/>
        <v/>
      </c>
      <c r="J42" s="1">
        <f t="shared" si="47"/>
        <v>1</v>
      </c>
      <c r="K42" s="2"/>
      <c r="L42" s="2">
        <f t="shared" si="3"/>
        <v>1</v>
      </c>
      <c r="M42" s="2">
        <f t="shared" si="4"/>
        <v>4</v>
      </c>
      <c r="N42" s="1">
        <f t="shared" si="12"/>
        <v>41</v>
      </c>
      <c r="O42" s="23"/>
      <c r="P42" s="22" t="str">
        <f>IFERROR(__xludf.DUMMYFUNCTION("""COMPUTED_VALUE"""),"Contractors and supervisors, other construction trades, installers, repairers and servicers")</f>
        <v>Contractors and supervisors, other construction trades, installers, repairers and servicers</v>
      </c>
      <c r="Q42" s="46">
        <f>IFERROR(__xludf.DUMMYFUNCTION("""COMPUTED_VALUE"""),0.9166666666666666)</f>
        <v>0.9166666667</v>
      </c>
      <c r="R42" s="30"/>
      <c r="S42" s="30"/>
      <c r="T42" s="30"/>
      <c r="U42" s="30"/>
      <c r="V42" s="30"/>
      <c r="W42" s="30"/>
      <c r="X42" s="30"/>
      <c r="Y42" s="2"/>
      <c r="Z42" s="22"/>
      <c r="AA42" s="32"/>
      <c r="AB42" s="2"/>
      <c r="AC42" s="2"/>
      <c r="AD42" s="2"/>
      <c r="AE42" s="2"/>
      <c r="AF42" s="2"/>
    </row>
    <row r="43" ht="15.75" customHeight="1">
      <c r="B43" s="2">
        <v>39.0</v>
      </c>
      <c r="C43" s="11">
        <v>39.0</v>
      </c>
      <c r="D43" s="12" t="s">
        <v>21</v>
      </c>
      <c r="E43" s="12" t="s">
        <v>77</v>
      </c>
      <c r="F43" s="1" t="str">
        <f t="shared" ref="F43:J43" si="48">indirect(concatenate("Abilities-NewQOrder"&amp;"!",R$1,$N43))</f>
        <v/>
      </c>
      <c r="G43" s="1" t="str">
        <f t="shared" si="48"/>
        <v/>
      </c>
      <c r="H43" s="1" t="str">
        <f t="shared" si="48"/>
        <v/>
      </c>
      <c r="I43" s="1" t="str">
        <f t="shared" si="48"/>
        <v/>
      </c>
      <c r="J43" s="1">
        <f t="shared" si="48"/>
        <v>1</v>
      </c>
      <c r="K43" s="2"/>
      <c r="L43" s="2">
        <f t="shared" si="3"/>
        <v>1</v>
      </c>
      <c r="M43" s="2">
        <f t="shared" si="4"/>
        <v>4</v>
      </c>
      <c r="N43" s="1">
        <f t="shared" si="12"/>
        <v>43</v>
      </c>
      <c r="O43" s="23"/>
      <c r="P43" s="22" t="str">
        <f>IFERROR(__xludf.DUMMYFUNCTION("""COMPUTED_VALUE"""),"Contractors and supervisors, pipefitting trades")</f>
        <v>Contractors and supervisors, pipefitting trades</v>
      </c>
      <c r="Q43" s="46">
        <f>IFERROR(__xludf.DUMMYFUNCTION("""COMPUTED_VALUE"""),0.9166666666666666)</f>
        <v>0.9166666667</v>
      </c>
      <c r="R43" s="30"/>
      <c r="S43" s="30"/>
      <c r="T43" s="30"/>
      <c r="U43" s="30"/>
      <c r="V43" s="30"/>
      <c r="W43" s="30"/>
      <c r="X43" s="30"/>
      <c r="Y43" s="2"/>
      <c r="Z43" s="22"/>
      <c r="AA43" s="32"/>
      <c r="AB43" s="2"/>
      <c r="AC43" s="2"/>
      <c r="AD43" s="2"/>
      <c r="AE43" s="2"/>
      <c r="AF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3"/>
      <c r="P44" s="22"/>
      <c r="Q44" s="30"/>
      <c r="R44" s="30"/>
      <c r="S44" s="30"/>
      <c r="T44" s="30"/>
      <c r="U44" s="30"/>
      <c r="V44" s="30"/>
      <c r="W44" s="30"/>
      <c r="X44" s="30"/>
      <c r="Y44" s="30"/>
      <c r="Z44" s="22"/>
      <c r="AA44" s="32"/>
      <c r="AB44" s="2"/>
      <c r="AC44" s="2"/>
      <c r="AD44" s="2"/>
      <c r="AE44" s="2"/>
      <c r="AF44" s="2"/>
    </row>
    <row r="45" ht="15.75" customHeight="1">
      <c r="A45" s="2"/>
      <c r="B45" s="1">
        <v>1.0</v>
      </c>
      <c r="C45" s="2" t="str">
        <f t="shared" ref="C45:C83" si="49">match(B45,#REF!,0)</f>
        <v>#REF!</v>
      </c>
      <c r="D45" s="2">
        <f t="shared" ref="D45:D83" si="50">countif(#REF!,B45)</f>
        <v>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3"/>
      <c r="P45" s="22"/>
      <c r="Q45" s="30"/>
      <c r="R45" s="30"/>
      <c r="S45" s="30"/>
      <c r="T45" s="30"/>
      <c r="U45" s="30"/>
      <c r="V45" s="30"/>
      <c r="W45" s="30"/>
      <c r="X45" s="30"/>
      <c r="Y45" s="30"/>
      <c r="Z45" s="22"/>
      <c r="AA45" s="32"/>
      <c r="AB45" s="2"/>
      <c r="AC45" s="2"/>
      <c r="AD45" s="2"/>
      <c r="AE45" s="2"/>
      <c r="AF45" s="2"/>
    </row>
    <row r="46" ht="15.75" customHeight="1">
      <c r="A46" s="2"/>
      <c r="B46" s="1">
        <v>2.0</v>
      </c>
      <c r="C46" s="2" t="str">
        <f t="shared" si="49"/>
        <v>#REF!</v>
      </c>
      <c r="D46" s="2">
        <f t="shared" si="50"/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3"/>
      <c r="P46" s="22"/>
      <c r="Q46" s="30"/>
      <c r="R46" s="30"/>
      <c r="S46" s="30"/>
      <c r="T46" s="30"/>
      <c r="U46" s="30"/>
      <c r="V46" s="30"/>
      <c r="W46" s="30"/>
      <c r="X46" s="30"/>
      <c r="Y46" s="30"/>
      <c r="Z46" s="22"/>
      <c r="AA46" s="32"/>
      <c r="AB46" s="2"/>
      <c r="AC46" s="2"/>
      <c r="AD46" s="2"/>
      <c r="AE46" s="2"/>
      <c r="AF46" s="2"/>
    </row>
    <row r="47" ht="15.75" customHeight="1">
      <c r="A47" s="2"/>
      <c r="B47" s="1">
        <v>3.0</v>
      </c>
      <c r="C47" s="2" t="str">
        <f t="shared" si="49"/>
        <v>#REF!</v>
      </c>
      <c r="D47" s="2">
        <f t="shared" si="50"/>
        <v>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3"/>
      <c r="P47" s="22"/>
      <c r="Q47" s="30"/>
      <c r="R47" s="30"/>
      <c r="S47" s="30"/>
      <c r="T47" s="30"/>
      <c r="U47" s="30"/>
      <c r="V47" s="30"/>
      <c r="W47" s="30"/>
      <c r="X47" s="30"/>
      <c r="Y47" s="30"/>
      <c r="Z47" s="22"/>
      <c r="AA47" s="32"/>
      <c r="AB47" s="2"/>
      <c r="AC47" s="2"/>
      <c r="AD47" s="2"/>
      <c r="AE47" s="2"/>
      <c r="AF47" s="2"/>
    </row>
    <row r="48" ht="15.75" customHeight="1">
      <c r="A48" s="2"/>
      <c r="B48" s="1">
        <v>4.0</v>
      </c>
      <c r="C48" s="2" t="str">
        <f t="shared" si="49"/>
        <v>#REF!</v>
      </c>
      <c r="D48" s="2">
        <f t="shared" si="50"/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3"/>
      <c r="P48" s="22"/>
      <c r="Q48" s="30"/>
      <c r="R48" s="30"/>
      <c r="S48" s="30"/>
      <c r="T48" s="30"/>
      <c r="U48" s="30"/>
      <c r="V48" s="30"/>
      <c r="W48" s="30"/>
      <c r="X48" s="30"/>
      <c r="Y48" s="30"/>
      <c r="Z48" s="22"/>
      <c r="AA48" s="32"/>
      <c r="AB48" s="2"/>
      <c r="AC48" s="2"/>
      <c r="AD48" s="2"/>
      <c r="AE48" s="2"/>
      <c r="AF48" s="2"/>
    </row>
    <row r="49" ht="15.75" customHeight="1">
      <c r="A49" s="2"/>
      <c r="B49" s="1">
        <v>5.0</v>
      </c>
      <c r="C49" s="2" t="str">
        <f t="shared" si="49"/>
        <v>#REF!</v>
      </c>
      <c r="D49" s="2">
        <f t="shared" si="50"/>
        <v>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3"/>
      <c r="P49" s="22"/>
      <c r="Q49" s="30"/>
      <c r="R49" s="30"/>
      <c r="S49" s="30"/>
      <c r="T49" s="30"/>
      <c r="U49" s="30"/>
      <c r="V49" s="30"/>
      <c r="W49" s="30"/>
      <c r="X49" s="30"/>
      <c r="Y49" s="30"/>
      <c r="Z49" s="22"/>
      <c r="AA49" s="32"/>
      <c r="AB49" s="2"/>
      <c r="AC49" s="2"/>
      <c r="AD49" s="2"/>
      <c r="AE49" s="2"/>
      <c r="AF49" s="2"/>
    </row>
    <row r="50" ht="15.75" customHeight="1">
      <c r="A50" s="2"/>
      <c r="B50" s="1">
        <v>6.0</v>
      </c>
      <c r="C50" s="2" t="str">
        <f t="shared" si="49"/>
        <v>#REF!</v>
      </c>
      <c r="D50" s="2">
        <f t="shared" si="50"/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3"/>
      <c r="P50" s="22"/>
      <c r="Q50" s="30"/>
      <c r="R50" s="30"/>
      <c r="S50" s="30"/>
      <c r="T50" s="30"/>
      <c r="U50" s="30"/>
      <c r="V50" s="30"/>
      <c r="W50" s="30"/>
      <c r="X50" s="30"/>
      <c r="Y50" s="30"/>
      <c r="Z50" s="22"/>
      <c r="AA50" s="32"/>
      <c r="AB50" s="2"/>
      <c r="AC50" s="2"/>
      <c r="AD50" s="2"/>
      <c r="AE50" s="2"/>
      <c r="AF50" s="2"/>
    </row>
    <row r="51" ht="15.75" customHeight="1">
      <c r="A51" s="2"/>
      <c r="B51" s="1">
        <v>7.0</v>
      </c>
      <c r="C51" s="2" t="str">
        <f t="shared" si="49"/>
        <v>#REF!</v>
      </c>
      <c r="D51" s="2">
        <f t="shared" si="50"/>
        <v>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3"/>
      <c r="P51" s="22"/>
      <c r="Q51" s="30"/>
      <c r="R51" s="30"/>
      <c r="S51" s="30"/>
      <c r="T51" s="30"/>
      <c r="U51" s="30"/>
      <c r="V51" s="30"/>
      <c r="W51" s="30"/>
      <c r="X51" s="30"/>
      <c r="Y51" s="30"/>
      <c r="Z51" s="22"/>
      <c r="AA51" s="32"/>
      <c r="AB51" s="2"/>
      <c r="AC51" s="2"/>
      <c r="AD51" s="2"/>
      <c r="AE51" s="2"/>
      <c r="AF51" s="2"/>
    </row>
    <row r="52" ht="15.75" customHeight="1">
      <c r="A52" s="2"/>
      <c r="B52" s="1">
        <v>8.0</v>
      </c>
      <c r="C52" s="2" t="str">
        <f t="shared" si="49"/>
        <v>#REF!</v>
      </c>
      <c r="D52" s="2">
        <f t="shared" si="50"/>
        <v>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3"/>
      <c r="P52" s="22"/>
      <c r="Q52" s="30"/>
      <c r="R52" s="30"/>
      <c r="S52" s="30"/>
      <c r="T52" s="30"/>
      <c r="U52" s="30"/>
      <c r="V52" s="30"/>
      <c r="W52" s="30"/>
      <c r="X52" s="30"/>
      <c r="Y52" s="30"/>
      <c r="Z52" s="22"/>
      <c r="AA52" s="32"/>
      <c r="AB52" s="2"/>
      <c r="AC52" s="2"/>
      <c r="AD52" s="2"/>
      <c r="AE52" s="2"/>
      <c r="AF52" s="2"/>
    </row>
    <row r="53" ht="15.75" customHeight="1">
      <c r="A53" s="2"/>
      <c r="B53" s="1">
        <v>9.0</v>
      </c>
      <c r="C53" s="2" t="str">
        <f t="shared" si="49"/>
        <v>#REF!</v>
      </c>
      <c r="D53" s="2">
        <f t="shared" si="50"/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3"/>
      <c r="P53" s="22"/>
      <c r="Q53" s="30"/>
      <c r="R53" s="30"/>
      <c r="S53" s="30"/>
      <c r="T53" s="30"/>
      <c r="U53" s="30"/>
      <c r="V53" s="30"/>
      <c r="W53" s="30"/>
      <c r="X53" s="30"/>
      <c r="Y53" s="30"/>
      <c r="Z53" s="22"/>
      <c r="AA53" s="32"/>
      <c r="AB53" s="2"/>
      <c r="AC53" s="2"/>
      <c r="AD53" s="2"/>
      <c r="AE53" s="2"/>
      <c r="AF53" s="2"/>
    </row>
    <row r="54" ht="15.75" customHeight="1">
      <c r="A54" s="2"/>
      <c r="B54" s="1">
        <v>10.0</v>
      </c>
      <c r="C54" s="2" t="str">
        <f t="shared" si="49"/>
        <v>#REF!</v>
      </c>
      <c r="D54" s="2">
        <f t="shared" si="50"/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3"/>
      <c r="P54" s="22"/>
      <c r="Q54" s="30"/>
      <c r="R54" s="30"/>
      <c r="S54" s="30"/>
      <c r="T54" s="30"/>
      <c r="U54" s="30"/>
      <c r="V54" s="30"/>
      <c r="W54" s="30"/>
      <c r="X54" s="30"/>
      <c r="Y54" s="30"/>
      <c r="Z54" s="22"/>
      <c r="AA54" s="32"/>
      <c r="AB54" s="2"/>
      <c r="AC54" s="2"/>
      <c r="AD54" s="2"/>
      <c r="AE54" s="2"/>
      <c r="AF54" s="2"/>
    </row>
    <row r="55" ht="15.75" customHeight="1">
      <c r="A55" s="2"/>
      <c r="B55" s="1">
        <v>11.0</v>
      </c>
      <c r="C55" s="2" t="str">
        <f t="shared" si="49"/>
        <v>#REF!</v>
      </c>
      <c r="D55" s="2">
        <f t="shared" si="50"/>
        <v>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3"/>
      <c r="P55" s="22"/>
      <c r="Q55" s="30"/>
      <c r="R55" s="30"/>
      <c r="S55" s="30"/>
      <c r="T55" s="30"/>
      <c r="U55" s="30"/>
      <c r="V55" s="30"/>
      <c r="W55" s="30"/>
      <c r="X55" s="30"/>
      <c r="Y55" s="30"/>
      <c r="Z55" s="22"/>
      <c r="AA55" s="32"/>
      <c r="AB55" s="2"/>
      <c r="AC55" s="2"/>
      <c r="AD55" s="2"/>
      <c r="AE55" s="2"/>
      <c r="AF55" s="2"/>
    </row>
    <row r="56" ht="15.75" customHeight="1">
      <c r="A56" s="2"/>
      <c r="B56" s="1">
        <v>12.0</v>
      </c>
      <c r="C56" s="2" t="str">
        <f t="shared" si="49"/>
        <v>#REF!</v>
      </c>
      <c r="D56" s="2">
        <f t="shared" si="50"/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3"/>
      <c r="P56" s="22"/>
      <c r="Q56" s="30"/>
      <c r="R56" s="30"/>
      <c r="S56" s="30"/>
      <c r="T56" s="30"/>
      <c r="U56" s="30"/>
      <c r="V56" s="30"/>
      <c r="W56" s="30"/>
      <c r="X56" s="30"/>
      <c r="Y56" s="30"/>
      <c r="Z56" s="22"/>
      <c r="AA56" s="32"/>
      <c r="AB56" s="2"/>
      <c r="AC56" s="2"/>
      <c r="AD56" s="2"/>
      <c r="AE56" s="2"/>
      <c r="AF56" s="2"/>
    </row>
    <row r="57" ht="15.75" customHeight="1">
      <c r="A57" s="2"/>
      <c r="B57" s="1">
        <v>13.0</v>
      </c>
      <c r="C57" s="2" t="str">
        <f t="shared" si="49"/>
        <v>#REF!</v>
      </c>
      <c r="D57" s="2">
        <f t="shared" si="50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3"/>
      <c r="P57" s="22"/>
      <c r="Q57" s="30"/>
      <c r="R57" s="30"/>
      <c r="S57" s="30"/>
      <c r="T57" s="30"/>
      <c r="U57" s="30"/>
      <c r="V57" s="30"/>
      <c r="W57" s="30"/>
      <c r="X57" s="30"/>
      <c r="Y57" s="30"/>
      <c r="Z57" s="22"/>
      <c r="AA57" s="32"/>
      <c r="AB57" s="2"/>
      <c r="AC57" s="2"/>
      <c r="AD57" s="2"/>
      <c r="AE57" s="2"/>
      <c r="AF57" s="2"/>
    </row>
    <row r="58" ht="15.75" customHeight="1">
      <c r="A58" s="2"/>
      <c r="B58" s="1">
        <v>14.0</v>
      </c>
      <c r="C58" s="2" t="str">
        <f t="shared" si="49"/>
        <v>#REF!</v>
      </c>
      <c r="D58" s="2">
        <f t="shared" si="50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3"/>
      <c r="P58" s="22"/>
      <c r="Q58" s="30"/>
      <c r="R58" s="30"/>
      <c r="S58" s="30"/>
      <c r="T58" s="30"/>
      <c r="U58" s="30"/>
      <c r="V58" s="30"/>
      <c r="W58" s="30"/>
      <c r="X58" s="30"/>
      <c r="Y58" s="30"/>
      <c r="Z58" s="22"/>
      <c r="AA58" s="32"/>
      <c r="AB58" s="2"/>
      <c r="AC58" s="2"/>
      <c r="AD58" s="2"/>
      <c r="AE58" s="2"/>
      <c r="AF58" s="2"/>
    </row>
    <row r="59" ht="15.75" customHeight="1">
      <c r="A59" s="2"/>
      <c r="B59" s="1">
        <v>15.0</v>
      </c>
      <c r="C59" s="2" t="str">
        <f t="shared" si="49"/>
        <v>#REF!</v>
      </c>
      <c r="D59" s="2">
        <f t="shared" si="50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3"/>
      <c r="P59" s="22"/>
      <c r="Q59" s="30"/>
      <c r="R59" s="30"/>
      <c r="S59" s="30"/>
      <c r="T59" s="30"/>
      <c r="U59" s="30"/>
      <c r="V59" s="30"/>
      <c r="W59" s="30"/>
      <c r="X59" s="30"/>
      <c r="Y59" s="30"/>
      <c r="Z59" s="22"/>
      <c r="AA59" s="32"/>
      <c r="AB59" s="2"/>
      <c r="AC59" s="2"/>
      <c r="AD59" s="2"/>
      <c r="AE59" s="2"/>
      <c r="AF59" s="2"/>
    </row>
    <row r="60" ht="15.75" customHeight="1">
      <c r="A60" s="2"/>
      <c r="B60" s="1">
        <v>16.0</v>
      </c>
      <c r="C60" s="2" t="str">
        <f t="shared" si="49"/>
        <v>#REF!</v>
      </c>
      <c r="D60" s="2">
        <f t="shared" si="50"/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3"/>
      <c r="P60" s="22"/>
      <c r="Q60" s="30"/>
      <c r="R60" s="30"/>
      <c r="S60" s="30"/>
      <c r="T60" s="30"/>
      <c r="U60" s="30"/>
      <c r="V60" s="30"/>
      <c r="W60" s="30"/>
      <c r="X60" s="30"/>
      <c r="Y60" s="30"/>
      <c r="Z60" s="22"/>
      <c r="AA60" s="32"/>
      <c r="AB60" s="2"/>
      <c r="AC60" s="2"/>
      <c r="AD60" s="2"/>
      <c r="AE60" s="2"/>
      <c r="AF60" s="2"/>
    </row>
    <row r="61" ht="15.75" customHeight="1">
      <c r="A61" s="2"/>
      <c r="B61" s="1">
        <v>17.0</v>
      </c>
      <c r="C61" s="2" t="str">
        <f t="shared" si="49"/>
        <v>#REF!</v>
      </c>
      <c r="D61" s="2">
        <f t="shared" si="50"/>
        <v>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3"/>
      <c r="P61" s="22"/>
      <c r="Q61" s="30"/>
      <c r="R61" s="30"/>
      <c r="S61" s="30"/>
      <c r="T61" s="30"/>
      <c r="U61" s="30"/>
      <c r="V61" s="30"/>
      <c r="W61" s="30"/>
      <c r="X61" s="30"/>
      <c r="Y61" s="30"/>
      <c r="Z61" s="22"/>
      <c r="AA61" s="32"/>
      <c r="AB61" s="2"/>
      <c r="AC61" s="2"/>
      <c r="AD61" s="2"/>
      <c r="AE61" s="2"/>
      <c r="AF61" s="2"/>
    </row>
    <row r="62" ht="15.75" customHeight="1">
      <c r="A62" s="2"/>
      <c r="B62" s="1">
        <v>18.0</v>
      </c>
      <c r="C62" s="2" t="str">
        <f t="shared" si="49"/>
        <v>#REF!</v>
      </c>
      <c r="D62" s="2">
        <f t="shared" si="50"/>
        <v>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3"/>
      <c r="P62" s="22"/>
      <c r="Q62" s="30"/>
      <c r="R62" s="30"/>
      <c r="S62" s="30"/>
      <c r="T62" s="30"/>
      <c r="U62" s="30"/>
      <c r="V62" s="30"/>
      <c r="W62" s="30"/>
      <c r="X62" s="30"/>
      <c r="Y62" s="30"/>
      <c r="Z62" s="22"/>
      <c r="AA62" s="32"/>
      <c r="AB62" s="2"/>
      <c r="AC62" s="2"/>
      <c r="AD62" s="2"/>
      <c r="AE62" s="2"/>
      <c r="AF62" s="2"/>
    </row>
    <row r="63" ht="15.75" customHeight="1">
      <c r="A63" s="2"/>
      <c r="B63" s="1">
        <v>19.0</v>
      </c>
      <c r="C63" s="2" t="str">
        <f t="shared" si="49"/>
        <v>#REF!</v>
      </c>
      <c r="D63" s="2">
        <f t="shared" si="50"/>
        <v>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3"/>
      <c r="P63" s="22"/>
      <c r="Q63" s="30"/>
      <c r="R63" s="30"/>
      <c r="S63" s="30"/>
      <c r="T63" s="30"/>
      <c r="U63" s="30"/>
      <c r="V63" s="30"/>
      <c r="W63" s="30"/>
      <c r="X63" s="30"/>
      <c r="Y63" s="30"/>
      <c r="Z63" s="22"/>
      <c r="AA63" s="32"/>
      <c r="AB63" s="2"/>
      <c r="AC63" s="2"/>
      <c r="AD63" s="2"/>
      <c r="AE63" s="2"/>
      <c r="AF63" s="2"/>
    </row>
    <row r="64" ht="15.75" customHeight="1">
      <c r="A64" s="2"/>
      <c r="B64" s="1">
        <v>20.0</v>
      </c>
      <c r="C64" s="2" t="str">
        <f t="shared" si="49"/>
        <v>#REF!</v>
      </c>
      <c r="D64" s="2">
        <f t="shared" si="50"/>
        <v>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3"/>
      <c r="P64" s="22"/>
      <c r="Q64" s="30"/>
      <c r="R64" s="30"/>
      <c r="S64" s="30"/>
      <c r="T64" s="30"/>
      <c r="U64" s="30"/>
      <c r="V64" s="30"/>
      <c r="W64" s="30"/>
      <c r="X64" s="30"/>
      <c r="Y64" s="30"/>
      <c r="Z64" s="22"/>
      <c r="AA64" s="32"/>
      <c r="AB64" s="2"/>
      <c r="AC64" s="2"/>
      <c r="AD64" s="2"/>
      <c r="AE64" s="2"/>
      <c r="AF64" s="2"/>
    </row>
    <row r="65" ht="15.75" customHeight="1">
      <c r="A65" s="2"/>
      <c r="B65" s="1">
        <v>21.0</v>
      </c>
      <c r="C65" s="2" t="str">
        <f t="shared" si="49"/>
        <v>#REF!</v>
      </c>
      <c r="D65" s="2">
        <f t="shared" si="50"/>
        <v>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3"/>
      <c r="P65" s="22"/>
      <c r="Q65" s="30"/>
      <c r="R65" s="30"/>
      <c r="S65" s="30"/>
      <c r="T65" s="30"/>
      <c r="U65" s="30"/>
      <c r="V65" s="30"/>
      <c r="W65" s="30"/>
      <c r="X65" s="30"/>
      <c r="Y65" s="30"/>
      <c r="Z65" s="22"/>
      <c r="AA65" s="32"/>
      <c r="AB65" s="2"/>
      <c r="AC65" s="2"/>
      <c r="AD65" s="2"/>
      <c r="AE65" s="2"/>
      <c r="AF65" s="2"/>
    </row>
    <row r="66" ht="15.75" customHeight="1">
      <c r="A66" s="2"/>
      <c r="B66" s="1">
        <v>22.0</v>
      </c>
      <c r="C66" s="2" t="str">
        <f t="shared" si="49"/>
        <v>#REF!</v>
      </c>
      <c r="D66" s="2">
        <f t="shared" si="50"/>
        <v>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3"/>
      <c r="P66" s="22"/>
      <c r="Q66" s="30"/>
      <c r="R66" s="30"/>
      <c r="S66" s="30"/>
      <c r="T66" s="30"/>
      <c r="U66" s="30"/>
      <c r="V66" s="30"/>
      <c r="W66" s="30"/>
      <c r="X66" s="30"/>
      <c r="Y66" s="30"/>
      <c r="Z66" s="22"/>
      <c r="AA66" s="32"/>
      <c r="AB66" s="2"/>
      <c r="AC66" s="2"/>
      <c r="AD66" s="2"/>
      <c r="AE66" s="2"/>
      <c r="AF66" s="2"/>
    </row>
    <row r="67" ht="15.75" customHeight="1">
      <c r="A67" s="2"/>
      <c r="B67" s="1">
        <v>23.0</v>
      </c>
      <c r="C67" s="2" t="str">
        <f t="shared" si="49"/>
        <v>#REF!</v>
      </c>
      <c r="D67" s="2">
        <f t="shared" si="50"/>
        <v>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3"/>
      <c r="P67" s="22"/>
      <c r="Q67" s="30"/>
      <c r="R67" s="30"/>
      <c r="S67" s="30"/>
      <c r="T67" s="30"/>
      <c r="U67" s="30"/>
      <c r="V67" s="30"/>
      <c r="W67" s="30"/>
      <c r="X67" s="30"/>
      <c r="Y67" s="30"/>
      <c r="Z67" s="22"/>
      <c r="AA67" s="32"/>
      <c r="AB67" s="2"/>
      <c r="AC67" s="2"/>
      <c r="AD67" s="2"/>
      <c r="AE67" s="2"/>
      <c r="AF67" s="2"/>
    </row>
    <row r="68" ht="15.75" customHeight="1">
      <c r="A68" s="2"/>
      <c r="B68" s="1">
        <v>24.0</v>
      </c>
      <c r="C68" s="2" t="str">
        <f t="shared" si="49"/>
        <v>#REF!</v>
      </c>
      <c r="D68" s="2">
        <f t="shared" si="50"/>
        <v>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3"/>
      <c r="P68" s="22"/>
      <c r="Q68" s="30"/>
      <c r="R68" s="30"/>
      <c r="S68" s="30"/>
      <c r="T68" s="30"/>
      <c r="U68" s="30"/>
      <c r="V68" s="30"/>
      <c r="W68" s="30"/>
      <c r="X68" s="30"/>
      <c r="Y68" s="30"/>
      <c r="Z68" s="22"/>
      <c r="AA68" s="32"/>
      <c r="AB68" s="2"/>
      <c r="AC68" s="2"/>
      <c r="AD68" s="2"/>
      <c r="AE68" s="2"/>
      <c r="AF68" s="2"/>
    </row>
    <row r="69" ht="15.75" customHeight="1">
      <c r="A69" s="2"/>
      <c r="B69" s="1">
        <v>25.0</v>
      </c>
      <c r="C69" s="2" t="str">
        <f t="shared" si="49"/>
        <v>#REF!</v>
      </c>
      <c r="D69" s="2">
        <f t="shared" si="50"/>
        <v>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3"/>
      <c r="P69" s="22"/>
      <c r="Q69" s="30"/>
      <c r="R69" s="30"/>
      <c r="S69" s="30"/>
      <c r="T69" s="30"/>
      <c r="U69" s="30"/>
      <c r="V69" s="30"/>
      <c r="W69" s="30"/>
      <c r="X69" s="30"/>
      <c r="Y69" s="30"/>
      <c r="Z69" s="22"/>
      <c r="AA69" s="32"/>
      <c r="AB69" s="2"/>
      <c r="AC69" s="2"/>
      <c r="AD69" s="2"/>
      <c r="AE69" s="2"/>
      <c r="AF69" s="2"/>
    </row>
    <row r="70" ht="15.75" customHeight="1">
      <c r="A70" s="2"/>
      <c r="B70" s="1">
        <v>26.0</v>
      </c>
      <c r="C70" s="2" t="str">
        <f t="shared" si="49"/>
        <v>#REF!</v>
      </c>
      <c r="D70" s="2">
        <f t="shared" si="50"/>
        <v>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3"/>
      <c r="P70" s="22"/>
      <c r="Q70" s="30"/>
      <c r="R70" s="30"/>
      <c r="S70" s="30"/>
      <c r="T70" s="30"/>
      <c r="U70" s="30"/>
      <c r="V70" s="30"/>
      <c r="W70" s="30"/>
      <c r="X70" s="30"/>
      <c r="Y70" s="30"/>
      <c r="Z70" s="22"/>
      <c r="AA70" s="32"/>
      <c r="AB70" s="2"/>
      <c r="AC70" s="2"/>
      <c r="AD70" s="2"/>
      <c r="AE70" s="2"/>
      <c r="AF70" s="2"/>
    </row>
    <row r="71" ht="15.75" customHeight="1">
      <c r="A71" s="2"/>
      <c r="B71" s="1">
        <v>27.0</v>
      </c>
      <c r="C71" s="2" t="str">
        <f t="shared" si="49"/>
        <v>#REF!</v>
      </c>
      <c r="D71" s="2">
        <f t="shared" si="50"/>
        <v>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3"/>
      <c r="P71" s="22"/>
      <c r="Q71" s="30"/>
      <c r="R71" s="30"/>
      <c r="S71" s="30"/>
      <c r="T71" s="30"/>
      <c r="U71" s="30"/>
      <c r="V71" s="30"/>
      <c r="W71" s="30"/>
      <c r="X71" s="30"/>
      <c r="Y71" s="30"/>
      <c r="Z71" s="22"/>
      <c r="AA71" s="32"/>
      <c r="AB71" s="2"/>
      <c r="AC71" s="2"/>
      <c r="AD71" s="2"/>
      <c r="AE71" s="2"/>
      <c r="AF71" s="2"/>
    </row>
    <row r="72" ht="15.75" customHeight="1">
      <c r="A72" s="2"/>
      <c r="B72" s="1">
        <v>28.0</v>
      </c>
      <c r="C72" s="2" t="str">
        <f t="shared" si="49"/>
        <v>#REF!</v>
      </c>
      <c r="D72" s="2">
        <f t="shared" si="50"/>
        <v>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3"/>
      <c r="P72" s="22"/>
      <c r="Q72" s="30"/>
      <c r="R72" s="30"/>
      <c r="S72" s="30"/>
      <c r="T72" s="30"/>
      <c r="U72" s="30"/>
      <c r="V72" s="30"/>
      <c r="W72" s="30"/>
      <c r="X72" s="30"/>
      <c r="Y72" s="30"/>
      <c r="Z72" s="22"/>
      <c r="AA72" s="32"/>
      <c r="AB72" s="2"/>
      <c r="AC72" s="2"/>
      <c r="AD72" s="2"/>
      <c r="AE72" s="2"/>
      <c r="AF72" s="2"/>
    </row>
    <row r="73" ht="15.75" customHeight="1">
      <c r="A73" s="2"/>
      <c r="B73" s="1">
        <v>29.0</v>
      </c>
      <c r="C73" s="2" t="str">
        <f t="shared" si="49"/>
        <v>#REF!</v>
      </c>
      <c r="D73" s="2">
        <f t="shared" si="50"/>
        <v>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3"/>
      <c r="P73" s="22"/>
      <c r="Q73" s="30"/>
      <c r="R73" s="30"/>
      <c r="S73" s="30"/>
      <c r="T73" s="30"/>
      <c r="U73" s="30"/>
      <c r="V73" s="30"/>
      <c r="W73" s="30"/>
      <c r="X73" s="30"/>
      <c r="Y73" s="30"/>
      <c r="Z73" s="22"/>
      <c r="AA73" s="32"/>
      <c r="AB73" s="2"/>
      <c r="AC73" s="2"/>
      <c r="AD73" s="2"/>
      <c r="AE73" s="2"/>
      <c r="AF73" s="2"/>
    </row>
    <row r="74" ht="15.75" customHeight="1">
      <c r="A74" s="2"/>
      <c r="B74" s="1">
        <v>30.0</v>
      </c>
      <c r="C74" s="2" t="str">
        <f t="shared" si="49"/>
        <v>#REF!</v>
      </c>
      <c r="D74" s="2">
        <f t="shared" si="50"/>
        <v>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3"/>
      <c r="P74" s="22"/>
      <c r="Q74" s="30"/>
      <c r="R74" s="30"/>
      <c r="S74" s="30"/>
      <c r="T74" s="30"/>
      <c r="U74" s="30"/>
      <c r="V74" s="30"/>
      <c r="W74" s="30"/>
      <c r="X74" s="30"/>
      <c r="Y74" s="30"/>
      <c r="Z74" s="22"/>
      <c r="AA74" s="32"/>
      <c r="AB74" s="2"/>
      <c r="AC74" s="2"/>
      <c r="AD74" s="2"/>
      <c r="AE74" s="2"/>
      <c r="AF74" s="2"/>
    </row>
    <row r="75" ht="15.75" customHeight="1">
      <c r="A75" s="2"/>
      <c r="B75" s="1">
        <v>31.0</v>
      </c>
      <c r="C75" s="2" t="str">
        <f t="shared" si="49"/>
        <v>#REF!</v>
      </c>
      <c r="D75" s="2">
        <f t="shared" si="50"/>
        <v>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3"/>
      <c r="P75" s="22"/>
      <c r="Q75" s="30"/>
      <c r="R75" s="30"/>
      <c r="S75" s="30"/>
      <c r="T75" s="30"/>
      <c r="U75" s="30"/>
      <c r="V75" s="30"/>
      <c r="W75" s="30"/>
      <c r="X75" s="30"/>
      <c r="Y75" s="30"/>
      <c r="Z75" s="22"/>
      <c r="AA75" s="32"/>
      <c r="AB75" s="2"/>
      <c r="AC75" s="2"/>
      <c r="AD75" s="2"/>
      <c r="AE75" s="2"/>
      <c r="AF75" s="2"/>
    </row>
    <row r="76" ht="15.75" customHeight="1">
      <c r="A76" s="2"/>
      <c r="B76" s="1">
        <v>32.0</v>
      </c>
      <c r="C76" s="2" t="str">
        <f t="shared" si="49"/>
        <v>#REF!</v>
      </c>
      <c r="D76" s="2">
        <f t="shared" si="50"/>
        <v>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3"/>
      <c r="P76" s="22"/>
      <c r="Q76" s="30"/>
      <c r="R76" s="30"/>
      <c r="S76" s="30"/>
      <c r="T76" s="30"/>
      <c r="U76" s="30"/>
      <c r="V76" s="30"/>
      <c r="W76" s="30"/>
      <c r="X76" s="30"/>
      <c r="Y76" s="30"/>
      <c r="Z76" s="22"/>
      <c r="AA76" s="32"/>
      <c r="AB76" s="2"/>
      <c r="AC76" s="2"/>
      <c r="AD76" s="2"/>
      <c r="AE76" s="2"/>
      <c r="AF76" s="2"/>
    </row>
    <row r="77" ht="15.75" customHeight="1">
      <c r="A77" s="2"/>
      <c r="B77" s="1">
        <v>33.0</v>
      </c>
      <c r="C77" s="2" t="str">
        <f t="shared" si="49"/>
        <v>#REF!</v>
      </c>
      <c r="D77" s="2">
        <f t="shared" si="50"/>
        <v>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3"/>
      <c r="P77" s="22"/>
      <c r="Q77" s="30"/>
      <c r="R77" s="30"/>
      <c r="S77" s="30"/>
      <c r="T77" s="30"/>
      <c r="U77" s="30"/>
      <c r="V77" s="30"/>
      <c r="W77" s="30"/>
      <c r="X77" s="30"/>
      <c r="Y77" s="30"/>
      <c r="Z77" s="22"/>
      <c r="AA77" s="32"/>
      <c r="AB77" s="2"/>
      <c r="AC77" s="2"/>
      <c r="AD77" s="2"/>
      <c r="AE77" s="2"/>
      <c r="AF77" s="2"/>
    </row>
    <row r="78" ht="15.75" customHeight="1">
      <c r="A78" s="2"/>
      <c r="B78" s="1">
        <v>34.0</v>
      </c>
      <c r="C78" s="2" t="str">
        <f t="shared" si="49"/>
        <v>#REF!</v>
      </c>
      <c r="D78" s="2">
        <f t="shared" si="50"/>
        <v>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3"/>
      <c r="P78" s="22"/>
      <c r="Q78" s="30"/>
      <c r="R78" s="30"/>
      <c r="S78" s="30"/>
      <c r="T78" s="30"/>
      <c r="U78" s="30"/>
      <c r="V78" s="30"/>
      <c r="W78" s="30"/>
      <c r="X78" s="30"/>
      <c r="Y78" s="30"/>
      <c r="Z78" s="22"/>
      <c r="AA78" s="32"/>
      <c r="AB78" s="2"/>
      <c r="AC78" s="2"/>
      <c r="AD78" s="2"/>
      <c r="AE78" s="2"/>
      <c r="AF78" s="2"/>
    </row>
    <row r="79" ht="15.75" customHeight="1">
      <c r="A79" s="2"/>
      <c r="B79" s="1">
        <v>35.0</v>
      </c>
      <c r="C79" s="2" t="str">
        <f t="shared" si="49"/>
        <v>#REF!</v>
      </c>
      <c r="D79" s="2">
        <f t="shared" si="50"/>
        <v>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3"/>
      <c r="P79" s="22"/>
      <c r="Q79" s="30"/>
      <c r="R79" s="30"/>
      <c r="S79" s="30"/>
      <c r="T79" s="30"/>
      <c r="U79" s="30"/>
      <c r="V79" s="30"/>
      <c r="W79" s="30"/>
      <c r="X79" s="30"/>
      <c r="Y79" s="30"/>
      <c r="Z79" s="22"/>
      <c r="AA79" s="32"/>
      <c r="AB79" s="2"/>
      <c r="AC79" s="2"/>
      <c r="AD79" s="2"/>
      <c r="AE79" s="2"/>
      <c r="AF79" s="2"/>
    </row>
    <row r="80" ht="15.75" customHeight="1">
      <c r="A80" s="2"/>
      <c r="B80" s="1">
        <v>36.0</v>
      </c>
      <c r="C80" s="2" t="str">
        <f t="shared" si="49"/>
        <v>#REF!</v>
      </c>
      <c r="D80" s="2">
        <f t="shared" si="50"/>
        <v>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3"/>
      <c r="P80" s="22"/>
      <c r="Q80" s="30"/>
      <c r="R80" s="30"/>
      <c r="S80" s="30"/>
      <c r="T80" s="30"/>
      <c r="U80" s="30"/>
      <c r="V80" s="30"/>
      <c r="W80" s="30"/>
      <c r="X80" s="30"/>
      <c r="Y80" s="30"/>
      <c r="Z80" s="22"/>
      <c r="AA80" s="32"/>
      <c r="AB80" s="2"/>
      <c r="AC80" s="2"/>
      <c r="AD80" s="2"/>
      <c r="AE80" s="2"/>
      <c r="AF80" s="2"/>
    </row>
    <row r="81" ht="15.75" customHeight="1">
      <c r="A81" s="2"/>
      <c r="B81" s="1">
        <v>37.0</v>
      </c>
      <c r="C81" s="2" t="str">
        <f t="shared" si="49"/>
        <v>#REF!</v>
      </c>
      <c r="D81" s="2">
        <f t="shared" si="50"/>
        <v>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3"/>
      <c r="P81" s="22"/>
      <c r="Q81" s="30"/>
      <c r="R81" s="30"/>
      <c r="S81" s="30"/>
      <c r="T81" s="30"/>
      <c r="U81" s="30"/>
      <c r="V81" s="30"/>
      <c r="W81" s="30"/>
      <c r="X81" s="30"/>
      <c r="Y81" s="30"/>
      <c r="Z81" s="22"/>
      <c r="AA81" s="32"/>
      <c r="AB81" s="2"/>
      <c r="AC81" s="2"/>
      <c r="AD81" s="2"/>
      <c r="AE81" s="2"/>
      <c r="AF81" s="2"/>
    </row>
    <row r="82" ht="15.75" customHeight="1">
      <c r="A82" s="2"/>
      <c r="B82" s="1">
        <v>38.0</v>
      </c>
      <c r="C82" s="2" t="str">
        <f t="shared" si="49"/>
        <v>#REF!</v>
      </c>
      <c r="D82" s="2">
        <f t="shared" si="50"/>
        <v>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3"/>
      <c r="P82" s="22"/>
      <c r="Q82" s="30"/>
      <c r="R82" s="30"/>
      <c r="S82" s="30"/>
      <c r="T82" s="30"/>
      <c r="U82" s="30"/>
      <c r="V82" s="30"/>
      <c r="W82" s="30"/>
      <c r="X82" s="30"/>
      <c r="Y82" s="30"/>
      <c r="Z82" s="22"/>
      <c r="AA82" s="32"/>
      <c r="AB82" s="2"/>
      <c r="AC82" s="2"/>
      <c r="AD82" s="2"/>
      <c r="AE82" s="2"/>
      <c r="AF82" s="2"/>
    </row>
    <row r="83" ht="15.75" customHeight="1">
      <c r="A83" s="2"/>
      <c r="B83" s="1">
        <v>39.0</v>
      </c>
      <c r="C83" s="2" t="str">
        <f t="shared" si="49"/>
        <v>#REF!</v>
      </c>
      <c r="D83" s="2">
        <f t="shared" si="50"/>
        <v>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3"/>
      <c r="P83" s="22"/>
      <c r="Q83" s="30"/>
      <c r="R83" s="30"/>
      <c r="S83" s="30"/>
      <c r="T83" s="30"/>
      <c r="U83" s="30"/>
      <c r="V83" s="30"/>
      <c r="W83" s="30"/>
      <c r="X83" s="30"/>
      <c r="Y83" s="30"/>
      <c r="Z83" s="22"/>
      <c r="AA83" s="32"/>
      <c r="AB83" s="2"/>
      <c r="AC83" s="2"/>
      <c r="AD83" s="2"/>
      <c r="AE83" s="2"/>
      <c r="AF83" s="2"/>
    </row>
    <row r="84" ht="15.75" customHeight="1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3"/>
      <c r="P84" s="22"/>
      <c r="Q84" s="30"/>
      <c r="R84" s="30"/>
      <c r="S84" s="30"/>
      <c r="T84" s="30"/>
      <c r="U84" s="30"/>
      <c r="V84" s="30"/>
      <c r="W84" s="30"/>
      <c r="X84" s="30"/>
      <c r="Y84" s="30"/>
      <c r="Z84" s="22"/>
      <c r="AA84" s="32"/>
      <c r="AB84" s="2"/>
      <c r="AC84" s="2"/>
      <c r="AD84" s="2"/>
      <c r="AE84" s="2"/>
      <c r="AF84" s="2"/>
    </row>
    <row r="85" ht="15.75" customHeight="1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3"/>
      <c r="P85" s="22"/>
      <c r="Q85" s="30"/>
      <c r="R85" s="30"/>
      <c r="S85" s="30"/>
      <c r="T85" s="30"/>
      <c r="U85" s="30"/>
      <c r="V85" s="30"/>
      <c r="W85" s="30"/>
      <c r="X85" s="30"/>
      <c r="Y85" s="30"/>
      <c r="Z85" s="22"/>
      <c r="AA85" s="32"/>
      <c r="AB85" s="2"/>
      <c r="AC85" s="2"/>
      <c r="AD85" s="2"/>
      <c r="AE85" s="2"/>
      <c r="AF85" s="2"/>
    </row>
    <row r="86" ht="15.7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3"/>
      <c r="P86" s="22"/>
      <c r="Q86" s="30"/>
      <c r="R86" s="30"/>
      <c r="S86" s="30"/>
      <c r="T86" s="30"/>
      <c r="U86" s="30"/>
      <c r="V86" s="30"/>
      <c r="W86" s="30"/>
      <c r="X86" s="30"/>
      <c r="Y86" s="30"/>
      <c r="Z86" s="22"/>
      <c r="AA86" s="32"/>
      <c r="AB86" s="2"/>
      <c r="AC86" s="2"/>
      <c r="AD86" s="2"/>
      <c r="AE86" s="2"/>
      <c r="AF86" s="2"/>
    </row>
    <row r="87" ht="15.7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3"/>
      <c r="P87" s="22"/>
      <c r="Q87" s="30"/>
      <c r="R87" s="30"/>
      <c r="S87" s="30"/>
      <c r="T87" s="30"/>
      <c r="U87" s="30"/>
      <c r="V87" s="30"/>
      <c r="W87" s="30"/>
      <c r="X87" s="30"/>
      <c r="Y87" s="30"/>
      <c r="Z87" s="22"/>
      <c r="AA87" s="32"/>
      <c r="AB87" s="2"/>
      <c r="AC87" s="2"/>
      <c r="AD87" s="2"/>
      <c r="AE87" s="2"/>
      <c r="AF87" s="2"/>
    </row>
    <row r="88" ht="15.7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3"/>
      <c r="P88" s="22"/>
      <c r="Q88" s="30"/>
      <c r="R88" s="30"/>
      <c r="S88" s="30"/>
      <c r="T88" s="30"/>
      <c r="U88" s="30"/>
      <c r="V88" s="30"/>
      <c r="W88" s="30"/>
      <c r="X88" s="30"/>
      <c r="Y88" s="30"/>
      <c r="Z88" s="22"/>
      <c r="AA88" s="32"/>
      <c r="AB88" s="2"/>
      <c r="AC88" s="2"/>
      <c r="AD88" s="2"/>
      <c r="AE88" s="2"/>
      <c r="AF88" s="2"/>
    </row>
    <row r="89" ht="15.7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3"/>
      <c r="P89" s="22"/>
      <c r="Q89" s="30"/>
      <c r="R89" s="30"/>
      <c r="S89" s="30"/>
      <c r="T89" s="30"/>
      <c r="U89" s="30"/>
      <c r="V89" s="30"/>
      <c r="W89" s="30"/>
      <c r="X89" s="30"/>
      <c r="Y89" s="30"/>
      <c r="Z89" s="22"/>
      <c r="AA89" s="32"/>
      <c r="AB89" s="2"/>
      <c r="AC89" s="2"/>
      <c r="AD89" s="2"/>
      <c r="AE89" s="2"/>
      <c r="AF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3"/>
      <c r="P90" s="22"/>
      <c r="Q90" s="30"/>
      <c r="R90" s="30"/>
      <c r="S90" s="30"/>
      <c r="T90" s="30"/>
      <c r="U90" s="30"/>
      <c r="V90" s="30"/>
      <c r="W90" s="30"/>
      <c r="X90" s="30"/>
      <c r="Y90" s="30"/>
      <c r="Z90" s="22"/>
      <c r="AA90" s="32"/>
      <c r="AB90" s="2"/>
      <c r="AC90" s="2"/>
      <c r="AD90" s="2"/>
      <c r="AE90" s="2"/>
      <c r="AF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3"/>
      <c r="P91" s="22"/>
      <c r="Q91" s="30"/>
      <c r="R91" s="30"/>
      <c r="S91" s="30"/>
      <c r="T91" s="30"/>
      <c r="U91" s="30"/>
      <c r="V91" s="30"/>
      <c r="W91" s="30"/>
      <c r="X91" s="30"/>
      <c r="Y91" s="30"/>
      <c r="Z91" s="22"/>
      <c r="AA91" s="32"/>
      <c r="AB91" s="2"/>
      <c r="AC91" s="2"/>
      <c r="AD91" s="2"/>
      <c r="AE91" s="2"/>
      <c r="AF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3"/>
      <c r="P92" s="22"/>
      <c r="Q92" s="30"/>
      <c r="R92" s="30"/>
      <c r="S92" s="30"/>
      <c r="T92" s="30"/>
      <c r="U92" s="30"/>
      <c r="V92" s="30"/>
      <c r="W92" s="30"/>
      <c r="X92" s="30"/>
      <c r="Y92" s="30"/>
      <c r="Z92" s="22"/>
      <c r="AA92" s="32"/>
      <c r="AB92" s="2"/>
      <c r="AC92" s="2"/>
      <c r="AD92" s="2"/>
      <c r="AE92" s="2"/>
      <c r="AF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3"/>
      <c r="P93" s="22"/>
      <c r="Q93" s="30"/>
      <c r="R93" s="30"/>
      <c r="S93" s="30"/>
      <c r="T93" s="30"/>
      <c r="U93" s="30"/>
      <c r="V93" s="30"/>
      <c r="W93" s="30"/>
      <c r="X93" s="30"/>
      <c r="Y93" s="30"/>
      <c r="Z93" s="22"/>
      <c r="AA93" s="32"/>
      <c r="AB93" s="2"/>
      <c r="AC93" s="2"/>
      <c r="AD93" s="2"/>
      <c r="AE93" s="2"/>
      <c r="AF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3"/>
      <c r="P94" s="22"/>
      <c r="Q94" s="30"/>
      <c r="R94" s="30"/>
      <c r="S94" s="30"/>
      <c r="T94" s="30"/>
      <c r="U94" s="30"/>
      <c r="V94" s="30"/>
      <c r="W94" s="30"/>
      <c r="X94" s="30"/>
      <c r="Y94" s="30"/>
      <c r="Z94" s="22"/>
      <c r="AA94" s="32"/>
      <c r="AB94" s="2"/>
      <c r="AC94" s="2"/>
      <c r="AD94" s="2"/>
      <c r="AE94" s="2"/>
      <c r="AF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3"/>
      <c r="P95" s="22"/>
      <c r="Q95" s="30"/>
      <c r="R95" s="30"/>
      <c r="S95" s="30"/>
      <c r="T95" s="30"/>
      <c r="U95" s="30"/>
      <c r="V95" s="30"/>
      <c r="W95" s="30"/>
      <c r="X95" s="30"/>
      <c r="Y95" s="30"/>
      <c r="Z95" s="22"/>
      <c r="AA95" s="32"/>
      <c r="AB95" s="2"/>
      <c r="AC95" s="2"/>
      <c r="AD95" s="2"/>
      <c r="AE95" s="2"/>
      <c r="AF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3"/>
      <c r="P96" s="22"/>
      <c r="Q96" s="30"/>
      <c r="R96" s="30"/>
      <c r="S96" s="30"/>
      <c r="T96" s="30"/>
      <c r="U96" s="30"/>
      <c r="V96" s="30"/>
      <c r="W96" s="30"/>
      <c r="X96" s="30"/>
      <c r="Y96" s="30"/>
      <c r="Z96" s="22"/>
      <c r="AA96" s="32"/>
      <c r="AB96" s="2"/>
      <c r="AC96" s="2"/>
      <c r="AD96" s="2"/>
      <c r="AE96" s="2"/>
      <c r="AF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3"/>
      <c r="P97" s="22"/>
      <c r="Q97" s="30"/>
      <c r="R97" s="30"/>
      <c r="S97" s="30"/>
      <c r="T97" s="30"/>
      <c r="U97" s="30"/>
      <c r="V97" s="30"/>
      <c r="W97" s="30"/>
      <c r="X97" s="30"/>
      <c r="Y97" s="30"/>
      <c r="Z97" s="22"/>
      <c r="AA97" s="32"/>
      <c r="AB97" s="2"/>
      <c r="AC97" s="2"/>
      <c r="AD97" s="2"/>
      <c r="AE97" s="2"/>
      <c r="AF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3"/>
      <c r="P98" s="22"/>
      <c r="Q98" s="30"/>
      <c r="R98" s="30"/>
      <c r="S98" s="30"/>
      <c r="T98" s="30"/>
      <c r="U98" s="30"/>
      <c r="V98" s="30"/>
      <c r="W98" s="30"/>
      <c r="X98" s="30"/>
      <c r="Y98" s="30"/>
      <c r="Z98" s="22"/>
      <c r="AA98" s="32"/>
      <c r="AB98" s="2"/>
      <c r="AC98" s="2"/>
      <c r="AD98" s="2"/>
      <c r="AE98" s="2"/>
      <c r="AF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3"/>
      <c r="P99" s="22"/>
      <c r="Q99" s="30"/>
      <c r="R99" s="30"/>
      <c r="S99" s="30"/>
      <c r="T99" s="30"/>
      <c r="U99" s="30"/>
      <c r="V99" s="30"/>
      <c r="W99" s="30"/>
      <c r="X99" s="30"/>
      <c r="Y99" s="30"/>
      <c r="Z99" s="22"/>
      <c r="AA99" s="32"/>
      <c r="AB99" s="2"/>
      <c r="AC99" s="2"/>
      <c r="AD99" s="2"/>
      <c r="AE99" s="2"/>
      <c r="AF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3"/>
      <c r="P100" s="22"/>
      <c r="Q100" s="30"/>
      <c r="R100" s="30"/>
      <c r="S100" s="30"/>
      <c r="T100" s="30"/>
      <c r="U100" s="30"/>
      <c r="V100" s="30"/>
      <c r="W100" s="30"/>
      <c r="X100" s="30"/>
      <c r="Y100" s="30"/>
      <c r="Z100" s="22"/>
      <c r="AA100" s="32"/>
      <c r="AB100" s="2"/>
      <c r="AC100" s="2"/>
      <c r="AD100" s="2"/>
      <c r="AE100" s="2"/>
      <c r="AF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3"/>
      <c r="P101" s="22"/>
      <c r="Q101" s="30"/>
      <c r="R101" s="30"/>
      <c r="S101" s="30"/>
      <c r="T101" s="30"/>
      <c r="U101" s="30"/>
      <c r="V101" s="30"/>
      <c r="W101" s="30"/>
      <c r="X101" s="30"/>
      <c r="Y101" s="30"/>
      <c r="Z101" s="22"/>
      <c r="AA101" s="32"/>
      <c r="AB101" s="2"/>
      <c r="AC101" s="2"/>
      <c r="AD101" s="2"/>
      <c r="AE101" s="2"/>
      <c r="AF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3"/>
      <c r="P102" s="22"/>
      <c r="Q102" s="30"/>
      <c r="R102" s="30"/>
      <c r="S102" s="30"/>
      <c r="T102" s="30"/>
      <c r="U102" s="30"/>
      <c r="V102" s="30"/>
      <c r="W102" s="30"/>
      <c r="X102" s="30"/>
      <c r="Y102" s="30"/>
      <c r="Z102" s="22"/>
      <c r="AA102" s="32"/>
      <c r="AB102" s="2"/>
      <c r="AC102" s="2"/>
      <c r="AD102" s="2"/>
      <c r="AE102" s="2"/>
      <c r="AF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3"/>
      <c r="P103" s="22"/>
      <c r="Q103" s="30"/>
      <c r="R103" s="30"/>
      <c r="S103" s="30"/>
      <c r="T103" s="30"/>
      <c r="U103" s="30"/>
      <c r="V103" s="30"/>
      <c r="W103" s="30"/>
      <c r="X103" s="30"/>
      <c r="Y103" s="30"/>
      <c r="Z103" s="22"/>
      <c r="AA103" s="32"/>
      <c r="AB103" s="2"/>
      <c r="AC103" s="2"/>
      <c r="AD103" s="2"/>
      <c r="AE103" s="2"/>
      <c r="AF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3"/>
      <c r="P104" s="22"/>
      <c r="Q104" s="30"/>
      <c r="R104" s="30"/>
      <c r="S104" s="30"/>
      <c r="T104" s="30"/>
      <c r="U104" s="30"/>
      <c r="V104" s="30"/>
      <c r="W104" s="30"/>
      <c r="X104" s="30"/>
      <c r="Y104" s="30"/>
      <c r="Z104" s="22"/>
      <c r="AA104" s="32"/>
      <c r="AB104" s="2"/>
      <c r="AC104" s="2"/>
      <c r="AD104" s="2"/>
      <c r="AE104" s="2"/>
      <c r="AF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3"/>
      <c r="P105" s="22"/>
      <c r="Q105" s="30"/>
      <c r="R105" s="30"/>
      <c r="S105" s="30"/>
      <c r="T105" s="30"/>
      <c r="U105" s="30"/>
      <c r="V105" s="30"/>
      <c r="W105" s="30"/>
      <c r="X105" s="30"/>
      <c r="Y105" s="30"/>
      <c r="Z105" s="22"/>
      <c r="AA105" s="32"/>
      <c r="AB105" s="2"/>
      <c r="AC105" s="2"/>
      <c r="AD105" s="2"/>
      <c r="AE105" s="2"/>
      <c r="AF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3"/>
      <c r="P106" s="22"/>
      <c r="Q106" s="30"/>
      <c r="R106" s="30"/>
      <c r="S106" s="30"/>
      <c r="T106" s="30"/>
      <c r="U106" s="30"/>
      <c r="V106" s="30"/>
      <c r="W106" s="30"/>
      <c r="X106" s="30"/>
      <c r="Y106" s="30"/>
      <c r="Z106" s="22"/>
      <c r="AA106" s="32"/>
      <c r="AB106" s="2"/>
      <c r="AC106" s="2"/>
      <c r="AD106" s="2"/>
      <c r="AE106" s="2"/>
      <c r="AF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3"/>
      <c r="P107" s="22"/>
      <c r="Q107" s="30"/>
      <c r="R107" s="30"/>
      <c r="S107" s="30"/>
      <c r="T107" s="30"/>
      <c r="U107" s="30"/>
      <c r="V107" s="30"/>
      <c r="W107" s="30"/>
      <c r="X107" s="30"/>
      <c r="Y107" s="30"/>
      <c r="Z107" s="22"/>
      <c r="AA107" s="32"/>
      <c r="AB107" s="2"/>
      <c r="AC107" s="2"/>
      <c r="AD107" s="2"/>
      <c r="AE107" s="2"/>
      <c r="AF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3"/>
      <c r="P108" s="22"/>
      <c r="Q108" s="30"/>
      <c r="R108" s="30"/>
      <c r="S108" s="30"/>
      <c r="T108" s="30"/>
      <c r="U108" s="30"/>
      <c r="V108" s="30"/>
      <c r="W108" s="30"/>
      <c r="X108" s="30"/>
      <c r="Y108" s="30"/>
      <c r="Z108" s="22"/>
      <c r="AA108" s="32"/>
      <c r="AB108" s="2"/>
      <c r="AC108" s="2"/>
      <c r="AD108" s="2"/>
      <c r="AE108" s="2"/>
      <c r="AF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3"/>
      <c r="P109" s="22"/>
      <c r="Q109" s="30"/>
      <c r="R109" s="30"/>
      <c r="S109" s="30"/>
      <c r="T109" s="30"/>
      <c r="U109" s="30"/>
      <c r="V109" s="30"/>
      <c r="W109" s="30"/>
      <c r="X109" s="30"/>
      <c r="Y109" s="30"/>
      <c r="Z109" s="22"/>
      <c r="AA109" s="32"/>
      <c r="AB109" s="2"/>
      <c r="AC109" s="2"/>
      <c r="AD109" s="2"/>
      <c r="AE109" s="2"/>
      <c r="AF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3"/>
      <c r="P110" s="22"/>
      <c r="Q110" s="30"/>
      <c r="R110" s="30"/>
      <c r="S110" s="30"/>
      <c r="T110" s="30"/>
      <c r="U110" s="30"/>
      <c r="V110" s="30"/>
      <c r="W110" s="30"/>
      <c r="X110" s="30"/>
      <c r="Y110" s="30"/>
      <c r="Z110" s="22"/>
      <c r="AA110" s="32"/>
      <c r="AB110" s="2"/>
      <c r="AC110" s="2"/>
      <c r="AD110" s="2"/>
      <c r="AE110" s="2"/>
      <c r="AF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3"/>
      <c r="P111" s="22"/>
      <c r="Q111" s="30"/>
      <c r="R111" s="30"/>
      <c r="S111" s="30"/>
      <c r="T111" s="30"/>
      <c r="U111" s="30"/>
      <c r="V111" s="30"/>
      <c r="W111" s="30"/>
      <c r="X111" s="30"/>
      <c r="Y111" s="30"/>
      <c r="Z111" s="22"/>
      <c r="AA111" s="32"/>
      <c r="AB111" s="2"/>
      <c r="AC111" s="2"/>
      <c r="AD111" s="2"/>
      <c r="AE111" s="2"/>
      <c r="AF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3"/>
      <c r="P112" s="22"/>
      <c r="Q112" s="30"/>
      <c r="R112" s="30"/>
      <c r="S112" s="30"/>
      <c r="T112" s="30"/>
      <c r="U112" s="30"/>
      <c r="V112" s="30"/>
      <c r="W112" s="30"/>
      <c r="X112" s="30"/>
      <c r="Y112" s="30"/>
      <c r="Z112" s="22"/>
      <c r="AA112" s="32"/>
      <c r="AB112" s="2"/>
      <c r="AC112" s="2"/>
      <c r="AD112" s="2"/>
      <c r="AE112" s="2"/>
      <c r="AF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3"/>
      <c r="P113" s="22"/>
      <c r="Q113" s="30"/>
      <c r="R113" s="30"/>
      <c r="S113" s="30"/>
      <c r="T113" s="30"/>
      <c r="U113" s="30"/>
      <c r="V113" s="30"/>
      <c r="W113" s="30"/>
      <c r="X113" s="30"/>
      <c r="Y113" s="30"/>
      <c r="Z113" s="22"/>
      <c r="AA113" s="32"/>
      <c r="AB113" s="2"/>
      <c r="AC113" s="2"/>
      <c r="AD113" s="2"/>
      <c r="AE113" s="2"/>
      <c r="AF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3"/>
      <c r="P114" s="22"/>
      <c r="Q114" s="30"/>
      <c r="R114" s="30"/>
      <c r="S114" s="30"/>
      <c r="T114" s="30"/>
      <c r="U114" s="30"/>
      <c r="V114" s="30"/>
      <c r="W114" s="30"/>
      <c r="X114" s="30"/>
      <c r="Y114" s="30"/>
      <c r="Z114" s="22"/>
      <c r="AA114" s="32"/>
      <c r="AB114" s="2"/>
      <c r="AC114" s="2"/>
      <c r="AD114" s="2"/>
      <c r="AE114" s="2"/>
      <c r="AF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3"/>
      <c r="P115" s="22"/>
      <c r="Q115" s="30"/>
      <c r="R115" s="30"/>
      <c r="S115" s="30"/>
      <c r="T115" s="30"/>
      <c r="U115" s="30"/>
      <c r="V115" s="30"/>
      <c r="W115" s="30"/>
      <c r="X115" s="30"/>
      <c r="Y115" s="30"/>
      <c r="Z115" s="22"/>
      <c r="AA115" s="32"/>
      <c r="AB115" s="2"/>
      <c r="AC115" s="2"/>
      <c r="AD115" s="2"/>
      <c r="AE115" s="2"/>
      <c r="AF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3"/>
      <c r="P116" s="22"/>
      <c r="Q116" s="30"/>
      <c r="R116" s="30"/>
      <c r="S116" s="30"/>
      <c r="T116" s="30"/>
      <c r="U116" s="30"/>
      <c r="V116" s="30"/>
      <c r="W116" s="30"/>
      <c r="X116" s="30"/>
      <c r="Y116" s="30"/>
      <c r="Z116" s="22"/>
      <c r="AA116" s="32"/>
      <c r="AB116" s="2"/>
      <c r="AC116" s="2"/>
      <c r="AD116" s="2"/>
      <c r="AE116" s="2"/>
      <c r="AF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3"/>
      <c r="P117" s="22"/>
      <c r="Q117" s="30"/>
      <c r="R117" s="30"/>
      <c r="S117" s="30"/>
      <c r="T117" s="30"/>
      <c r="U117" s="30"/>
      <c r="V117" s="30"/>
      <c r="W117" s="30"/>
      <c r="X117" s="30"/>
      <c r="Y117" s="30"/>
      <c r="Z117" s="22"/>
      <c r="AA117" s="32"/>
      <c r="AB117" s="2"/>
      <c r="AC117" s="2"/>
      <c r="AD117" s="2"/>
      <c r="AE117" s="2"/>
      <c r="AF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3"/>
      <c r="P118" s="22"/>
      <c r="Q118" s="30"/>
      <c r="R118" s="30"/>
      <c r="S118" s="30"/>
      <c r="T118" s="30"/>
      <c r="U118" s="30"/>
      <c r="V118" s="30"/>
      <c r="W118" s="30"/>
      <c r="X118" s="30"/>
      <c r="Y118" s="30"/>
      <c r="Z118" s="22"/>
      <c r="AA118" s="32"/>
      <c r="AB118" s="2"/>
      <c r="AC118" s="2"/>
      <c r="AD118" s="2"/>
      <c r="AE118" s="2"/>
      <c r="AF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3"/>
      <c r="P119" s="22"/>
      <c r="Q119" s="30"/>
      <c r="R119" s="30"/>
      <c r="S119" s="30"/>
      <c r="T119" s="30"/>
      <c r="U119" s="30"/>
      <c r="V119" s="30"/>
      <c r="W119" s="30"/>
      <c r="X119" s="30"/>
      <c r="Y119" s="30"/>
      <c r="Z119" s="22"/>
      <c r="AA119" s="32"/>
      <c r="AB119" s="2"/>
      <c r="AC119" s="2"/>
      <c r="AD119" s="2"/>
      <c r="AE119" s="2"/>
      <c r="AF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3"/>
      <c r="P120" s="22"/>
      <c r="Q120" s="30"/>
      <c r="R120" s="30"/>
      <c r="S120" s="30"/>
      <c r="T120" s="30"/>
      <c r="U120" s="30"/>
      <c r="V120" s="30"/>
      <c r="W120" s="30"/>
      <c r="X120" s="30"/>
      <c r="Y120" s="30"/>
      <c r="Z120" s="22"/>
      <c r="AA120" s="32"/>
      <c r="AB120" s="2"/>
      <c r="AC120" s="2"/>
      <c r="AD120" s="2"/>
      <c r="AE120" s="2"/>
      <c r="AF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3"/>
      <c r="P121" s="22"/>
      <c r="Q121" s="30"/>
      <c r="R121" s="30"/>
      <c r="S121" s="30"/>
      <c r="T121" s="30"/>
      <c r="U121" s="30"/>
      <c r="V121" s="30"/>
      <c r="W121" s="30"/>
      <c r="X121" s="30"/>
      <c r="Y121" s="30"/>
      <c r="Z121" s="22"/>
      <c r="AA121" s="32"/>
      <c r="AB121" s="2"/>
      <c r="AC121" s="2"/>
      <c r="AD121" s="2"/>
      <c r="AE121" s="2"/>
      <c r="AF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3"/>
      <c r="P122" s="22"/>
      <c r="Q122" s="30"/>
      <c r="R122" s="30"/>
      <c r="S122" s="30"/>
      <c r="T122" s="30"/>
      <c r="U122" s="30"/>
      <c r="V122" s="30"/>
      <c r="W122" s="30"/>
      <c r="X122" s="30"/>
      <c r="Y122" s="30"/>
      <c r="Z122" s="22"/>
      <c r="AA122" s="32"/>
      <c r="AB122" s="2"/>
      <c r="AC122" s="2"/>
      <c r="AD122" s="2"/>
      <c r="AE122" s="2"/>
      <c r="AF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3"/>
      <c r="P123" s="22"/>
      <c r="Q123" s="30"/>
      <c r="R123" s="30"/>
      <c r="S123" s="30"/>
      <c r="T123" s="30"/>
      <c r="U123" s="30"/>
      <c r="V123" s="30"/>
      <c r="W123" s="30"/>
      <c r="X123" s="30"/>
      <c r="Y123" s="30"/>
      <c r="Z123" s="22"/>
      <c r="AA123" s="32"/>
      <c r="AB123" s="2"/>
      <c r="AC123" s="2"/>
      <c r="AD123" s="2"/>
      <c r="AE123" s="2"/>
      <c r="AF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3"/>
      <c r="P124" s="22"/>
      <c r="Q124" s="30"/>
      <c r="R124" s="30"/>
      <c r="S124" s="30"/>
      <c r="T124" s="30"/>
      <c r="U124" s="30"/>
      <c r="V124" s="30"/>
      <c r="W124" s="30"/>
      <c r="X124" s="30"/>
      <c r="Y124" s="30"/>
      <c r="Z124" s="22"/>
      <c r="AA124" s="32"/>
      <c r="AB124" s="2"/>
      <c r="AC124" s="2"/>
      <c r="AD124" s="2"/>
      <c r="AE124" s="2"/>
      <c r="AF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3"/>
      <c r="P125" s="22"/>
      <c r="Q125" s="30"/>
      <c r="R125" s="30"/>
      <c r="S125" s="30"/>
      <c r="T125" s="30"/>
      <c r="U125" s="30"/>
      <c r="V125" s="30"/>
      <c r="W125" s="30"/>
      <c r="X125" s="30"/>
      <c r="Y125" s="30"/>
      <c r="Z125" s="22"/>
      <c r="AA125" s="32"/>
      <c r="AB125" s="2"/>
      <c r="AC125" s="2"/>
      <c r="AD125" s="2"/>
      <c r="AE125" s="2"/>
      <c r="AF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3"/>
      <c r="P126" s="22"/>
      <c r="Q126" s="30"/>
      <c r="R126" s="30"/>
      <c r="S126" s="30"/>
      <c r="T126" s="30"/>
      <c r="U126" s="30"/>
      <c r="V126" s="30"/>
      <c r="W126" s="30"/>
      <c r="X126" s="30"/>
      <c r="Y126" s="30"/>
      <c r="Z126" s="22"/>
      <c r="AA126" s="32"/>
      <c r="AB126" s="2"/>
      <c r="AC126" s="2"/>
      <c r="AD126" s="2"/>
      <c r="AE126" s="2"/>
      <c r="AF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3"/>
      <c r="P127" s="22"/>
      <c r="Q127" s="30"/>
      <c r="R127" s="30"/>
      <c r="S127" s="30"/>
      <c r="T127" s="30"/>
      <c r="U127" s="30"/>
      <c r="V127" s="30"/>
      <c r="W127" s="30"/>
      <c r="X127" s="30"/>
      <c r="Y127" s="30"/>
      <c r="Z127" s="22"/>
      <c r="AA127" s="32"/>
      <c r="AB127" s="2"/>
      <c r="AC127" s="2"/>
      <c r="AD127" s="2"/>
      <c r="AE127" s="2"/>
      <c r="AF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3"/>
      <c r="P128" s="22"/>
      <c r="Q128" s="30"/>
      <c r="R128" s="30"/>
      <c r="S128" s="30"/>
      <c r="T128" s="30"/>
      <c r="U128" s="30"/>
      <c r="V128" s="30"/>
      <c r="W128" s="30"/>
      <c r="X128" s="30"/>
      <c r="Y128" s="30"/>
      <c r="Z128" s="22"/>
      <c r="AA128" s="32"/>
      <c r="AB128" s="2"/>
      <c r="AC128" s="2"/>
      <c r="AD128" s="2"/>
      <c r="AE128" s="2"/>
      <c r="AF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3"/>
      <c r="P129" s="22"/>
      <c r="Q129" s="30"/>
      <c r="R129" s="30"/>
      <c r="S129" s="30"/>
      <c r="T129" s="30"/>
      <c r="U129" s="30"/>
      <c r="V129" s="30"/>
      <c r="W129" s="30"/>
      <c r="X129" s="30"/>
      <c r="Y129" s="30"/>
      <c r="Z129" s="22"/>
      <c r="AA129" s="32"/>
      <c r="AB129" s="2"/>
      <c r="AC129" s="2"/>
      <c r="AD129" s="2"/>
      <c r="AE129" s="2"/>
      <c r="AF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3"/>
      <c r="P130" s="22"/>
      <c r="Q130" s="30"/>
      <c r="R130" s="30"/>
      <c r="S130" s="30"/>
      <c r="T130" s="30"/>
      <c r="U130" s="30"/>
      <c r="V130" s="30"/>
      <c r="W130" s="30"/>
      <c r="X130" s="30"/>
      <c r="Y130" s="30"/>
      <c r="Z130" s="22"/>
      <c r="AA130" s="32"/>
      <c r="AB130" s="2"/>
      <c r="AC130" s="2"/>
      <c r="AD130" s="2"/>
      <c r="AE130" s="2"/>
      <c r="AF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3"/>
      <c r="P131" s="22"/>
      <c r="Q131" s="30"/>
      <c r="R131" s="30"/>
      <c r="S131" s="30"/>
      <c r="T131" s="30"/>
      <c r="U131" s="30"/>
      <c r="V131" s="30"/>
      <c r="W131" s="30"/>
      <c r="X131" s="30"/>
      <c r="Y131" s="30"/>
      <c r="Z131" s="22"/>
      <c r="AA131" s="32"/>
      <c r="AB131" s="2"/>
      <c r="AC131" s="2"/>
      <c r="AD131" s="2"/>
      <c r="AE131" s="2"/>
      <c r="AF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3"/>
      <c r="P132" s="22"/>
      <c r="Q132" s="30"/>
      <c r="R132" s="30"/>
      <c r="S132" s="30"/>
      <c r="T132" s="30"/>
      <c r="U132" s="30"/>
      <c r="V132" s="30"/>
      <c r="W132" s="30"/>
      <c r="X132" s="30"/>
      <c r="Y132" s="30"/>
      <c r="Z132" s="22"/>
      <c r="AA132" s="32"/>
      <c r="AB132" s="2"/>
      <c r="AC132" s="2"/>
      <c r="AD132" s="2"/>
      <c r="AE132" s="2"/>
      <c r="AF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3"/>
      <c r="P133" s="22"/>
      <c r="Q133" s="30"/>
      <c r="R133" s="30"/>
      <c r="S133" s="30"/>
      <c r="T133" s="30"/>
      <c r="U133" s="30"/>
      <c r="V133" s="30"/>
      <c r="W133" s="30"/>
      <c r="X133" s="30"/>
      <c r="Y133" s="30"/>
      <c r="Z133" s="22"/>
      <c r="AA133" s="32"/>
      <c r="AB133" s="2"/>
      <c r="AC133" s="2"/>
      <c r="AD133" s="2"/>
      <c r="AE133" s="2"/>
      <c r="AF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3"/>
      <c r="P134" s="22"/>
      <c r="Q134" s="30"/>
      <c r="R134" s="30"/>
      <c r="S134" s="30"/>
      <c r="T134" s="30"/>
      <c r="U134" s="30"/>
      <c r="V134" s="30"/>
      <c r="W134" s="30"/>
      <c r="X134" s="30"/>
      <c r="Y134" s="30"/>
      <c r="Z134" s="22"/>
      <c r="AA134" s="32"/>
      <c r="AB134" s="2"/>
      <c r="AC134" s="2"/>
      <c r="AD134" s="2"/>
      <c r="AE134" s="2"/>
      <c r="AF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3"/>
      <c r="P135" s="22"/>
      <c r="Q135" s="30"/>
      <c r="R135" s="30"/>
      <c r="S135" s="30"/>
      <c r="T135" s="30"/>
      <c r="U135" s="30"/>
      <c r="V135" s="30"/>
      <c r="W135" s="30"/>
      <c r="X135" s="30"/>
      <c r="Y135" s="30"/>
      <c r="Z135" s="22"/>
      <c r="AA135" s="32"/>
      <c r="AB135" s="2"/>
      <c r="AC135" s="2"/>
      <c r="AD135" s="2"/>
      <c r="AE135" s="2"/>
      <c r="AF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3"/>
      <c r="P136" s="22"/>
      <c r="Q136" s="30"/>
      <c r="R136" s="30"/>
      <c r="S136" s="30"/>
      <c r="T136" s="30"/>
      <c r="U136" s="30"/>
      <c r="V136" s="30"/>
      <c r="W136" s="30"/>
      <c r="X136" s="30"/>
      <c r="Y136" s="30"/>
      <c r="Z136" s="22"/>
      <c r="AA136" s="32"/>
      <c r="AB136" s="2"/>
      <c r="AC136" s="2"/>
      <c r="AD136" s="2"/>
      <c r="AE136" s="2"/>
      <c r="AF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3"/>
      <c r="P137" s="22"/>
      <c r="Q137" s="30"/>
      <c r="R137" s="30"/>
      <c r="S137" s="30"/>
      <c r="T137" s="30"/>
      <c r="U137" s="30"/>
      <c r="V137" s="30"/>
      <c r="W137" s="30"/>
      <c r="X137" s="30"/>
      <c r="Y137" s="30"/>
      <c r="Z137" s="22"/>
      <c r="AA137" s="32"/>
      <c r="AB137" s="2"/>
      <c r="AC137" s="2"/>
      <c r="AD137" s="2"/>
      <c r="AE137" s="2"/>
      <c r="AF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3"/>
      <c r="P138" s="22"/>
      <c r="Q138" s="30"/>
      <c r="R138" s="30"/>
      <c r="S138" s="30"/>
      <c r="T138" s="30"/>
      <c r="U138" s="30"/>
      <c r="V138" s="30"/>
      <c r="W138" s="30"/>
      <c r="X138" s="30"/>
      <c r="Y138" s="30"/>
      <c r="Z138" s="22"/>
      <c r="AA138" s="32"/>
      <c r="AB138" s="2"/>
      <c r="AC138" s="2"/>
      <c r="AD138" s="2"/>
      <c r="AE138" s="2"/>
      <c r="AF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3"/>
      <c r="P139" s="22"/>
      <c r="Q139" s="30"/>
      <c r="R139" s="30"/>
      <c r="S139" s="30"/>
      <c r="T139" s="30"/>
      <c r="U139" s="30"/>
      <c r="V139" s="30"/>
      <c r="W139" s="30"/>
      <c r="X139" s="30"/>
      <c r="Y139" s="30"/>
      <c r="Z139" s="22"/>
      <c r="AA139" s="32"/>
      <c r="AB139" s="2"/>
      <c r="AC139" s="2"/>
      <c r="AD139" s="2"/>
      <c r="AE139" s="2"/>
      <c r="AF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3"/>
      <c r="P140" s="22"/>
      <c r="Q140" s="30"/>
      <c r="R140" s="30"/>
      <c r="S140" s="30"/>
      <c r="T140" s="30"/>
      <c r="U140" s="30"/>
      <c r="V140" s="30"/>
      <c r="W140" s="30"/>
      <c r="X140" s="30"/>
      <c r="Y140" s="30"/>
      <c r="Z140" s="22"/>
      <c r="AA140" s="32"/>
      <c r="AB140" s="2"/>
      <c r="AC140" s="2"/>
      <c r="AD140" s="2"/>
      <c r="AE140" s="2"/>
      <c r="AF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3"/>
      <c r="P141" s="22"/>
      <c r="Q141" s="30"/>
      <c r="R141" s="30"/>
      <c r="S141" s="30"/>
      <c r="T141" s="30"/>
      <c r="U141" s="30"/>
      <c r="V141" s="30"/>
      <c r="W141" s="30"/>
      <c r="X141" s="30"/>
      <c r="Y141" s="30"/>
      <c r="Z141" s="22"/>
      <c r="AA141" s="32"/>
      <c r="AB141" s="2"/>
      <c r="AC141" s="2"/>
      <c r="AD141" s="2"/>
      <c r="AE141" s="2"/>
      <c r="AF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3"/>
      <c r="P142" s="22"/>
      <c r="Q142" s="30"/>
      <c r="R142" s="30"/>
      <c r="S142" s="30"/>
      <c r="T142" s="30"/>
      <c r="U142" s="30"/>
      <c r="V142" s="30"/>
      <c r="W142" s="30"/>
      <c r="X142" s="30"/>
      <c r="Y142" s="30"/>
      <c r="Z142" s="22"/>
      <c r="AA142" s="32"/>
      <c r="AB142" s="2"/>
      <c r="AC142" s="2"/>
      <c r="AD142" s="2"/>
      <c r="AE142" s="2"/>
      <c r="AF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3"/>
      <c r="P143" s="22"/>
      <c r="Q143" s="30"/>
      <c r="R143" s="30"/>
      <c r="S143" s="30"/>
      <c r="T143" s="30"/>
      <c r="U143" s="30"/>
      <c r="V143" s="30"/>
      <c r="W143" s="30"/>
      <c r="X143" s="30"/>
      <c r="Y143" s="30"/>
      <c r="Z143" s="22"/>
      <c r="AA143" s="32"/>
      <c r="AB143" s="2"/>
      <c r="AC143" s="2"/>
      <c r="AD143" s="2"/>
      <c r="AE143" s="2"/>
      <c r="AF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3"/>
      <c r="P144" s="22"/>
      <c r="Q144" s="30"/>
      <c r="R144" s="30"/>
      <c r="S144" s="30"/>
      <c r="T144" s="30"/>
      <c r="U144" s="30"/>
      <c r="V144" s="30"/>
      <c r="W144" s="30"/>
      <c r="X144" s="30"/>
      <c r="Y144" s="30"/>
      <c r="Z144" s="22"/>
      <c r="AA144" s="32"/>
      <c r="AB144" s="2"/>
      <c r="AC144" s="2"/>
      <c r="AD144" s="2"/>
      <c r="AE144" s="2"/>
      <c r="AF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3"/>
      <c r="P145" s="22"/>
      <c r="Q145" s="30"/>
      <c r="R145" s="30"/>
      <c r="S145" s="30"/>
      <c r="T145" s="30"/>
      <c r="U145" s="30"/>
      <c r="V145" s="30"/>
      <c r="W145" s="30"/>
      <c r="X145" s="30"/>
      <c r="Y145" s="30"/>
      <c r="Z145" s="22"/>
      <c r="AA145" s="32"/>
      <c r="AB145" s="2"/>
      <c r="AC145" s="2"/>
      <c r="AD145" s="2"/>
      <c r="AE145" s="2"/>
      <c r="AF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3"/>
      <c r="P146" s="22"/>
      <c r="Q146" s="30"/>
      <c r="R146" s="30"/>
      <c r="S146" s="30"/>
      <c r="T146" s="30"/>
      <c r="U146" s="30"/>
      <c r="V146" s="30"/>
      <c r="W146" s="30"/>
      <c r="X146" s="30"/>
      <c r="Y146" s="30"/>
      <c r="Z146" s="22"/>
      <c r="AA146" s="32"/>
      <c r="AB146" s="2"/>
      <c r="AC146" s="2"/>
      <c r="AD146" s="2"/>
      <c r="AE146" s="2"/>
      <c r="AF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3"/>
      <c r="P147" s="22"/>
      <c r="Q147" s="30"/>
      <c r="R147" s="30"/>
      <c r="S147" s="30"/>
      <c r="T147" s="30"/>
      <c r="U147" s="30"/>
      <c r="V147" s="30"/>
      <c r="W147" s="30"/>
      <c r="X147" s="30"/>
      <c r="Y147" s="30"/>
      <c r="Z147" s="22"/>
      <c r="AA147" s="32"/>
      <c r="AB147" s="2"/>
      <c r="AC147" s="2"/>
      <c r="AD147" s="2"/>
      <c r="AE147" s="2"/>
      <c r="AF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3"/>
      <c r="P148" s="22"/>
      <c r="Q148" s="30"/>
      <c r="R148" s="30"/>
      <c r="S148" s="30"/>
      <c r="T148" s="30"/>
      <c r="U148" s="30"/>
      <c r="V148" s="30"/>
      <c r="W148" s="30"/>
      <c r="X148" s="30"/>
      <c r="Y148" s="30"/>
      <c r="Z148" s="22"/>
      <c r="AA148" s="32"/>
      <c r="AB148" s="2"/>
      <c r="AC148" s="2"/>
      <c r="AD148" s="2"/>
      <c r="AE148" s="2"/>
      <c r="AF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3"/>
      <c r="P149" s="22"/>
      <c r="Q149" s="30"/>
      <c r="R149" s="30"/>
      <c r="S149" s="30"/>
      <c r="T149" s="30"/>
      <c r="U149" s="30"/>
      <c r="V149" s="30"/>
      <c r="W149" s="30"/>
      <c r="X149" s="30"/>
      <c r="Y149" s="30"/>
      <c r="Z149" s="22"/>
      <c r="AA149" s="32"/>
      <c r="AB149" s="2"/>
      <c r="AC149" s="2"/>
      <c r="AD149" s="2"/>
      <c r="AE149" s="2"/>
      <c r="AF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3"/>
      <c r="P150" s="22"/>
      <c r="Q150" s="30"/>
      <c r="R150" s="30"/>
      <c r="S150" s="30"/>
      <c r="T150" s="30"/>
      <c r="U150" s="30"/>
      <c r="V150" s="30"/>
      <c r="W150" s="30"/>
      <c r="X150" s="30"/>
      <c r="Y150" s="30"/>
      <c r="Z150" s="22"/>
      <c r="AA150" s="32"/>
      <c r="AB150" s="2"/>
      <c r="AC150" s="2"/>
      <c r="AD150" s="2"/>
      <c r="AE150" s="2"/>
      <c r="AF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3"/>
      <c r="P151" s="22"/>
      <c r="Q151" s="30"/>
      <c r="R151" s="30"/>
      <c r="S151" s="30"/>
      <c r="T151" s="30"/>
      <c r="U151" s="30"/>
      <c r="V151" s="30"/>
      <c r="W151" s="30"/>
      <c r="X151" s="30"/>
      <c r="Y151" s="30"/>
      <c r="Z151" s="22"/>
      <c r="AA151" s="32"/>
      <c r="AB151" s="2"/>
      <c r="AC151" s="2"/>
      <c r="AD151" s="2"/>
      <c r="AE151" s="2"/>
      <c r="AF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3"/>
      <c r="P152" s="22"/>
      <c r="Q152" s="30"/>
      <c r="R152" s="30"/>
      <c r="S152" s="30"/>
      <c r="T152" s="30"/>
      <c r="U152" s="30"/>
      <c r="V152" s="30"/>
      <c r="W152" s="30"/>
      <c r="X152" s="30"/>
      <c r="Y152" s="30"/>
      <c r="Z152" s="22"/>
      <c r="AA152" s="32"/>
      <c r="AB152" s="2"/>
      <c r="AC152" s="2"/>
      <c r="AD152" s="2"/>
      <c r="AE152" s="2"/>
      <c r="AF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3"/>
      <c r="P153" s="22"/>
      <c r="Q153" s="30"/>
      <c r="R153" s="30"/>
      <c r="S153" s="30"/>
      <c r="T153" s="30"/>
      <c r="U153" s="30"/>
      <c r="V153" s="30"/>
      <c r="W153" s="30"/>
      <c r="X153" s="30"/>
      <c r="Y153" s="30"/>
      <c r="Z153" s="22"/>
      <c r="AA153" s="32"/>
      <c r="AB153" s="2"/>
      <c r="AC153" s="2"/>
      <c r="AD153" s="2"/>
      <c r="AE153" s="2"/>
      <c r="AF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3"/>
      <c r="P154" s="22"/>
      <c r="Q154" s="30"/>
      <c r="R154" s="30"/>
      <c r="S154" s="30"/>
      <c r="T154" s="30"/>
      <c r="U154" s="30"/>
      <c r="V154" s="30"/>
      <c r="W154" s="30"/>
      <c r="X154" s="30"/>
      <c r="Y154" s="30"/>
      <c r="Z154" s="22"/>
      <c r="AA154" s="32"/>
      <c r="AB154" s="2"/>
      <c r="AC154" s="2"/>
      <c r="AD154" s="2"/>
      <c r="AE154" s="2"/>
      <c r="AF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3"/>
      <c r="P155" s="22"/>
      <c r="Q155" s="30"/>
      <c r="R155" s="30"/>
      <c r="S155" s="30"/>
      <c r="T155" s="30"/>
      <c r="U155" s="30"/>
      <c r="V155" s="30"/>
      <c r="W155" s="30"/>
      <c r="X155" s="30"/>
      <c r="Y155" s="30"/>
      <c r="Z155" s="22"/>
      <c r="AA155" s="32"/>
      <c r="AB155" s="2"/>
      <c r="AC155" s="2"/>
      <c r="AD155" s="2"/>
      <c r="AE155" s="2"/>
      <c r="AF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3"/>
      <c r="P156" s="22"/>
      <c r="Q156" s="30"/>
      <c r="R156" s="30"/>
      <c r="S156" s="30"/>
      <c r="T156" s="30"/>
      <c r="U156" s="30"/>
      <c r="V156" s="30"/>
      <c r="W156" s="30"/>
      <c r="X156" s="30"/>
      <c r="Y156" s="30"/>
      <c r="Z156" s="22"/>
      <c r="AA156" s="32"/>
      <c r="AB156" s="2"/>
      <c r="AC156" s="2"/>
      <c r="AD156" s="2"/>
      <c r="AE156" s="2"/>
      <c r="AF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3"/>
      <c r="P157" s="22"/>
      <c r="Q157" s="30"/>
      <c r="R157" s="30"/>
      <c r="S157" s="30"/>
      <c r="T157" s="30"/>
      <c r="U157" s="30"/>
      <c r="V157" s="30"/>
      <c r="W157" s="30"/>
      <c r="X157" s="30"/>
      <c r="Y157" s="30"/>
      <c r="Z157" s="22"/>
      <c r="AA157" s="32"/>
      <c r="AB157" s="2"/>
      <c r="AC157" s="2"/>
      <c r="AD157" s="2"/>
      <c r="AE157" s="2"/>
      <c r="AF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3"/>
      <c r="P158" s="22"/>
      <c r="Q158" s="30"/>
      <c r="R158" s="30"/>
      <c r="S158" s="30"/>
      <c r="T158" s="30"/>
      <c r="U158" s="30"/>
      <c r="V158" s="30"/>
      <c r="W158" s="30"/>
      <c r="X158" s="30"/>
      <c r="Y158" s="30"/>
      <c r="Z158" s="22"/>
      <c r="AA158" s="32"/>
      <c r="AB158" s="2"/>
      <c r="AC158" s="2"/>
      <c r="AD158" s="2"/>
      <c r="AE158" s="2"/>
      <c r="AF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3"/>
      <c r="P159" s="22"/>
      <c r="Q159" s="30"/>
      <c r="R159" s="30"/>
      <c r="S159" s="30"/>
      <c r="T159" s="30"/>
      <c r="U159" s="30"/>
      <c r="V159" s="30"/>
      <c r="W159" s="30"/>
      <c r="X159" s="30"/>
      <c r="Y159" s="30"/>
      <c r="Z159" s="22"/>
      <c r="AA159" s="32"/>
      <c r="AB159" s="2"/>
      <c r="AC159" s="2"/>
      <c r="AD159" s="2"/>
      <c r="AE159" s="2"/>
      <c r="AF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3"/>
      <c r="P160" s="22"/>
      <c r="Q160" s="30"/>
      <c r="R160" s="30"/>
      <c r="S160" s="30"/>
      <c r="T160" s="30"/>
      <c r="U160" s="30"/>
      <c r="V160" s="30"/>
      <c r="W160" s="30"/>
      <c r="X160" s="30"/>
      <c r="Y160" s="30"/>
      <c r="Z160" s="22"/>
      <c r="AA160" s="32"/>
      <c r="AB160" s="2"/>
      <c r="AC160" s="2"/>
      <c r="AD160" s="2"/>
      <c r="AE160" s="2"/>
      <c r="AF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3"/>
      <c r="P161" s="22"/>
      <c r="Q161" s="30"/>
      <c r="R161" s="30"/>
      <c r="S161" s="30"/>
      <c r="T161" s="30"/>
      <c r="U161" s="30"/>
      <c r="V161" s="30"/>
      <c r="W161" s="30"/>
      <c r="X161" s="30"/>
      <c r="Y161" s="30"/>
      <c r="Z161" s="22"/>
      <c r="AA161" s="32"/>
      <c r="AB161" s="2"/>
      <c r="AC161" s="2"/>
      <c r="AD161" s="2"/>
      <c r="AE161" s="2"/>
      <c r="AF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3"/>
      <c r="P162" s="22"/>
      <c r="Q162" s="30"/>
      <c r="R162" s="30"/>
      <c r="S162" s="30"/>
      <c r="T162" s="30"/>
      <c r="U162" s="30"/>
      <c r="V162" s="30"/>
      <c r="W162" s="30"/>
      <c r="X162" s="30"/>
      <c r="Y162" s="30"/>
      <c r="Z162" s="22"/>
      <c r="AA162" s="32"/>
      <c r="AB162" s="2"/>
      <c r="AC162" s="2"/>
      <c r="AD162" s="2"/>
      <c r="AE162" s="2"/>
      <c r="AF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3"/>
      <c r="P163" s="22"/>
      <c r="Q163" s="30"/>
      <c r="R163" s="30"/>
      <c r="S163" s="30"/>
      <c r="T163" s="30"/>
      <c r="U163" s="30"/>
      <c r="V163" s="30"/>
      <c r="W163" s="30"/>
      <c r="X163" s="30"/>
      <c r="Y163" s="30"/>
      <c r="Z163" s="22"/>
      <c r="AA163" s="32"/>
      <c r="AB163" s="2"/>
      <c r="AC163" s="2"/>
      <c r="AD163" s="2"/>
      <c r="AE163" s="2"/>
      <c r="AF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3"/>
      <c r="P164" s="22"/>
      <c r="Q164" s="30"/>
      <c r="R164" s="30"/>
      <c r="S164" s="30"/>
      <c r="T164" s="30"/>
      <c r="U164" s="30"/>
      <c r="V164" s="30"/>
      <c r="W164" s="30"/>
      <c r="X164" s="30"/>
      <c r="Y164" s="30"/>
      <c r="Z164" s="22"/>
      <c r="AA164" s="32"/>
      <c r="AB164" s="2"/>
      <c r="AC164" s="2"/>
      <c r="AD164" s="2"/>
      <c r="AE164" s="2"/>
      <c r="AF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3"/>
      <c r="P165" s="22"/>
      <c r="Q165" s="30"/>
      <c r="R165" s="30"/>
      <c r="S165" s="30"/>
      <c r="T165" s="30"/>
      <c r="U165" s="30"/>
      <c r="V165" s="30"/>
      <c r="W165" s="30"/>
      <c r="X165" s="30"/>
      <c r="Y165" s="30"/>
      <c r="Z165" s="22"/>
      <c r="AA165" s="32"/>
      <c r="AB165" s="2"/>
      <c r="AC165" s="2"/>
      <c r="AD165" s="2"/>
      <c r="AE165" s="2"/>
      <c r="AF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3"/>
      <c r="P166" s="22"/>
      <c r="Q166" s="30"/>
      <c r="R166" s="30"/>
      <c r="S166" s="30"/>
      <c r="T166" s="30"/>
      <c r="U166" s="30"/>
      <c r="V166" s="30"/>
      <c r="W166" s="30"/>
      <c r="X166" s="30"/>
      <c r="Y166" s="30"/>
      <c r="Z166" s="22"/>
      <c r="AA166" s="32"/>
      <c r="AB166" s="2"/>
      <c r="AC166" s="2"/>
      <c r="AD166" s="2"/>
      <c r="AE166" s="2"/>
      <c r="AF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3"/>
      <c r="P167" s="22"/>
      <c r="Q167" s="30"/>
      <c r="R167" s="30"/>
      <c r="S167" s="30"/>
      <c r="T167" s="30"/>
      <c r="U167" s="30"/>
      <c r="V167" s="30"/>
      <c r="W167" s="30"/>
      <c r="X167" s="30"/>
      <c r="Y167" s="30"/>
      <c r="Z167" s="22"/>
      <c r="AA167" s="32"/>
      <c r="AB167" s="2"/>
      <c r="AC167" s="2"/>
      <c r="AD167" s="2"/>
      <c r="AE167" s="2"/>
      <c r="AF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3"/>
      <c r="P168" s="22"/>
      <c r="Q168" s="30"/>
      <c r="R168" s="30"/>
      <c r="S168" s="30"/>
      <c r="T168" s="30"/>
      <c r="U168" s="30"/>
      <c r="V168" s="30"/>
      <c r="W168" s="30"/>
      <c r="X168" s="30"/>
      <c r="Y168" s="30"/>
      <c r="Z168" s="22"/>
      <c r="AA168" s="32"/>
      <c r="AB168" s="2"/>
      <c r="AC168" s="2"/>
      <c r="AD168" s="2"/>
      <c r="AE168" s="2"/>
      <c r="AF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3"/>
      <c r="P169" s="22"/>
      <c r="Q169" s="30"/>
      <c r="R169" s="30"/>
      <c r="S169" s="30"/>
      <c r="T169" s="30"/>
      <c r="U169" s="30"/>
      <c r="V169" s="30"/>
      <c r="W169" s="30"/>
      <c r="X169" s="30"/>
      <c r="Y169" s="30"/>
      <c r="Z169" s="22"/>
      <c r="AA169" s="32"/>
      <c r="AB169" s="2"/>
      <c r="AC169" s="2"/>
      <c r="AD169" s="2"/>
      <c r="AE169" s="2"/>
      <c r="AF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3"/>
      <c r="P170" s="22"/>
      <c r="Q170" s="30"/>
      <c r="R170" s="30"/>
      <c r="S170" s="30"/>
      <c r="T170" s="30"/>
      <c r="U170" s="30"/>
      <c r="V170" s="30"/>
      <c r="W170" s="30"/>
      <c r="X170" s="30"/>
      <c r="Y170" s="30"/>
      <c r="Z170" s="22"/>
      <c r="AA170" s="32"/>
      <c r="AB170" s="2"/>
      <c r="AC170" s="2"/>
      <c r="AD170" s="2"/>
      <c r="AE170" s="2"/>
      <c r="AF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3"/>
      <c r="P171" s="22"/>
      <c r="Q171" s="30"/>
      <c r="R171" s="30"/>
      <c r="S171" s="30"/>
      <c r="T171" s="30"/>
      <c r="U171" s="30"/>
      <c r="V171" s="30"/>
      <c r="W171" s="30"/>
      <c r="X171" s="30"/>
      <c r="Y171" s="30"/>
      <c r="Z171" s="22"/>
      <c r="AA171" s="32"/>
      <c r="AB171" s="2"/>
      <c r="AC171" s="2"/>
      <c r="AD171" s="2"/>
      <c r="AE171" s="2"/>
      <c r="AF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3"/>
      <c r="P172" s="22"/>
      <c r="Q172" s="30"/>
      <c r="R172" s="30"/>
      <c r="S172" s="30"/>
      <c r="T172" s="30"/>
      <c r="U172" s="30"/>
      <c r="V172" s="30"/>
      <c r="W172" s="30"/>
      <c r="X172" s="30"/>
      <c r="Y172" s="30"/>
      <c r="Z172" s="22"/>
      <c r="AA172" s="32"/>
      <c r="AB172" s="2"/>
      <c r="AC172" s="2"/>
      <c r="AD172" s="2"/>
      <c r="AE172" s="2"/>
      <c r="AF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3"/>
      <c r="P173" s="22"/>
      <c r="Q173" s="30"/>
      <c r="R173" s="30"/>
      <c r="S173" s="30"/>
      <c r="T173" s="30"/>
      <c r="U173" s="30"/>
      <c r="V173" s="30"/>
      <c r="W173" s="30"/>
      <c r="X173" s="30"/>
      <c r="Y173" s="30"/>
      <c r="Z173" s="22"/>
      <c r="AA173" s="32"/>
      <c r="AB173" s="2"/>
      <c r="AC173" s="2"/>
      <c r="AD173" s="2"/>
      <c r="AE173" s="2"/>
      <c r="AF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3"/>
      <c r="P174" s="22"/>
      <c r="Q174" s="30"/>
      <c r="R174" s="30"/>
      <c r="S174" s="30"/>
      <c r="T174" s="30"/>
      <c r="U174" s="30"/>
      <c r="V174" s="30"/>
      <c r="W174" s="30"/>
      <c r="X174" s="30"/>
      <c r="Y174" s="30"/>
      <c r="Z174" s="22"/>
      <c r="AA174" s="32"/>
      <c r="AB174" s="2"/>
      <c r="AC174" s="2"/>
      <c r="AD174" s="2"/>
      <c r="AE174" s="2"/>
      <c r="AF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3"/>
      <c r="P175" s="22"/>
      <c r="Q175" s="30"/>
      <c r="R175" s="30"/>
      <c r="S175" s="30"/>
      <c r="T175" s="30"/>
      <c r="U175" s="30"/>
      <c r="V175" s="30"/>
      <c r="W175" s="30"/>
      <c r="X175" s="30"/>
      <c r="Y175" s="30"/>
      <c r="Z175" s="22"/>
      <c r="AA175" s="32"/>
      <c r="AB175" s="2"/>
      <c r="AC175" s="2"/>
      <c r="AD175" s="2"/>
      <c r="AE175" s="2"/>
      <c r="AF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3"/>
      <c r="P176" s="22"/>
      <c r="Q176" s="30"/>
      <c r="R176" s="30"/>
      <c r="S176" s="30"/>
      <c r="T176" s="30"/>
      <c r="U176" s="30"/>
      <c r="V176" s="30"/>
      <c r="W176" s="30"/>
      <c r="X176" s="30"/>
      <c r="Y176" s="30"/>
      <c r="Z176" s="22"/>
      <c r="AA176" s="32"/>
      <c r="AB176" s="2"/>
      <c r="AC176" s="2"/>
      <c r="AD176" s="2"/>
      <c r="AE176" s="2"/>
      <c r="AF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3"/>
      <c r="P177" s="22"/>
      <c r="Q177" s="30"/>
      <c r="R177" s="30"/>
      <c r="S177" s="30"/>
      <c r="T177" s="30"/>
      <c r="U177" s="30"/>
      <c r="V177" s="30"/>
      <c r="W177" s="30"/>
      <c r="X177" s="30"/>
      <c r="Y177" s="30"/>
      <c r="Z177" s="22"/>
      <c r="AA177" s="32"/>
      <c r="AB177" s="2"/>
      <c r="AC177" s="2"/>
      <c r="AD177" s="2"/>
      <c r="AE177" s="2"/>
      <c r="AF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3"/>
      <c r="P178" s="22"/>
      <c r="Q178" s="30"/>
      <c r="R178" s="30"/>
      <c r="S178" s="30"/>
      <c r="T178" s="30"/>
      <c r="U178" s="30"/>
      <c r="V178" s="30"/>
      <c r="W178" s="30"/>
      <c r="X178" s="30"/>
      <c r="Y178" s="30"/>
      <c r="Z178" s="22"/>
      <c r="AA178" s="32"/>
      <c r="AB178" s="2"/>
      <c r="AC178" s="2"/>
      <c r="AD178" s="2"/>
      <c r="AE178" s="2"/>
      <c r="AF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3"/>
      <c r="P179" s="22"/>
      <c r="Q179" s="30"/>
      <c r="R179" s="30"/>
      <c r="S179" s="30"/>
      <c r="T179" s="30"/>
      <c r="U179" s="30"/>
      <c r="V179" s="30"/>
      <c r="W179" s="30"/>
      <c r="X179" s="30"/>
      <c r="Y179" s="30"/>
      <c r="Z179" s="22"/>
      <c r="AA179" s="32"/>
      <c r="AB179" s="2"/>
      <c r="AC179" s="2"/>
      <c r="AD179" s="2"/>
      <c r="AE179" s="2"/>
      <c r="AF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3"/>
      <c r="P180" s="22"/>
      <c r="Q180" s="30"/>
      <c r="R180" s="30"/>
      <c r="S180" s="30"/>
      <c r="T180" s="30"/>
      <c r="U180" s="30"/>
      <c r="V180" s="30"/>
      <c r="W180" s="30"/>
      <c r="X180" s="30"/>
      <c r="Y180" s="30"/>
      <c r="Z180" s="22"/>
      <c r="AA180" s="32"/>
      <c r="AB180" s="2"/>
      <c r="AC180" s="2"/>
      <c r="AD180" s="2"/>
      <c r="AE180" s="2"/>
      <c r="AF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3"/>
      <c r="P181" s="22"/>
      <c r="Q181" s="30"/>
      <c r="R181" s="30"/>
      <c r="S181" s="30"/>
      <c r="T181" s="30"/>
      <c r="U181" s="30"/>
      <c r="V181" s="30"/>
      <c r="W181" s="30"/>
      <c r="X181" s="30"/>
      <c r="Y181" s="30"/>
      <c r="Z181" s="22"/>
      <c r="AA181" s="32"/>
      <c r="AB181" s="2"/>
      <c r="AC181" s="2"/>
      <c r="AD181" s="2"/>
      <c r="AE181" s="2"/>
      <c r="AF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3"/>
      <c r="P182" s="22"/>
      <c r="Q182" s="30"/>
      <c r="R182" s="30"/>
      <c r="S182" s="30"/>
      <c r="T182" s="30"/>
      <c r="U182" s="30"/>
      <c r="V182" s="30"/>
      <c r="W182" s="30"/>
      <c r="X182" s="30"/>
      <c r="Y182" s="30"/>
      <c r="Z182" s="22"/>
      <c r="AA182" s="32"/>
      <c r="AB182" s="2"/>
      <c r="AC182" s="2"/>
      <c r="AD182" s="2"/>
      <c r="AE182" s="2"/>
      <c r="AF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3"/>
      <c r="P183" s="22"/>
      <c r="Q183" s="30"/>
      <c r="R183" s="30"/>
      <c r="S183" s="30"/>
      <c r="T183" s="30"/>
      <c r="U183" s="30"/>
      <c r="V183" s="30"/>
      <c r="W183" s="30"/>
      <c r="X183" s="30"/>
      <c r="Y183" s="30"/>
      <c r="Z183" s="22"/>
      <c r="AA183" s="32"/>
      <c r="AB183" s="2"/>
      <c r="AC183" s="2"/>
      <c r="AD183" s="2"/>
      <c r="AE183" s="2"/>
      <c r="AF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3"/>
      <c r="P184" s="22"/>
      <c r="Q184" s="30"/>
      <c r="R184" s="30"/>
      <c r="S184" s="30"/>
      <c r="T184" s="30"/>
      <c r="U184" s="30"/>
      <c r="V184" s="30"/>
      <c r="W184" s="30"/>
      <c r="X184" s="30"/>
      <c r="Y184" s="30"/>
      <c r="Z184" s="22"/>
      <c r="AA184" s="32"/>
      <c r="AB184" s="2"/>
      <c r="AC184" s="2"/>
      <c r="AD184" s="2"/>
      <c r="AE184" s="2"/>
      <c r="AF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3"/>
      <c r="P185" s="22"/>
      <c r="Q185" s="30"/>
      <c r="R185" s="30"/>
      <c r="S185" s="30"/>
      <c r="T185" s="30"/>
      <c r="U185" s="30"/>
      <c r="V185" s="30"/>
      <c r="W185" s="30"/>
      <c r="X185" s="30"/>
      <c r="Y185" s="30"/>
      <c r="Z185" s="22"/>
      <c r="AA185" s="32"/>
      <c r="AB185" s="2"/>
      <c r="AC185" s="2"/>
      <c r="AD185" s="2"/>
      <c r="AE185" s="2"/>
      <c r="AF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3"/>
      <c r="P186" s="22"/>
      <c r="Q186" s="30"/>
      <c r="R186" s="30"/>
      <c r="S186" s="30"/>
      <c r="T186" s="30"/>
      <c r="U186" s="30"/>
      <c r="V186" s="30"/>
      <c r="W186" s="30"/>
      <c r="X186" s="30"/>
      <c r="Y186" s="30"/>
      <c r="Z186" s="22"/>
      <c r="AA186" s="32"/>
      <c r="AB186" s="2"/>
      <c r="AC186" s="2"/>
      <c r="AD186" s="2"/>
      <c r="AE186" s="2"/>
      <c r="AF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3"/>
      <c r="P187" s="22"/>
      <c r="Q187" s="30"/>
      <c r="R187" s="30"/>
      <c r="S187" s="30"/>
      <c r="T187" s="30"/>
      <c r="U187" s="30"/>
      <c r="V187" s="30"/>
      <c r="W187" s="30"/>
      <c r="X187" s="30"/>
      <c r="Y187" s="30"/>
      <c r="Z187" s="22"/>
      <c r="AA187" s="32"/>
      <c r="AB187" s="2"/>
      <c r="AC187" s="2"/>
      <c r="AD187" s="2"/>
      <c r="AE187" s="2"/>
      <c r="AF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3"/>
      <c r="P188" s="22"/>
      <c r="Q188" s="30"/>
      <c r="R188" s="30"/>
      <c r="S188" s="30"/>
      <c r="T188" s="30"/>
      <c r="U188" s="30"/>
      <c r="V188" s="30"/>
      <c r="W188" s="30"/>
      <c r="X188" s="30"/>
      <c r="Y188" s="30"/>
      <c r="Z188" s="22"/>
      <c r="AA188" s="32"/>
      <c r="AB188" s="2"/>
      <c r="AC188" s="2"/>
      <c r="AD188" s="2"/>
      <c r="AE188" s="2"/>
      <c r="AF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3"/>
      <c r="P189" s="22"/>
      <c r="Q189" s="30"/>
      <c r="R189" s="30"/>
      <c r="S189" s="30"/>
      <c r="T189" s="30"/>
      <c r="U189" s="30"/>
      <c r="V189" s="30"/>
      <c r="W189" s="30"/>
      <c r="X189" s="30"/>
      <c r="Y189" s="30"/>
      <c r="Z189" s="22"/>
      <c r="AA189" s="32"/>
      <c r="AB189" s="2"/>
      <c r="AC189" s="2"/>
      <c r="AD189" s="2"/>
      <c r="AE189" s="2"/>
      <c r="AF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3"/>
      <c r="P190" s="22"/>
      <c r="Q190" s="30"/>
      <c r="R190" s="30"/>
      <c r="S190" s="30"/>
      <c r="T190" s="30"/>
      <c r="U190" s="30"/>
      <c r="V190" s="30"/>
      <c r="W190" s="30"/>
      <c r="X190" s="30"/>
      <c r="Y190" s="30"/>
      <c r="Z190" s="22"/>
      <c r="AA190" s="32"/>
      <c r="AB190" s="2"/>
      <c r="AC190" s="2"/>
      <c r="AD190" s="2"/>
      <c r="AE190" s="2"/>
      <c r="AF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3"/>
      <c r="P191" s="22"/>
      <c r="Q191" s="30"/>
      <c r="R191" s="30"/>
      <c r="S191" s="30"/>
      <c r="T191" s="30"/>
      <c r="U191" s="30"/>
      <c r="V191" s="30"/>
      <c r="W191" s="30"/>
      <c r="X191" s="30"/>
      <c r="Y191" s="30"/>
      <c r="Z191" s="22"/>
      <c r="AA191" s="32"/>
      <c r="AB191" s="2"/>
      <c r="AC191" s="2"/>
      <c r="AD191" s="2"/>
      <c r="AE191" s="2"/>
      <c r="AF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3"/>
      <c r="P192" s="22"/>
      <c r="Q192" s="30"/>
      <c r="R192" s="30"/>
      <c r="S192" s="30"/>
      <c r="T192" s="30"/>
      <c r="U192" s="30"/>
      <c r="V192" s="30"/>
      <c r="W192" s="30"/>
      <c r="X192" s="30"/>
      <c r="Y192" s="30"/>
      <c r="Z192" s="22"/>
      <c r="AA192" s="32"/>
      <c r="AB192" s="2"/>
      <c r="AC192" s="2"/>
      <c r="AD192" s="2"/>
      <c r="AE192" s="2"/>
      <c r="AF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3"/>
      <c r="P193" s="22"/>
      <c r="Q193" s="30"/>
      <c r="R193" s="30"/>
      <c r="S193" s="30"/>
      <c r="T193" s="30"/>
      <c r="U193" s="30"/>
      <c r="V193" s="30"/>
      <c r="W193" s="30"/>
      <c r="X193" s="30"/>
      <c r="Y193" s="30"/>
      <c r="Z193" s="22"/>
      <c r="AA193" s="32"/>
      <c r="AB193" s="2"/>
      <c r="AC193" s="2"/>
      <c r="AD193" s="2"/>
      <c r="AE193" s="2"/>
      <c r="AF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3"/>
      <c r="P194" s="22"/>
      <c r="Q194" s="30"/>
      <c r="R194" s="30"/>
      <c r="S194" s="30"/>
      <c r="T194" s="30"/>
      <c r="U194" s="30"/>
      <c r="V194" s="30"/>
      <c r="W194" s="30"/>
      <c r="X194" s="30"/>
      <c r="Y194" s="30"/>
      <c r="Z194" s="22"/>
      <c r="AA194" s="32"/>
      <c r="AB194" s="2"/>
      <c r="AC194" s="2"/>
      <c r="AD194" s="2"/>
      <c r="AE194" s="2"/>
      <c r="AF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3"/>
      <c r="P195" s="22"/>
      <c r="Q195" s="30"/>
      <c r="R195" s="30"/>
      <c r="S195" s="30"/>
      <c r="T195" s="30"/>
      <c r="U195" s="30"/>
      <c r="V195" s="30"/>
      <c r="W195" s="30"/>
      <c r="X195" s="30"/>
      <c r="Y195" s="30"/>
      <c r="Z195" s="22"/>
      <c r="AA195" s="32"/>
      <c r="AB195" s="2"/>
      <c r="AC195" s="2"/>
      <c r="AD195" s="2"/>
      <c r="AE195" s="2"/>
      <c r="AF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3"/>
      <c r="P196" s="22"/>
      <c r="Q196" s="30"/>
      <c r="R196" s="30"/>
      <c r="S196" s="30"/>
      <c r="T196" s="30"/>
      <c r="U196" s="30"/>
      <c r="V196" s="30"/>
      <c r="W196" s="30"/>
      <c r="X196" s="30"/>
      <c r="Y196" s="30"/>
      <c r="Z196" s="22"/>
      <c r="AA196" s="32"/>
      <c r="AB196" s="2"/>
      <c r="AC196" s="2"/>
      <c r="AD196" s="2"/>
      <c r="AE196" s="2"/>
      <c r="AF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3"/>
      <c r="P197" s="22"/>
      <c r="Q197" s="30"/>
      <c r="R197" s="30"/>
      <c r="S197" s="30"/>
      <c r="T197" s="30"/>
      <c r="U197" s="30"/>
      <c r="V197" s="30"/>
      <c r="W197" s="30"/>
      <c r="X197" s="30"/>
      <c r="Y197" s="30"/>
      <c r="Z197" s="22"/>
      <c r="AA197" s="32"/>
      <c r="AB197" s="2"/>
      <c r="AC197" s="2"/>
      <c r="AD197" s="2"/>
      <c r="AE197" s="2"/>
      <c r="AF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3"/>
      <c r="P198" s="22"/>
      <c r="Q198" s="30"/>
      <c r="R198" s="30"/>
      <c r="S198" s="30"/>
      <c r="T198" s="30"/>
      <c r="U198" s="30"/>
      <c r="V198" s="30"/>
      <c r="W198" s="30"/>
      <c r="X198" s="30"/>
      <c r="Y198" s="30"/>
      <c r="Z198" s="22"/>
      <c r="AA198" s="32"/>
      <c r="AB198" s="2"/>
      <c r="AC198" s="2"/>
      <c r="AD198" s="2"/>
      <c r="AE198" s="2"/>
      <c r="AF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3"/>
      <c r="P199" s="22"/>
      <c r="Q199" s="30"/>
      <c r="R199" s="30"/>
      <c r="S199" s="30"/>
      <c r="T199" s="30"/>
      <c r="U199" s="30"/>
      <c r="V199" s="30"/>
      <c r="W199" s="30"/>
      <c r="X199" s="30"/>
      <c r="Y199" s="30"/>
      <c r="Z199" s="22"/>
      <c r="AA199" s="32"/>
      <c r="AB199" s="2"/>
      <c r="AC199" s="2"/>
      <c r="AD199" s="2"/>
      <c r="AE199" s="2"/>
      <c r="AF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3"/>
      <c r="P200" s="22"/>
      <c r="Q200" s="30"/>
      <c r="R200" s="30"/>
      <c r="S200" s="30"/>
      <c r="T200" s="30"/>
      <c r="U200" s="30"/>
      <c r="V200" s="30"/>
      <c r="W200" s="30"/>
      <c r="X200" s="30"/>
      <c r="Y200" s="30"/>
      <c r="Z200" s="22"/>
      <c r="AA200" s="32"/>
      <c r="AB200" s="2"/>
      <c r="AC200" s="2"/>
      <c r="AD200" s="2"/>
      <c r="AE200" s="2"/>
      <c r="AF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3"/>
      <c r="P201" s="22"/>
      <c r="Q201" s="30"/>
      <c r="R201" s="30"/>
      <c r="S201" s="30"/>
      <c r="T201" s="30"/>
      <c r="U201" s="30"/>
      <c r="V201" s="30"/>
      <c r="W201" s="30"/>
      <c r="X201" s="30"/>
      <c r="Y201" s="30"/>
      <c r="Z201" s="22"/>
      <c r="AA201" s="32"/>
      <c r="AB201" s="2"/>
      <c r="AC201" s="2"/>
      <c r="AD201" s="2"/>
      <c r="AE201" s="2"/>
      <c r="AF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3"/>
      <c r="P202" s="22"/>
      <c r="Q202" s="30"/>
      <c r="R202" s="30"/>
      <c r="S202" s="30"/>
      <c r="T202" s="30"/>
      <c r="U202" s="30"/>
      <c r="V202" s="30"/>
      <c r="W202" s="30"/>
      <c r="X202" s="30"/>
      <c r="Y202" s="30"/>
      <c r="Z202" s="22"/>
      <c r="AA202" s="32"/>
      <c r="AB202" s="2"/>
      <c r="AC202" s="2"/>
      <c r="AD202" s="2"/>
      <c r="AE202" s="2"/>
      <c r="AF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3"/>
      <c r="P203" s="22"/>
      <c r="Q203" s="30"/>
      <c r="R203" s="30"/>
      <c r="S203" s="30"/>
      <c r="T203" s="30"/>
      <c r="U203" s="30"/>
      <c r="V203" s="30"/>
      <c r="W203" s="30"/>
      <c r="X203" s="30"/>
      <c r="Y203" s="30"/>
      <c r="Z203" s="22"/>
      <c r="AA203" s="32"/>
      <c r="AB203" s="2"/>
      <c r="AC203" s="2"/>
      <c r="AD203" s="2"/>
      <c r="AE203" s="2"/>
      <c r="AF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3"/>
      <c r="P204" s="22"/>
      <c r="Q204" s="30"/>
      <c r="R204" s="30"/>
      <c r="S204" s="30"/>
      <c r="T204" s="30"/>
      <c r="U204" s="30"/>
      <c r="V204" s="30"/>
      <c r="W204" s="30"/>
      <c r="X204" s="30"/>
      <c r="Y204" s="30"/>
      <c r="Z204" s="22"/>
      <c r="AA204" s="32"/>
      <c r="AB204" s="2"/>
      <c r="AC204" s="2"/>
      <c r="AD204" s="2"/>
      <c r="AE204" s="2"/>
      <c r="AF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3"/>
      <c r="P205" s="22"/>
      <c r="Q205" s="30"/>
      <c r="R205" s="30"/>
      <c r="S205" s="30"/>
      <c r="T205" s="30"/>
      <c r="U205" s="30"/>
      <c r="V205" s="30"/>
      <c r="W205" s="30"/>
      <c r="X205" s="30"/>
      <c r="Y205" s="30"/>
      <c r="Z205" s="22"/>
      <c r="AA205" s="32"/>
      <c r="AB205" s="2"/>
      <c r="AC205" s="2"/>
      <c r="AD205" s="2"/>
      <c r="AE205" s="2"/>
      <c r="AF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3"/>
      <c r="P206" s="22"/>
      <c r="Q206" s="30"/>
      <c r="R206" s="30"/>
      <c r="S206" s="30"/>
      <c r="T206" s="30"/>
      <c r="U206" s="30"/>
      <c r="V206" s="30"/>
      <c r="W206" s="30"/>
      <c r="X206" s="30"/>
      <c r="Y206" s="30"/>
      <c r="Z206" s="22"/>
      <c r="AA206" s="32"/>
      <c r="AB206" s="2"/>
      <c r="AC206" s="2"/>
      <c r="AD206" s="2"/>
      <c r="AE206" s="2"/>
      <c r="AF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3"/>
      <c r="P207" s="22"/>
      <c r="Q207" s="30"/>
      <c r="R207" s="30"/>
      <c r="S207" s="30"/>
      <c r="T207" s="30"/>
      <c r="U207" s="30"/>
      <c r="V207" s="30"/>
      <c r="W207" s="30"/>
      <c r="X207" s="30"/>
      <c r="Y207" s="30"/>
      <c r="Z207" s="22"/>
      <c r="AA207" s="32"/>
      <c r="AB207" s="2"/>
      <c r="AC207" s="2"/>
      <c r="AD207" s="2"/>
      <c r="AE207" s="2"/>
      <c r="AF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3"/>
      <c r="P208" s="22"/>
      <c r="Q208" s="30"/>
      <c r="R208" s="30"/>
      <c r="S208" s="30"/>
      <c r="T208" s="30"/>
      <c r="U208" s="30"/>
      <c r="V208" s="30"/>
      <c r="W208" s="30"/>
      <c r="X208" s="30"/>
      <c r="Y208" s="30"/>
      <c r="Z208" s="22"/>
      <c r="AA208" s="32"/>
      <c r="AB208" s="2"/>
      <c r="AC208" s="2"/>
      <c r="AD208" s="2"/>
      <c r="AE208" s="2"/>
      <c r="AF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3"/>
      <c r="P209" s="22"/>
      <c r="Q209" s="30"/>
      <c r="R209" s="30"/>
      <c r="S209" s="30"/>
      <c r="T209" s="30"/>
      <c r="U209" s="30"/>
      <c r="V209" s="30"/>
      <c r="W209" s="30"/>
      <c r="X209" s="30"/>
      <c r="Y209" s="30"/>
      <c r="Z209" s="22"/>
      <c r="AA209" s="32"/>
      <c r="AB209" s="2"/>
      <c r="AC209" s="2"/>
      <c r="AD209" s="2"/>
      <c r="AE209" s="2"/>
      <c r="AF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3"/>
      <c r="P210" s="22"/>
      <c r="Q210" s="30"/>
      <c r="R210" s="30"/>
      <c r="S210" s="30"/>
      <c r="T210" s="30"/>
      <c r="U210" s="30"/>
      <c r="V210" s="30"/>
      <c r="W210" s="30"/>
      <c r="X210" s="30"/>
      <c r="Y210" s="30"/>
      <c r="Z210" s="22"/>
      <c r="AA210" s="32"/>
      <c r="AB210" s="2"/>
      <c r="AC210" s="2"/>
      <c r="AD210" s="2"/>
      <c r="AE210" s="2"/>
      <c r="AF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3"/>
      <c r="P211" s="22"/>
      <c r="Q211" s="30"/>
      <c r="R211" s="30"/>
      <c r="S211" s="30"/>
      <c r="T211" s="30"/>
      <c r="U211" s="30"/>
      <c r="V211" s="30"/>
      <c r="W211" s="30"/>
      <c r="X211" s="30"/>
      <c r="Y211" s="30"/>
      <c r="Z211" s="22"/>
      <c r="AA211" s="32"/>
      <c r="AB211" s="2"/>
      <c r="AC211" s="2"/>
      <c r="AD211" s="2"/>
      <c r="AE211" s="2"/>
      <c r="AF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3"/>
      <c r="P212" s="22"/>
      <c r="Q212" s="30"/>
      <c r="R212" s="30"/>
      <c r="S212" s="30"/>
      <c r="T212" s="30"/>
      <c r="U212" s="30"/>
      <c r="V212" s="30"/>
      <c r="W212" s="30"/>
      <c r="X212" s="30"/>
      <c r="Y212" s="30"/>
      <c r="Z212" s="22"/>
      <c r="AA212" s="32"/>
      <c r="AB212" s="2"/>
      <c r="AC212" s="2"/>
      <c r="AD212" s="2"/>
      <c r="AE212" s="2"/>
      <c r="AF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3"/>
      <c r="P213" s="22"/>
      <c r="Q213" s="30"/>
      <c r="R213" s="30"/>
      <c r="S213" s="30"/>
      <c r="T213" s="30"/>
      <c r="U213" s="30"/>
      <c r="V213" s="30"/>
      <c r="W213" s="30"/>
      <c r="X213" s="30"/>
      <c r="Y213" s="30"/>
      <c r="Z213" s="22"/>
      <c r="AA213" s="32"/>
      <c r="AB213" s="2"/>
      <c r="AC213" s="2"/>
      <c r="AD213" s="2"/>
      <c r="AE213" s="2"/>
      <c r="AF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3"/>
      <c r="P214" s="22"/>
      <c r="Q214" s="30"/>
      <c r="R214" s="30"/>
      <c r="S214" s="30"/>
      <c r="T214" s="30"/>
      <c r="U214" s="30"/>
      <c r="V214" s="30"/>
      <c r="W214" s="30"/>
      <c r="X214" s="30"/>
      <c r="Y214" s="30"/>
      <c r="Z214" s="22"/>
      <c r="AA214" s="32"/>
      <c r="AB214" s="2"/>
      <c r="AC214" s="2"/>
      <c r="AD214" s="2"/>
      <c r="AE214" s="2"/>
      <c r="AF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3"/>
      <c r="P215" s="22"/>
      <c r="Q215" s="30"/>
      <c r="R215" s="30"/>
      <c r="S215" s="30"/>
      <c r="T215" s="30"/>
      <c r="U215" s="30"/>
      <c r="V215" s="30"/>
      <c r="W215" s="30"/>
      <c r="X215" s="30"/>
      <c r="Y215" s="30"/>
      <c r="Z215" s="22"/>
      <c r="AA215" s="32"/>
      <c r="AB215" s="2"/>
      <c r="AC215" s="2"/>
      <c r="AD215" s="2"/>
      <c r="AE215" s="2"/>
      <c r="AF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3"/>
      <c r="P216" s="22"/>
      <c r="Q216" s="30"/>
      <c r="R216" s="30"/>
      <c r="S216" s="30"/>
      <c r="T216" s="30"/>
      <c r="U216" s="30"/>
      <c r="V216" s="30"/>
      <c r="W216" s="30"/>
      <c r="X216" s="30"/>
      <c r="Y216" s="30"/>
      <c r="Z216" s="22"/>
      <c r="AA216" s="32"/>
      <c r="AB216" s="2"/>
      <c r="AC216" s="2"/>
      <c r="AD216" s="2"/>
      <c r="AE216" s="2"/>
      <c r="AF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3"/>
      <c r="P217" s="22"/>
      <c r="Q217" s="30"/>
      <c r="R217" s="30"/>
      <c r="S217" s="30"/>
      <c r="T217" s="30"/>
      <c r="U217" s="30"/>
      <c r="V217" s="30"/>
      <c r="W217" s="30"/>
      <c r="X217" s="30"/>
      <c r="Y217" s="30"/>
      <c r="Z217" s="22"/>
      <c r="AA217" s="32"/>
      <c r="AB217" s="2"/>
      <c r="AC217" s="2"/>
      <c r="AD217" s="2"/>
      <c r="AE217" s="2"/>
      <c r="AF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3"/>
      <c r="P218" s="22"/>
      <c r="Q218" s="30"/>
      <c r="R218" s="30"/>
      <c r="S218" s="30"/>
      <c r="T218" s="30"/>
      <c r="U218" s="30"/>
      <c r="V218" s="30"/>
      <c r="W218" s="30"/>
      <c r="X218" s="30"/>
      <c r="Y218" s="30"/>
      <c r="Z218" s="22"/>
      <c r="AA218" s="32"/>
      <c r="AB218" s="2"/>
      <c r="AC218" s="2"/>
      <c r="AD218" s="2"/>
      <c r="AE218" s="2"/>
      <c r="AF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3"/>
      <c r="P219" s="22"/>
      <c r="Q219" s="30"/>
      <c r="R219" s="30"/>
      <c r="S219" s="30"/>
      <c r="T219" s="30"/>
      <c r="U219" s="30"/>
      <c r="V219" s="30"/>
      <c r="W219" s="30"/>
      <c r="X219" s="30"/>
      <c r="Y219" s="30"/>
      <c r="Z219" s="22"/>
      <c r="AA219" s="32"/>
      <c r="AB219" s="2"/>
      <c r="AC219" s="2"/>
      <c r="AD219" s="2"/>
      <c r="AE219" s="2"/>
      <c r="AF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3"/>
      <c r="P220" s="22"/>
      <c r="Q220" s="30"/>
      <c r="R220" s="30"/>
      <c r="S220" s="30"/>
      <c r="T220" s="30"/>
      <c r="U220" s="30"/>
      <c r="V220" s="30"/>
      <c r="W220" s="30"/>
      <c r="X220" s="30"/>
      <c r="Y220" s="30"/>
      <c r="Z220" s="22"/>
      <c r="AA220" s="32"/>
      <c r="AB220" s="2"/>
      <c r="AC220" s="2"/>
      <c r="AD220" s="2"/>
      <c r="AE220" s="2"/>
      <c r="AF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3"/>
      <c r="P221" s="22"/>
      <c r="Q221" s="30"/>
      <c r="R221" s="30"/>
      <c r="S221" s="30"/>
      <c r="T221" s="30"/>
      <c r="U221" s="30"/>
      <c r="V221" s="30"/>
      <c r="W221" s="30"/>
      <c r="X221" s="30"/>
      <c r="Y221" s="30"/>
      <c r="Z221" s="22"/>
      <c r="AA221" s="32"/>
      <c r="AB221" s="2"/>
      <c r="AC221" s="2"/>
      <c r="AD221" s="2"/>
      <c r="AE221" s="2"/>
      <c r="AF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3"/>
      <c r="P222" s="22"/>
      <c r="Q222" s="30"/>
      <c r="R222" s="30"/>
      <c r="S222" s="30"/>
      <c r="T222" s="30"/>
      <c r="U222" s="30"/>
      <c r="V222" s="30"/>
      <c r="W222" s="30"/>
      <c r="X222" s="30"/>
      <c r="Y222" s="30"/>
      <c r="Z222" s="22"/>
      <c r="AA222" s="32"/>
      <c r="AB222" s="2"/>
      <c r="AC222" s="2"/>
      <c r="AD222" s="2"/>
      <c r="AE222" s="2"/>
      <c r="AF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3"/>
      <c r="P223" s="22"/>
      <c r="Q223" s="30"/>
      <c r="R223" s="30"/>
      <c r="S223" s="30"/>
      <c r="T223" s="30"/>
      <c r="U223" s="30"/>
      <c r="V223" s="30"/>
      <c r="W223" s="30"/>
      <c r="X223" s="30"/>
      <c r="Y223" s="30"/>
      <c r="Z223" s="22"/>
      <c r="AA223" s="32"/>
      <c r="AB223" s="2"/>
      <c r="AC223" s="2"/>
      <c r="AD223" s="2"/>
      <c r="AE223" s="2"/>
      <c r="AF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3"/>
      <c r="P224" s="22"/>
      <c r="Q224" s="30"/>
      <c r="R224" s="30"/>
      <c r="S224" s="30"/>
      <c r="T224" s="30"/>
      <c r="U224" s="30"/>
      <c r="V224" s="30"/>
      <c r="W224" s="30"/>
      <c r="X224" s="30"/>
      <c r="Y224" s="30"/>
      <c r="Z224" s="22"/>
      <c r="AA224" s="32"/>
      <c r="AB224" s="2"/>
      <c r="AC224" s="2"/>
      <c r="AD224" s="2"/>
      <c r="AE224" s="2"/>
      <c r="AF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3"/>
      <c r="P225" s="22"/>
      <c r="Q225" s="30"/>
      <c r="R225" s="30"/>
      <c r="S225" s="30"/>
      <c r="T225" s="30"/>
      <c r="U225" s="30"/>
      <c r="V225" s="30"/>
      <c r="W225" s="30"/>
      <c r="X225" s="30"/>
      <c r="Y225" s="30"/>
      <c r="Z225" s="22"/>
      <c r="AA225" s="32"/>
      <c r="AB225" s="2"/>
      <c r="AC225" s="2"/>
      <c r="AD225" s="2"/>
      <c r="AE225" s="2"/>
      <c r="AF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3"/>
      <c r="P226" s="22"/>
      <c r="Q226" s="30"/>
      <c r="R226" s="30"/>
      <c r="S226" s="30"/>
      <c r="T226" s="30"/>
      <c r="U226" s="30"/>
      <c r="V226" s="30"/>
      <c r="W226" s="30"/>
      <c r="X226" s="30"/>
      <c r="Y226" s="30"/>
      <c r="Z226" s="22"/>
      <c r="AA226" s="32"/>
      <c r="AB226" s="2"/>
      <c r="AC226" s="2"/>
      <c r="AD226" s="2"/>
      <c r="AE226" s="2"/>
      <c r="AF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3"/>
      <c r="P227" s="22"/>
      <c r="Q227" s="30"/>
      <c r="R227" s="30"/>
      <c r="S227" s="30"/>
      <c r="T227" s="30"/>
      <c r="U227" s="30"/>
      <c r="V227" s="30"/>
      <c r="W227" s="30"/>
      <c r="X227" s="30"/>
      <c r="Y227" s="30"/>
      <c r="Z227" s="22"/>
      <c r="AA227" s="32"/>
      <c r="AB227" s="2"/>
      <c r="AC227" s="2"/>
      <c r="AD227" s="2"/>
      <c r="AE227" s="2"/>
      <c r="AF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3"/>
      <c r="P228" s="22"/>
      <c r="Q228" s="30"/>
      <c r="R228" s="30"/>
      <c r="S228" s="30"/>
      <c r="T228" s="30"/>
      <c r="U228" s="30"/>
      <c r="V228" s="30"/>
      <c r="W228" s="30"/>
      <c r="X228" s="30"/>
      <c r="Y228" s="30"/>
      <c r="Z228" s="22"/>
      <c r="AA228" s="32"/>
      <c r="AB228" s="2"/>
      <c r="AC228" s="2"/>
      <c r="AD228" s="2"/>
      <c r="AE228" s="2"/>
      <c r="AF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3"/>
      <c r="P229" s="22"/>
      <c r="Q229" s="30"/>
      <c r="R229" s="30"/>
      <c r="S229" s="30"/>
      <c r="T229" s="30"/>
      <c r="U229" s="30"/>
      <c r="V229" s="30"/>
      <c r="W229" s="30"/>
      <c r="X229" s="30"/>
      <c r="Y229" s="30"/>
      <c r="Z229" s="22"/>
      <c r="AA229" s="32"/>
      <c r="AB229" s="2"/>
      <c r="AC229" s="2"/>
      <c r="AD229" s="2"/>
      <c r="AE229" s="2"/>
      <c r="AF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3"/>
      <c r="P230" s="22"/>
      <c r="Q230" s="30"/>
      <c r="R230" s="30"/>
      <c r="S230" s="30"/>
      <c r="T230" s="30"/>
      <c r="U230" s="30"/>
      <c r="V230" s="30"/>
      <c r="W230" s="30"/>
      <c r="X230" s="30"/>
      <c r="Y230" s="30"/>
      <c r="Z230" s="22"/>
      <c r="AA230" s="32"/>
      <c r="AB230" s="2"/>
      <c r="AC230" s="2"/>
      <c r="AD230" s="2"/>
      <c r="AE230" s="2"/>
      <c r="AF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3"/>
      <c r="P231" s="22"/>
      <c r="Q231" s="30"/>
      <c r="R231" s="30"/>
      <c r="S231" s="30"/>
      <c r="T231" s="30"/>
      <c r="U231" s="30"/>
      <c r="V231" s="30"/>
      <c r="W231" s="30"/>
      <c r="X231" s="30"/>
      <c r="Y231" s="30"/>
      <c r="Z231" s="22"/>
      <c r="AA231" s="32"/>
      <c r="AB231" s="2"/>
      <c r="AC231" s="2"/>
      <c r="AD231" s="2"/>
      <c r="AE231" s="2"/>
      <c r="AF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3"/>
      <c r="P232" s="22"/>
      <c r="Q232" s="30"/>
      <c r="R232" s="30"/>
      <c r="S232" s="30"/>
      <c r="T232" s="30"/>
      <c r="U232" s="30"/>
      <c r="V232" s="30"/>
      <c r="W232" s="30"/>
      <c r="X232" s="30"/>
      <c r="Y232" s="30"/>
      <c r="Z232" s="22"/>
      <c r="AA232" s="32"/>
      <c r="AB232" s="2"/>
      <c r="AC232" s="2"/>
      <c r="AD232" s="2"/>
      <c r="AE232" s="2"/>
      <c r="AF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3"/>
      <c r="P233" s="22"/>
      <c r="Q233" s="30"/>
      <c r="R233" s="30"/>
      <c r="S233" s="30"/>
      <c r="T233" s="30"/>
      <c r="U233" s="30"/>
      <c r="V233" s="30"/>
      <c r="W233" s="30"/>
      <c r="X233" s="30"/>
      <c r="Y233" s="30"/>
      <c r="Z233" s="22"/>
      <c r="AA233" s="32"/>
      <c r="AB233" s="2"/>
      <c r="AC233" s="2"/>
      <c r="AD233" s="2"/>
      <c r="AE233" s="2"/>
      <c r="AF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3"/>
      <c r="P234" s="22"/>
      <c r="Q234" s="30"/>
      <c r="R234" s="30"/>
      <c r="S234" s="30"/>
      <c r="T234" s="30"/>
      <c r="U234" s="30"/>
      <c r="V234" s="30"/>
      <c r="W234" s="30"/>
      <c r="X234" s="30"/>
      <c r="Y234" s="30"/>
      <c r="Z234" s="22"/>
      <c r="AA234" s="32"/>
      <c r="AB234" s="2"/>
      <c r="AC234" s="2"/>
      <c r="AD234" s="2"/>
      <c r="AE234" s="2"/>
      <c r="AF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3"/>
      <c r="P235" s="22"/>
      <c r="Q235" s="30"/>
      <c r="R235" s="30"/>
      <c r="S235" s="30"/>
      <c r="T235" s="30"/>
      <c r="U235" s="30"/>
      <c r="V235" s="30"/>
      <c r="W235" s="30"/>
      <c r="X235" s="30"/>
      <c r="Y235" s="30"/>
      <c r="Z235" s="22"/>
      <c r="AA235" s="32"/>
      <c r="AB235" s="2"/>
      <c r="AC235" s="2"/>
      <c r="AD235" s="2"/>
      <c r="AE235" s="2"/>
      <c r="AF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3"/>
      <c r="P236" s="22"/>
      <c r="Q236" s="30"/>
      <c r="R236" s="30"/>
      <c r="S236" s="30"/>
      <c r="T236" s="30"/>
      <c r="U236" s="30"/>
      <c r="V236" s="30"/>
      <c r="W236" s="30"/>
      <c r="X236" s="30"/>
      <c r="Y236" s="30"/>
      <c r="Z236" s="22"/>
      <c r="AA236" s="32"/>
      <c r="AB236" s="2"/>
      <c r="AC236" s="2"/>
      <c r="AD236" s="2"/>
      <c r="AE236" s="2"/>
      <c r="AF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3"/>
      <c r="P237" s="22"/>
      <c r="Q237" s="30"/>
      <c r="R237" s="30"/>
      <c r="S237" s="30"/>
      <c r="T237" s="30"/>
      <c r="U237" s="30"/>
      <c r="V237" s="30"/>
      <c r="W237" s="30"/>
      <c r="X237" s="30"/>
      <c r="Y237" s="30"/>
      <c r="Z237" s="22"/>
      <c r="AA237" s="32"/>
      <c r="AB237" s="2"/>
      <c r="AC237" s="2"/>
      <c r="AD237" s="2"/>
      <c r="AE237" s="2"/>
      <c r="AF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3"/>
      <c r="P238" s="22"/>
      <c r="Q238" s="30"/>
      <c r="R238" s="30"/>
      <c r="S238" s="30"/>
      <c r="T238" s="30"/>
      <c r="U238" s="30"/>
      <c r="V238" s="30"/>
      <c r="W238" s="30"/>
      <c r="X238" s="30"/>
      <c r="Y238" s="30"/>
      <c r="Z238" s="22"/>
      <c r="AA238" s="32"/>
      <c r="AB238" s="2"/>
      <c r="AC238" s="2"/>
      <c r="AD238" s="2"/>
      <c r="AE238" s="2"/>
      <c r="AF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3"/>
      <c r="P239" s="22"/>
      <c r="Q239" s="30"/>
      <c r="R239" s="30"/>
      <c r="S239" s="30"/>
      <c r="T239" s="30"/>
      <c r="U239" s="30"/>
      <c r="V239" s="30"/>
      <c r="W239" s="30"/>
      <c r="X239" s="30"/>
      <c r="Y239" s="30"/>
      <c r="Z239" s="22"/>
      <c r="AA239" s="32"/>
      <c r="AB239" s="2"/>
      <c r="AC239" s="2"/>
      <c r="AD239" s="2"/>
      <c r="AE239" s="2"/>
      <c r="AF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3"/>
      <c r="P240" s="22"/>
      <c r="Q240" s="30"/>
      <c r="R240" s="30"/>
      <c r="S240" s="30"/>
      <c r="T240" s="30"/>
      <c r="U240" s="30"/>
      <c r="V240" s="30"/>
      <c r="W240" s="30"/>
      <c r="X240" s="30"/>
      <c r="Y240" s="30"/>
      <c r="Z240" s="22"/>
      <c r="AA240" s="32"/>
      <c r="AB240" s="2"/>
      <c r="AC240" s="2"/>
      <c r="AD240" s="2"/>
      <c r="AE240" s="2"/>
      <c r="AF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3"/>
      <c r="P241" s="22"/>
      <c r="Q241" s="30"/>
      <c r="R241" s="30"/>
      <c r="S241" s="30"/>
      <c r="T241" s="30"/>
      <c r="U241" s="30"/>
      <c r="V241" s="30"/>
      <c r="W241" s="30"/>
      <c r="X241" s="30"/>
      <c r="Y241" s="30"/>
      <c r="Z241" s="22"/>
      <c r="AA241" s="32"/>
      <c r="AB241" s="2"/>
      <c r="AC241" s="2"/>
      <c r="AD241" s="2"/>
      <c r="AE241" s="2"/>
      <c r="AF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3"/>
      <c r="P242" s="22"/>
      <c r="Q242" s="30"/>
      <c r="R242" s="30"/>
      <c r="S242" s="30"/>
      <c r="T242" s="30"/>
      <c r="U242" s="30"/>
      <c r="V242" s="30"/>
      <c r="W242" s="30"/>
      <c r="X242" s="30"/>
      <c r="Y242" s="30"/>
      <c r="Z242" s="22"/>
      <c r="AA242" s="32"/>
      <c r="AB242" s="2"/>
      <c r="AC242" s="2"/>
      <c r="AD242" s="2"/>
      <c r="AE242" s="2"/>
      <c r="AF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3"/>
      <c r="P243" s="22"/>
      <c r="Q243" s="30"/>
      <c r="R243" s="30"/>
      <c r="S243" s="30"/>
      <c r="T243" s="30"/>
      <c r="U243" s="30"/>
      <c r="V243" s="30"/>
      <c r="W243" s="30"/>
      <c r="X243" s="30"/>
      <c r="Y243" s="30"/>
      <c r="Z243" s="22"/>
      <c r="AA243" s="32"/>
      <c r="AB243" s="2"/>
      <c r="AC243" s="2"/>
      <c r="AD243" s="2"/>
      <c r="AE243" s="2"/>
      <c r="AF243" s="2"/>
    </row>
    <row r="244" ht="15.75" customHeight="1">
      <c r="O244" s="33"/>
      <c r="P244" s="22"/>
      <c r="Q244" s="30"/>
      <c r="R244" s="30"/>
      <c r="S244" s="30"/>
      <c r="T244" s="30"/>
      <c r="U244" s="30"/>
      <c r="V244" s="30"/>
      <c r="W244" s="30"/>
      <c r="X244" s="30"/>
      <c r="Y244" s="30"/>
      <c r="Z244" s="22"/>
      <c r="AA244" s="32"/>
    </row>
    <row r="245" ht="15.75" customHeight="1">
      <c r="O245" s="33"/>
      <c r="P245" s="22"/>
      <c r="Q245" s="30"/>
      <c r="R245" s="30"/>
      <c r="S245" s="30"/>
      <c r="T245" s="30"/>
      <c r="U245" s="30"/>
      <c r="V245" s="30"/>
      <c r="W245" s="30"/>
      <c r="X245" s="30"/>
      <c r="Y245" s="30"/>
      <c r="Z245" s="22"/>
      <c r="AA245" s="32"/>
    </row>
    <row r="246" ht="15.75" customHeight="1">
      <c r="O246" s="33"/>
      <c r="P246" s="22"/>
      <c r="Q246" s="30"/>
      <c r="R246" s="30"/>
      <c r="S246" s="30"/>
      <c r="T246" s="30"/>
      <c r="U246" s="30"/>
      <c r="V246" s="30"/>
      <c r="W246" s="30"/>
      <c r="X246" s="30"/>
      <c r="Y246" s="30"/>
      <c r="Z246" s="22"/>
      <c r="AA246" s="32"/>
    </row>
    <row r="247" ht="15.75" customHeight="1">
      <c r="O247" s="33"/>
      <c r="P247" s="22"/>
      <c r="Q247" s="30"/>
      <c r="R247" s="30"/>
      <c r="S247" s="30"/>
      <c r="T247" s="30"/>
      <c r="U247" s="30"/>
      <c r="V247" s="30"/>
      <c r="W247" s="30"/>
      <c r="X247" s="30"/>
      <c r="Y247" s="30"/>
      <c r="Z247" s="22"/>
      <c r="AA247" s="32"/>
    </row>
    <row r="248" ht="15.75" customHeight="1">
      <c r="O248" s="33"/>
      <c r="P248" s="22"/>
      <c r="Q248" s="30"/>
      <c r="R248" s="30"/>
      <c r="S248" s="30"/>
      <c r="T248" s="30"/>
      <c r="U248" s="30"/>
      <c r="V248" s="30"/>
      <c r="W248" s="30"/>
      <c r="X248" s="30"/>
      <c r="Y248" s="30"/>
      <c r="Z248" s="22"/>
      <c r="AA248" s="32"/>
    </row>
    <row r="249" ht="15.75" customHeight="1">
      <c r="O249" s="33"/>
      <c r="P249" s="22"/>
      <c r="Q249" s="30"/>
      <c r="R249" s="30"/>
      <c r="S249" s="30"/>
      <c r="T249" s="30"/>
      <c r="U249" s="30"/>
      <c r="V249" s="30"/>
      <c r="W249" s="30"/>
      <c r="X249" s="30"/>
      <c r="Y249" s="30"/>
      <c r="Z249" s="22"/>
      <c r="AA249" s="32"/>
    </row>
    <row r="250" ht="15.75" customHeight="1">
      <c r="O250" s="33"/>
      <c r="P250" s="22"/>
      <c r="Q250" s="30"/>
      <c r="R250" s="30"/>
      <c r="S250" s="30"/>
      <c r="T250" s="30"/>
      <c r="U250" s="30"/>
      <c r="V250" s="30"/>
      <c r="W250" s="30"/>
      <c r="X250" s="30"/>
      <c r="Y250" s="30"/>
      <c r="Z250" s="22"/>
      <c r="AA250" s="32"/>
    </row>
    <row r="251" ht="15.75" customHeight="1">
      <c r="O251" s="33"/>
      <c r="P251" s="22"/>
      <c r="Q251" s="30"/>
      <c r="R251" s="30"/>
      <c r="S251" s="30"/>
      <c r="T251" s="30"/>
      <c r="U251" s="30"/>
      <c r="V251" s="30"/>
      <c r="W251" s="30"/>
      <c r="X251" s="30"/>
      <c r="Y251" s="30"/>
      <c r="Z251" s="22"/>
      <c r="AA251" s="32"/>
    </row>
    <row r="252" ht="15.75" customHeight="1">
      <c r="O252" s="33"/>
      <c r="P252" s="22"/>
      <c r="Q252" s="30"/>
      <c r="R252" s="30"/>
      <c r="S252" s="30"/>
      <c r="T252" s="30"/>
      <c r="U252" s="30"/>
      <c r="V252" s="30"/>
      <c r="W252" s="30"/>
      <c r="X252" s="30"/>
      <c r="Y252" s="30"/>
      <c r="Z252" s="22"/>
      <c r="AA252" s="32"/>
    </row>
    <row r="253" ht="15.75" customHeight="1">
      <c r="O253" s="33"/>
      <c r="P253" s="22"/>
      <c r="Q253" s="30"/>
      <c r="R253" s="30"/>
      <c r="S253" s="30"/>
      <c r="T253" s="30"/>
      <c r="U253" s="30"/>
      <c r="V253" s="30"/>
      <c r="W253" s="30"/>
      <c r="X253" s="30"/>
      <c r="Y253" s="30"/>
      <c r="Z253" s="22"/>
      <c r="AA253" s="32"/>
    </row>
    <row r="254" ht="15.75" customHeight="1">
      <c r="O254" s="33"/>
      <c r="P254" s="22"/>
      <c r="Q254" s="30"/>
      <c r="R254" s="30"/>
      <c r="S254" s="30"/>
      <c r="T254" s="30"/>
      <c r="U254" s="30"/>
      <c r="V254" s="30"/>
      <c r="W254" s="30"/>
      <c r="X254" s="30"/>
      <c r="Y254" s="30"/>
      <c r="Z254" s="22"/>
      <c r="AA254" s="32"/>
    </row>
    <row r="255" ht="15.75" customHeight="1">
      <c r="O255" s="33"/>
      <c r="P255" s="22"/>
      <c r="Q255" s="30"/>
      <c r="R255" s="30"/>
      <c r="S255" s="30"/>
      <c r="T255" s="30"/>
      <c r="U255" s="30"/>
      <c r="V255" s="30"/>
      <c r="W255" s="30"/>
      <c r="X255" s="30"/>
      <c r="Y255" s="30"/>
      <c r="Z255" s="22"/>
      <c r="AA255" s="32"/>
    </row>
    <row r="256" ht="15.75" customHeight="1">
      <c r="O256" s="33"/>
      <c r="P256" s="22"/>
      <c r="Q256" s="30"/>
      <c r="R256" s="30"/>
      <c r="S256" s="30"/>
      <c r="T256" s="30"/>
      <c r="U256" s="30"/>
      <c r="V256" s="30"/>
      <c r="W256" s="30"/>
      <c r="X256" s="30"/>
      <c r="Y256" s="30"/>
      <c r="Z256" s="22"/>
      <c r="AA256" s="32"/>
    </row>
    <row r="257" ht="15.75" customHeight="1">
      <c r="O257" s="33"/>
      <c r="P257" s="22"/>
      <c r="Q257" s="30"/>
      <c r="R257" s="30"/>
      <c r="S257" s="30"/>
      <c r="T257" s="30"/>
      <c r="U257" s="30"/>
      <c r="V257" s="30"/>
      <c r="W257" s="30"/>
      <c r="X257" s="30"/>
      <c r="Y257" s="30"/>
      <c r="Z257" s="22"/>
      <c r="AA257" s="32"/>
    </row>
    <row r="258" ht="15.75" customHeight="1">
      <c r="O258" s="33"/>
      <c r="P258" s="22"/>
      <c r="Q258" s="30"/>
      <c r="R258" s="30"/>
      <c r="S258" s="30"/>
      <c r="T258" s="30"/>
      <c r="U258" s="30"/>
      <c r="V258" s="30"/>
      <c r="W258" s="30"/>
      <c r="X258" s="30"/>
      <c r="Y258" s="30"/>
      <c r="Z258" s="22"/>
      <c r="AA258" s="32"/>
    </row>
    <row r="259" ht="15.75" customHeight="1">
      <c r="O259" s="33"/>
      <c r="P259" s="22"/>
      <c r="Q259" s="30"/>
      <c r="R259" s="30"/>
      <c r="S259" s="30"/>
      <c r="T259" s="30"/>
      <c r="U259" s="30"/>
      <c r="V259" s="30"/>
      <c r="W259" s="30"/>
      <c r="X259" s="30"/>
      <c r="Y259" s="30"/>
      <c r="Z259" s="22"/>
      <c r="AA259" s="32"/>
    </row>
    <row r="260" ht="15.75" customHeight="1">
      <c r="O260" s="33"/>
      <c r="P260" s="22"/>
      <c r="Q260" s="30"/>
      <c r="R260" s="30"/>
      <c r="S260" s="30"/>
      <c r="T260" s="30"/>
      <c r="U260" s="30"/>
      <c r="V260" s="30"/>
      <c r="W260" s="30"/>
      <c r="X260" s="30"/>
      <c r="Y260" s="30"/>
      <c r="Z260" s="22"/>
      <c r="AA260" s="32"/>
    </row>
    <row r="261" ht="15.75" customHeight="1">
      <c r="O261" s="33"/>
      <c r="P261" s="22"/>
      <c r="Q261" s="30"/>
      <c r="R261" s="30"/>
      <c r="S261" s="30"/>
      <c r="T261" s="30"/>
      <c r="U261" s="30"/>
      <c r="V261" s="30"/>
      <c r="W261" s="30"/>
      <c r="X261" s="30"/>
      <c r="Y261" s="30"/>
      <c r="Z261" s="22"/>
      <c r="AA261" s="32"/>
    </row>
    <row r="262" ht="15.75" customHeight="1">
      <c r="O262" s="33"/>
      <c r="P262" s="22"/>
      <c r="Q262" s="30"/>
      <c r="R262" s="30"/>
      <c r="S262" s="30"/>
      <c r="T262" s="30"/>
      <c r="U262" s="30"/>
      <c r="V262" s="30"/>
      <c r="W262" s="30"/>
      <c r="X262" s="30"/>
      <c r="Y262" s="30"/>
      <c r="Z262" s="22"/>
      <c r="AA262" s="32"/>
    </row>
    <row r="263" ht="15.75" customHeight="1">
      <c r="O263" s="33"/>
      <c r="P263" s="22"/>
      <c r="Q263" s="30"/>
      <c r="R263" s="30"/>
      <c r="S263" s="30"/>
      <c r="T263" s="30"/>
      <c r="U263" s="30"/>
      <c r="V263" s="30"/>
      <c r="W263" s="30"/>
      <c r="X263" s="30"/>
      <c r="Y263" s="30"/>
      <c r="Z263" s="22"/>
      <c r="AA263" s="32"/>
    </row>
    <row r="264" ht="15.75" customHeight="1">
      <c r="O264" s="33"/>
      <c r="P264" s="22"/>
      <c r="Q264" s="30"/>
      <c r="R264" s="30"/>
      <c r="S264" s="30"/>
      <c r="T264" s="30"/>
      <c r="U264" s="30"/>
      <c r="V264" s="30"/>
      <c r="W264" s="30"/>
      <c r="X264" s="30"/>
      <c r="Y264" s="30"/>
      <c r="Z264" s="22"/>
      <c r="AA264" s="32"/>
    </row>
    <row r="265" ht="15.75" customHeight="1">
      <c r="O265" s="33"/>
      <c r="P265" s="22"/>
      <c r="Q265" s="30"/>
      <c r="R265" s="30"/>
      <c r="S265" s="30"/>
      <c r="T265" s="30"/>
      <c r="U265" s="30"/>
      <c r="V265" s="30"/>
      <c r="W265" s="30"/>
      <c r="X265" s="30"/>
      <c r="Y265" s="30"/>
      <c r="Z265" s="22"/>
      <c r="AA265" s="32"/>
    </row>
    <row r="266" ht="15.75" customHeight="1">
      <c r="O266" s="33"/>
      <c r="P266" s="22"/>
      <c r="Q266" s="30"/>
      <c r="R266" s="30"/>
      <c r="S266" s="30"/>
      <c r="T266" s="30"/>
      <c r="U266" s="30"/>
      <c r="V266" s="30"/>
      <c r="W266" s="30"/>
      <c r="X266" s="30"/>
      <c r="Y266" s="30"/>
      <c r="Z266" s="22"/>
      <c r="AA266" s="32"/>
    </row>
    <row r="267" ht="15.75" customHeight="1">
      <c r="O267" s="33"/>
      <c r="P267" s="22"/>
      <c r="Q267" s="30"/>
      <c r="R267" s="30"/>
      <c r="S267" s="30"/>
      <c r="T267" s="30"/>
      <c r="U267" s="30"/>
      <c r="V267" s="30"/>
      <c r="W267" s="30"/>
      <c r="X267" s="30"/>
      <c r="Y267" s="30"/>
      <c r="Z267" s="22"/>
      <c r="AA267" s="32"/>
    </row>
    <row r="268" ht="15.75" customHeight="1">
      <c r="O268" s="33"/>
      <c r="P268" s="22"/>
      <c r="Q268" s="30"/>
      <c r="R268" s="30"/>
      <c r="S268" s="30"/>
      <c r="T268" s="30"/>
      <c r="U268" s="30"/>
      <c r="V268" s="30"/>
      <c r="W268" s="30"/>
      <c r="X268" s="30"/>
      <c r="Y268" s="30"/>
      <c r="Z268" s="22"/>
      <c r="AA268" s="32"/>
    </row>
    <row r="269" ht="15.75" customHeight="1">
      <c r="O269" s="33"/>
      <c r="P269" s="22"/>
      <c r="Q269" s="30"/>
      <c r="R269" s="30"/>
      <c r="S269" s="30"/>
      <c r="T269" s="30"/>
      <c r="U269" s="30"/>
      <c r="V269" s="30"/>
      <c r="W269" s="30"/>
      <c r="X269" s="30"/>
      <c r="Y269" s="30"/>
      <c r="Z269" s="22"/>
      <c r="AA269" s="32"/>
    </row>
    <row r="270" ht="15.75" customHeight="1">
      <c r="O270" s="33"/>
      <c r="P270" s="22"/>
      <c r="Q270" s="30"/>
      <c r="R270" s="30"/>
      <c r="S270" s="30"/>
      <c r="T270" s="30"/>
      <c r="U270" s="30"/>
      <c r="V270" s="30"/>
      <c r="W270" s="30"/>
      <c r="X270" s="30"/>
      <c r="Y270" s="30"/>
      <c r="Z270" s="22"/>
      <c r="AA270" s="32"/>
    </row>
    <row r="271" ht="15.75" customHeight="1">
      <c r="O271" s="33"/>
      <c r="P271" s="22"/>
      <c r="Q271" s="30"/>
      <c r="R271" s="30"/>
      <c r="S271" s="30"/>
      <c r="T271" s="30"/>
      <c r="U271" s="30"/>
      <c r="V271" s="30"/>
      <c r="W271" s="30"/>
      <c r="X271" s="30"/>
      <c r="Y271" s="30"/>
      <c r="Z271" s="22"/>
      <c r="AA271" s="32"/>
    </row>
    <row r="272" ht="15.75" customHeight="1">
      <c r="O272" s="33"/>
      <c r="P272" s="22"/>
      <c r="Q272" s="30"/>
      <c r="R272" s="30"/>
      <c r="S272" s="30"/>
      <c r="T272" s="30"/>
      <c r="U272" s="30"/>
      <c r="V272" s="30"/>
      <c r="W272" s="30"/>
      <c r="X272" s="30"/>
      <c r="Y272" s="30"/>
      <c r="Z272" s="22"/>
      <c r="AA272" s="32"/>
    </row>
    <row r="273" ht="15.75" customHeight="1">
      <c r="O273" s="33"/>
      <c r="P273" s="22"/>
      <c r="Q273" s="30"/>
      <c r="R273" s="30"/>
      <c r="S273" s="30"/>
      <c r="T273" s="30"/>
      <c r="U273" s="30"/>
      <c r="V273" s="30"/>
      <c r="W273" s="30"/>
      <c r="X273" s="30"/>
      <c r="Y273" s="30"/>
      <c r="Z273" s="22"/>
      <c r="AA273" s="32"/>
    </row>
    <row r="274" ht="15.75" customHeight="1">
      <c r="O274" s="33"/>
      <c r="P274" s="22"/>
      <c r="Q274" s="30"/>
      <c r="R274" s="30"/>
      <c r="S274" s="30"/>
      <c r="T274" s="30"/>
      <c r="U274" s="30"/>
      <c r="V274" s="30"/>
      <c r="W274" s="30"/>
      <c r="X274" s="30"/>
      <c r="Y274" s="30"/>
      <c r="Z274" s="22"/>
      <c r="AA274" s="32"/>
    </row>
    <row r="275" ht="15.75" customHeight="1">
      <c r="O275" s="33"/>
      <c r="P275" s="22"/>
      <c r="Q275" s="30"/>
      <c r="R275" s="30"/>
      <c r="S275" s="30"/>
      <c r="T275" s="30"/>
      <c r="U275" s="30"/>
      <c r="V275" s="30"/>
      <c r="W275" s="30"/>
      <c r="X275" s="30"/>
      <c r="Y275" s="30"/>
      <c r="Z275" s="22"/>
      <c r="AA275" s="32"/>
    </row>
    <row r="276" ht="15.75" customHeight="1">
      <c r="O276" s="33"/>
      <c r="P276" s="22"/>
      <c r="Q276" s="30"/>
      <c r="R276" s="30"/>
      <c r="S276" s="30"/>
      <c r="T276" s="30"/>
      <c r="U276" s="30"/>
      <c r="V276" s="30"/>
      <c r="W276" s="30"/>
      <c r="X276" s="30"/>
      <c r="Y276" s="30"/>
      <c r="Z276" s="22"/>
      <c r="AA276" s="32"/>
    </row>
    <row r="277" ht="15.75" customHeight="1">
      <c r="O277" s="33"/>
      <c r="P277" s="22"/>
      <c r="Q277" s="30"/>
      <c r="R277" s="30"/>
      <c r="S277" s="30"/>
      <c r="T277" s="30"/>
      <c r="U277" s="30"/>
      <c r="V277" s="30"/>
      <c r="W277" s="30"/>
      <c r="X277" s="30"/>
      <c r="Y277" s="30"/>
      <c r="Z277" s="22"/>
      <c r="AA277" s="32"/>
    </row>
    <row r="278" ht="15.75" customHeight="1">
      <c r="O278" s="33"/>
      <c r="P278" s="22"/>
      <c r="Q278" s="30"/>
      <c r="R278" s="30"/>
      <c r="S278" s="30"/>
      <c r="T278" s="30"/>
      <c r="U278" s="30"/>
      <c r="V278" s="30"/>
      <c r="W278" s="30"/>
      <c r="X278" s="30"/>
      <c r="Y278" s="30"/>
      <c r="Z278" s="22"/>
      <c r="AA278" s="32"/>
    </row>
    <row r="279" ht="15.75" customHeight="1">
      <c r="O279" s="33"/>
      <c r="P279" s="22"/>
      <c r="Q279" s="30"/>
      <c r="R279" s="30"/>
      <c r="S279" s="30"/>
      <c r="T279" s="30"/>
      <c r="U279" s="30"/>
      <c r="V279" s="30"/>
      <c r="W279" s="30"/>
      <c r="X279" s="30"/>
      <c r="Y279" s="30"/>
      <c r="Z279" s="22"/>
      <c r="AA279" s="32"/>
    </row>
    <row r="280" ht="15.75" customHeight="1">
      <c r="O280" s="33"/>
      <c r="P280" s="22"/>
      <c r="Q280" s="30"/>
      <c r="R280" s="30"/>
      <c r="S280" s="30"/>
      <c r="T280" s="30"/>
      <c r="U280" s="30"/>
      <c r="V280" s="30"/>
      <c r="W280" s="30"/>
      <c r="X280" s="30"/>
      <c r="Y280" s="30"/>
      <c r="Z280" s="22"/>
      <c r="AA280" s="32"/>
    </row>
    <row r="281" ht="15.75" customHeight="1">
      <c r="O281" s="33"/>
      <c r="P281" s="22"/>
      <c r="Q281" s="30"/>
      <c r="R281" s="30"/>
      <c r="S281" s="30"/>
      <c r="T281" s="30"/>
      <c r="U281" s="30"/>
      <c r="V281" s="30"/>
      <c r="W281" s="30"/>
      <c r="X281" s="30"/>
      <c r="Y281" s="30"/>
      <c r="Z281" s="22"/>
      <c r="AA281" s="32"/>
    </row>
    <row r="282" ht="15.75" customHeight="1">
      <c r="O282" s="33"/>
      <c r="P282" s="22"/>
      <c r="Q282" s="30"/>
      <c r="R282" s="30"/>
      <c r="S282" s="30"/>
      <c r="T282" s="30"/>
      <c r="U282" s="30"/>
      <c r="V282" s="30"/>
      <c r="W282" s="30"/>
      <c r="X282" s="30"/>
      <c r="Y282" s="30"/>
      <c r="Z282" s="22"/>
      <c r="AA282" s="32"/>
    </row>
    <row r="283" ht="15.75" customHeight="1">
      <c r="O283" s="33"/>
      <c r="P283" s="22"/>
      <c r="Q283" s="30"/>
      <c r="R283" s="30"/>
      <c r="S283" s="30"/>
      <c r="T283" s="30"/>
      <c r="U283" s="30"/>
      <c r="V283" s="30"/>
      <c r="W283" s="30"/>
      <c r="X283" s="30"/>
      <c r="Y283" s="30"/>
      <c r="Z283" s="22"/>
      <c r="AA283" s="32"/>
    </row>
    <row r="284" ht="15.75" customHeight="1">
      <c r="O284" s="33"/>
      <c r="P284" s="22"/>
      <c r="Q284" s="30"/>
      <c r="R284" s="30"/>
      <c r="S284" s="30"/>
      <c r="T284" s="30"/>
      <c r="U284" s="30"/>
      <c r="V284" s="30"/>
      <c r="W284" s="30"/>
      <c r="X284" s="30"/>
      <c r="Y284" s="30"/>
      <c r="Z284" s="22"/>
      <c r="AA284" s="32"/>
    </row>
    <row r="285" ht="15.75" customHeight="1">
      <c r="O285" s="33"/>
      <c r="P285" s="22"/>
      <c r="Q285" s="30"/>
      <c r="R285" s="30"/>
      <c r="S285" s="30"/>
      <c r="T285" s="30"/>
      <c r="U285" s="30"/>
      <c r="V285" s="30"/>
      <c r="W285" s="30"/>
      <c r="X285" s="30"/>
      <c r="Y285" s="30"/>
      <c r="Z285" s="22"/>
      <c r="AA285" s="32"/>
    </row>
    <row r="286" ht="15.75" customHeight="1">
      <c r="O286" s="33"/>
      <c r="P286" s="22"/>
      <c r="Q286" s="30"/>
      <c r="R286" s="30"/>
      <c r="S286" s="30"/>
      <c r="T286" s="30"/>
      <c r="U286" s="30"/>
      <c r="V286" s="30"/>
      <c r="W286" s="30"/>
      <c r="X286" s="30"/>
      <c r="Y286" s="30"/>
      <c r="Z286" s="22"/>
      <c r="AA286" s="32"/>
    </row>
    <row r="287" ht="15.75" customHeight="1">
      <c r="O287" s="33"/>
      <c r="P287" s="22"/>
      <c r="Q287" s="30"/>
      <c r="R287" s="30"/>
      <c r="S287" s="30"/>
      <c r="T287" s="30"/>
      <c r="U287" s="30"/>
      <c r="V287" s="30"/>
      <c r="W287" s="30"/>
      <c r="X287" s="30"/>
      <c r="Y287" s="30"/>
      <c r="Z287" s="22"/>
      <c r="AA287" s="32"/>
    </row>
    <row r="288" ht="15.75" customHeight="1">
      <c r="O288" s="33"/>
      <c r="P288" s="22"/>
      <c r="Q288" s="30"/>
      <c r="R288" s="30"/>
      <c r="S288" s="30"/>
      <c r="T288" s="30"/>
      <c r="U288" s="30"/>
      <c r="V288" s="30"/>
      <c r="W288" s="30"/>
      <c r="X288" s="30"/>
      <c r="Y288" s="30"/>
      <c r="Z288" s="22"/>
      <c r="AA288" s="32"/>
    </row>
    <row r="289" ht="15.75" customHeight="1">
      <c r="O289" s="33"/>
      <c r="P289" s="22"/>
      <c r="Q289" s="30"/>
      <c r="R289" s="30"/>
      <c r="S289" s="30"/>
      <c r="T289" s="30"/>
      <c r="U289" s="30"/>
      <c r="V289" s="30"/>
      <c r="W289" s="30"/>
      <c r="X289" s="30"/>
      <c r="Y289" s="30"/>
      <c r="Z289" s="22"/>
      <c r="AA289" s="32"/>
    </row>
    <row r="290" ht="15.75" customHeight="1">
      <c r="O290" s="33"/>
      <c r="P290" s="22"/>
      <c r="Q290" s="30"/>
      <c r="R290" s="30"/>
      <c r="S290" s="30"/>
      <c r="T290" s="30"/>
      <c r="U290" s="30"/>
      <c r="V290" s="30"/>
      <c r="W290" s="30"/>
      <c r="X290" s="30"/>
      <c r="Y290" s="30"/>
      <c r="Z290" s="22"/>
      <c r="AA290" s="32"/>
    </row>
    <row r="291" ht="15.75" customHeight="1">
      <c r="O291" s="33"/>
      <c r="P291" s="22"/>
      <c r="Q291" s="30"/>
      <c r="R291" s="30"/>
      <c r="S291" s="30"/>
      <c r="T291" s="30"/>
      <c r="U291" s="30"/>
      <c r="V291" s="30"/>
      <c r="W291" s="30"/>
      <c r="X291" s="30"/>
      <c r="Y291" s="30"/>
      <c r="Z291" s="22"/>
      <c r="AA291" s="32"/>
    </row>
    <row r="292" ht="15.75" customHeight="1">
      <c r="O292" s="33"/>
      <c r="P292" s="22"/>
      <c r="Q292" s="30"/>
      <c r="R292" s="30"/>
      <c r="S292" s="30"/>
      <c r="T292" s="30"/>
      <c r="U292" s="30"/>
      <c r="V292" s="30"/>
      <c r="W292" s="30"/>
      <c r="X292" s="30"/>
      <c r="Y292" s="30"/>
      <c r="Z292" s="22"/>
      <c r="AA292" s="32"/>
    </row>
    <row r="293" ht="15.75" customHeight="1">
      <c r="O293" s="33"/>
      <c r="P293" s="22"/>
      <c r="Q293" s="30"/>
      <c r="R293" s="30"/>
      <c r="S293" s="30"/>
      <c r="T293" s="30"/>
      <c r="U293" s="30"/>
      <c r="V293" s="30"/>
      <c r="W293" s="30"/>
      <c r="X293" s="30"/>
      <c r="Y293" s="30"/>
      <c r="Z293" s="22"/>
      <c r="AA293" s="32"/>
    </row>
    <row r="294" ht="15.75" customHeight="1">
      <c r="O294" s="33"/>
      <c r="P294" s="22"/>
      <c r="Q294" s="30"/>
      <c r="R294" s="30"/>
      <c r="S294" s="30"/>
      <c r="T294" s="30"/>
      <c r="U294" s="30"/>
      <c r="V294" s="30"/>
      <c r="W294" s="30"/>
      <c r="X294" s="30"/>
      <c r="Y294" s="30"/>
      <c r="Z294" s="22"/>
      <c r="AA294" s="32"/>
    </row>
    <row r="295" ht="15.75" customHeight="1">
      <c r="O295" s="33"/>
      <c r="P295" s="22"/>
      <c r="Q295" s="30"/>
      <c r="R295" s="30"/>
      <c r="S295" s="30"/>
      <c r="T295" s="30"/>
      <c r="U295" s="30"/>
      <c r="V295" s="30"/>
      <c r="W295" s="30"/>
      <c r="X295" s="30"/>
      <c r="Y295" s="30"/>
      <c r="Z295" s="22"/>
      <c r="AA295" s="32"/>
    </row>
    <row r="296" ht="15.75" customHeight="1">
      <c r="O296" s="33"/>
      <c r="P296" s="22"/>
      <c r="Q296" s="30"/>
      <c r="R296" s="30"/>
      <c r="S296" s="30"/>
      <c r="T296" s="30"/>
      <c r="U296" s="30"/>
      <c r="V296" s="30"/>
      <c r="W296" s="30"/>
      <c r="X296" s="30"/>
      <c r="Y296" s="30"/>
      <c r="Z296" s="22"/>
      <c r="AA296" s="32"/>
    </row>
    <row r="297" ht="15.75" customHeight="1">
      <c r="O297" s="33"/>
      <c r="P297" s="22"/>
      <c r="Q297" s="30"/>
      <c r="R297" s="30"/>
      <c r="S297" s="30"/>
      <c r="T297" s="30"/>
      <c r="U297" s="30"/>
      <c r="V297" s="30"/>
      <c r="W297" s="30"/>
      <c r="X297" s="30"/>
      <c r="Y297" s="30"/>
      <c r="Z297" s="22"/>
      <c r="AA297" s="32"/>
    </row>
    <row r="298" ht="15.75" customHeight="1">
      <c r="O298" s="33"/>
      <c r="P298" s="22"/>
      <c r="Q298" s="30"/>
      <c r="R298" s="30"/>
      <c r="S298" s="30"/>
      <c r="T298" s="30"/>
      <c r="U298" s="30"/>
      <c r="V298" s="30"/>
      <c r="W298" s="30"/>
      <c r="X298" s="30"/>
      <c r="Y298" s="30"/>
      <c r="Z298" s="22"/>
      <c r="AA298" s="32"/>
    </row>
    <row r="299" ht="15.75" customHeight="1">
      <c r="O299" s="33"/>
      <c r="P299" s="22"/>
      <c r="Q299" s="30"/>
      <c r="R299" s="30"/>
      <c r="S299" s="30"/>
      <c r="T299" s="30"/>
      <c r="U299" s="30"/>
      <c r="V299" s="30"/>
      <c r="W299" s="30"/>
      <c r="X299" s="30"/>
      <c r="Y299" s="30"/>
      <c r="Z299" s="22"/>
      <c r="AA299" s="32"/>
    </row>
    <row r="300" ht="15.75" customHeight="1">
      <c r="O300" s="33"/>
      <c r="P300" s="22"/>
      <c r="Q300" s="30"/>
      <c r="R300" s="30"/>
      <c r="S300" s="30"/>
      <c r="T300" s="30"/>
      <c r="U300" s="30"/>
      <c r="V300" s="30"/>
      <c r="W300" s="30"/>
      <c r="X300" s="30"/>
      <c r="Y300" s="30"/>
      <c r="Z300" s="22"/>
      <c r="AA300" s="32"/>
    </row>
    <row r="301" ht="15.75" customHeight="1">
      <c r="O301" s="33"/>
      <c r="P301" s="22"/>
      <c r="Q301" s="30"/>
      <c r="R301" s="30"/>
      <c r="S301" s="30"/>
      <c r="T301" s="30"/>
      <c r="U301" s="30"/>
      <c r="V301" s="30"/>
      <c r="W301" s="30"/>
      <c r="X301" s="30"/>
      <c r="Y301" s="30"/>
      <c r="Z301" s="22"/>
      <c r="AA301" s="32"/>
    </row>
    <row r="302" ht="15.75" customHeight="1">
      <c r="O302" s="33"/>
      <c r="P302" s="22"/>
      <c r="Q302" s="30"/>
      <c r="R302" s="30"/>
      <c r="S302" s="30"/>
      <c r="T302" s="30"/>
      <c r="U302" s="30"/>
      <c r="V302" s="30"/>
      <c r="W302" s="30"/>
      <c r="X302" s="30"/>
      <c r="Y302" s="30"/>
      <c r="Z302" s="22"/>
      <c r="AA302" s="32"/>
    </row>
    <row r="303" ht="15.75" customHeight="1">
      <c r="O303" s="33"/>
      <c r="P303" s="22"/>
      <c r="Q303" s="30"/>
      <c r="R303" s="30"/>
      <c r="S303" s="30"/>
      <c r="T303" s="30"/>
      <c r="U303" s="30"/>
      <c r="V303" s="30"/>
      <c r="W303" s="30"/>
      <c r="X303" s="30"/>
      <c r="Y303" s="30"/>
      <c r="Z303" s="22"/>
      <c r="AA303" s="32"/>
    </row>
    <row r="304" ht="15.75" customHeight="1">
      <c r="O304" s="33"/>
      <c r="P304" s="22"/>
      <c r="Q304" s="30"/>
      <c r="R304" s="30"/>
      <c r="S304" s="30"/>
      <c r="T304" s="30"/>
      <c r="U304" s="30"/>
      <c r="V304" s="30"/>
      <c r="W304" s="30"/>
      <c r="X304" s="30"/>
      <c r="Y304" s="30"/>
      <c r="Z304" s="22"/>
      <c r="AA304" s="32"/>
    </row>
    <row r="305" ht="15.75" customHeight="1">
      <c r="O305" s="33"/>
      <c r="P305" s="22"/>
      <c r="Q305" s="30"/>
      <c r="R305" s="30"/>
      <c r="S305" s="30"/>
      <c r="T305" s="30"/>
      <c r="U305" s="30"/>
      <c r="V305" s="30"/>
      <c r="W305" s="30"/>
      <c r="X305" s="30"/>
      <c r="Y305" s="30"/>
      <c r="Z305" s="22"/>
      <c r="AA305" s="32"/>
    </row>
    <row r="306" ht="15.75" customHeight="1">
      <c r="O306" s="33"/>
      <c r="P306" s="22"/>
      <c r="Q306" s="30"/>
      <c r="R306" s="30"/>
      <c r="S306" s="30"/>
      <c r="T306" s="30"/>
      <c r="U306" s="30"/>
      <c r="V306" s="30"/>
      <c r="W306" s="30"/>
      <c r="X306" s="30"/>
      <c r="Y306" s="30"/>
      <c r="Z306" s="22"/>
      <c r="AA306" s="32"/>
    </row>
    <row r="307" ht="15.75" customHeight="1">
      <c r="O307" s="33"/>
      <c r="P307" s="22"/>
      <c r="Q307" s="30"/>
      <c r="R307" s="30"/>
      <c r="S307" s="30"/>
      <c r="T307" s="30"/>
      <c r="U307" s="30"/>
      <c r="V307" s="30"/>
      <c r="W307" s="30"/>
      <c r="X307" s="30"/>
      <c r="Y307" s="30"/>
      <c r="Z307" s="22"/>
      <c r="AA307" s="32"/>
    </row>
    <row r="308" ht="15.75" customHeight="1">
      <c r="O308" s="33"/>
      <c r="P308" s="22"/>
      <c r="Q308" s="30"/>
      <c r="R308" s="30"/>
      <c r="S308" s="30"/>
      <c r="T308" s="30"/>
      <c r="U308" s="30"/>
      <c r="V308" s="30"/>
      <c r="W308" s="30"/>
      <c r="X308" s="30"/>
      <c r="Y308" s="30"/>
      <c r="Z308" s="22"/>
      <c r="AA308" s="32"/>
    </row>
    <row r="309" ht="15.75" customHeight="1">
      <c r="O309" s="33"/>
      <c r="P309" s="22"/>
      <c r="Q309" s="30"/>
      <c r="R309" s="30"/>
      <c r="S309" s="30"/>
      <c r="T309" s="30"/>
      <c r="U309" s="30"/>
      <c r="V309" s="30"/>
      <c r="W309" s="30"/>
      <c r="X309" s="30"/>
      <c r="Y309" s="30"/>
      <c r="Z309" s="22"/>
      <c r="AA309" s="32"/>
    </row>
    <row r="310" ht="15.75" customHeight="1">
      <c r="O310" s="33"/>
      <c r="P310" s="22"/>
      <c r="Q310" s="30"/>
      <c r="R310" s="30"/>
      <c r="S310" s="30"/>
      <c r="T310" s="30"/>
      <c r="U310" s="30"/>
      <c r="V310" s="30"/>
      <c r="W310" s="30"/>
      <c r="X310" s="30"/>
      <c r="Y310" s="30"/>
      <c r="Z310" s="22"/>
      <c r="AA310" s="32"/>
    </row>
    <row r="311" ht="15.75" customHeight="1">
      <c r="O311" s="33"/>
      <c r="P311" s="22"/>
      <c r="Q311" s="30"/>
      <c r="R311" s="30"/>
      <c r="S311" s="30"/>
      <c r="T311" s="30"/>
      <c r="U311" s="30"/>
      <c r="V311" s="30"/>
      <c r="W311" s="30"/>
      <c r="X311" s="30"/>
      <c r="Y311" s="30"/>
      <c r="Z311" s="22"/>
      <c r="AA311" s="32"/>
    </row>
    <row r="312" ht="15.75" customHeight="1">
      <c r="O312" s="33"/>
      <c r="P312" s="22"/>
      <c r="Q312" s="30"/>
      <c r="R312" s="30"/>
      <c r="S312" s="30"/>
      <c r="T312" s="30"/>
      <c r="U312" s="30"/>
      <c r="V312" s="30"/>
      <c r="W312" s="30"/>
      <c r="X312" s="30"/>
      <c r="Y312" s="30"/>
      <c r="Z312" s="22"/>
      <c r="AA312" s="32"/>
    </row>
    <row r="313" ht="15.75" customHeight="1">
      <c r="O313" s="33"/>
      <c r="P313" s="22"/>
      <c r="Q313" s="30"/>
      <c r="R313" s="30"/>
      <c r="S313" s="30"/>
      <c r="T313" s="30"/>
      <c r="U313" s="30"/>
      <c r="V313" s="30"/>
      <c r="W313" s="30"/>
      <c r="X313" s="30"/>
      <c r="Y313" s="30"/>
      <c r="Z313" s="22"/>
      <c r="AA313" s="32"/>
    </row>
    <row r="314" ht="15.75" customHeight="1">
      <c r="O314" s="33"/>
      <c r="P314" s="22"/>
      <c r="Q314" s="30"/>
      <c r="R314" s="30"/>
      <c r="S314" s="30"/>
      <c r="T314" s="30"/>
      <c r="U314" s="30"/>
      <c r="V314" s="30"/>
      <c r="W314" s="30"/>
      <c r="X314" s="30"/>
      <c r="Y314" s="30"/>
      <c r="Z314" s="22"/>
      <c r="AA314" s="32"/>
    </row>
    <row r="315" ht="15.75" customHeight="1">
      <c r="O315" s="33"/>
      <c r="P315" s="22"/>
      <c r="Q315" s="30"/>
      <c r="R315" s="30"/>
      <c r="S315" s="30"/>
      <c r="T315" s="30"/>
      <c r="U315" s="30"/>
      <c r="V315" s="30"/>
      <c r="W315" s="30"/>
      <c r="X315" s="30"/>
      <c r="Y315" s="30"/>
      <c r="Z315" s="22"/>
      <c r="AA315" s="32"/>
    </row>
    <row r="316" ht="15.75" customHeight="1">
      <c r="O316" s="33"/>
      <c r="P316" s="22"/>
      <c r="Q316" s="30"/>
      <c r="R316" s="30"/>
      <c r="S316" s="30"/>
      <c r="T316" s="30"/>
      <c r="U316" s="30"/>
      <c r="V316" s="30"/>
      <c r="W316" s="30"/>
      <c r="X316" s="30"/>
      <c r="Y316" s="30"/>
      <c r="Z316" s="22"/>
      <c r="AA316" s="32"/>
    </row>
    <row r="317" ht="15.75" customHeight="1">
      <c r="O317" s="33"/>
      <c r="P317" s="22"/>
      <c r="Q317" s="30"/>
      <c r="R317" s="30"/>
      <c r="S317" s="30"/>
      <c r="T317" s="30"/>
      <c r="U317" s="30"/>
      <c r="V317" s="30"/>
      <c r="W317" s="30"/>
      <c r="X317" s="30"/>
      <c r="Y317" s="30"/>
      <c r="Z317" s="22"/>
      <c r="AA317" s="32"/>
    </row>
    <row r="318" ht="15.75" customHeight="1">
      <c r="O318" s="33"/>
      <c r="P318" s="22"/>
      <c r="Q318" s="30"/>
      <c r="R318" s="30"/>
      <c r="S318" s="30"/>
      <c r="T318" s="30"/>
      <c r="U318" s="30"/>
      <c r="V318" s="30"/>
      <c r="W318" s="30"/>
      <c r="X318" s="30"/>
      <c r="Y318" s="30"/>
      <c r="Z318" s="22"/>
      <c r="AA318" s="32"/>
    </row>
    <row r="319" ht="15.75" customHeight="1">
      <c r="O319" s="33"/>
      <c r="P319" s="22"/>
      <c r="Q319" s="30"/>
      <c r="R319" s="30"/>
      <c r="S319" s="30"/>
      <c r="T319" s="30"/>
      <c r="U319" s="30"/>
      <c r="V319" s="30"/>
      <c r="W319" s="30"/>
      <c r="X319" s="30"/>
      <c r="Y319" s="30"/>
      <c r="Z319" s="22"/>
      <c r="AA319" s="32"/>
    </row>
    <row r="320" ht="15.75" customHeight="1">
      <c r="O320" s="33"/>
      <c r="P320" s="22"/>
      <c r="Q320" s="30"/>
      <c r="R320" s="30"/>
      <c r="S320" s="30"/>
      <c r="T320" s="30"/>
      <c r="U320" s="30"/>
      <c r="V320" s="30"/>
      <c r="W320" s="30"/>
      <c r="X320" s="30"/>
      <c r="Y320" s="30"/>
      <c r="Z320" s="22"/>
      <c r="AA320" s="32"/>
    </row>
    <row r="321" ht="15.75" customHeight="1">
      <c r="O321" s="33"/>
      <c r="P321" s="22"/>
      <c r="Q321" s="30"/>
      <c r="R321" s="30"/>
      <c r="S321" s="30"/>
      <c r="T321" s="30"/>
      <c r="U321" s="30"/>
      <c r="V321" s="30"/>
      <c r="W321" s="30"/>
      <c r="X321" s="30"/>
      <c r="Y321" s="30"/>
      <c r="Z321" s="22"/>
      <c r="AA321" s="32"/>
    </row>
    <row r="322" ht="15.75" customHeight="1">
      <c r="O322" s="33"/>
      <c r="P322" s="22"/>
      <c r="Q322" s="30"/>
      <c r="R322" s="30"/>
      <c r="S322" s="30"/>
      <c r="T322" s="30"/>
      <c r="U322" s="30"/>
      <c r="V322" s="30"/>
      <c r="W322" s="30"/>
      <c r="X322" s="30"/>
      <c r="Y322" s="30"/>
      <c r="Z322" s="22"/>
      <c r="AA322" s="32"/>
    </row>
    <row r="323" ht="15.75" customHeight="1">
      <c r="O323" s="33"/>
      <c r="P323" s="22"/>
      <c r="Q323" s="30"/>
      <c r="R323" s="30"/>
      <c r="S323" s="30"/>
      <c r="T323" s="30"/>
      <c r="U323" s="30"/>
      <c r="V323" s="30"/>
      <c r="W323" s="30"/>
      <c r="X323" s="30"/>
      <c r="Y323" s="30"/>
      <c r="Z323" s="22"/>
      <c r="AA323" s="32"/>
    </row>
    <row r="324" ht="15.75" customHeight="1">
      <c r="O324" s="33"/>
      <c r="P324" s="22"/>
      <c r="Q324" s="30"/>
      <c r="R324" s="30"/>
      <c r="S324" s="30"/>
      <c r="T324" s="30"/>
      <c r="U324" s="30"/>
      <c r="V324" s="30"/>
      <c r="W324" s="30"/>
      <c r="X324" s="30"/>
      <c r="Y324" s="30"/>
      <c r="Z324" s="22"/>
      <c r="AA324" s="32"/>
    </row>
    <row r="325" ht="15.75" customHeight="1">
      <c r="O325" s="33"/>
      <c r="P325" s="22"/>
      <c r="Q325" s="30"/>
      <c r="R325" s="30"/>
      <c r="S325" s="30"/>
      <c r="T325" s="30"/>
      <c r="U325" s="30"/>
      <c r="V325" s="30"/>
      <c r="W325" s="30"/>
      <c r="X325" s="30"/>
      <c r="Y325" s="30"/>
      <c r="Z325" s="22"/>
      <c r="AA325" s="32"/>
    </row>
    <row r="326" ht="15.75" customHeight="1">
      <c r="O326" s="33"/>
      <c r="P326" s="22"/>
      <c r="Q326" s="30"/>
      <c r="R326" s="30"/>
      <c r="S326" s="30"/>
      <c r="T326" s="30"/>
      <c r="U326" s="30"/>
      <c r="V326" s="30"/>
      <c r="W326" s="30"/>
      <c r="X326" s="30"/>
      <c r="Y326" s="30"/>
      <c r="Z326" s="22"/>
      <c r="AA326" s="32"/>
    </row>
    <row r="327" ht="15.75" customHeight="1">
      <c r="O327" s="33"/>
      <c r="P327" s="22"/>
      <c r="Q327" s="30"/>
      <c r="R327" s="30"/>
      <c r="S327" s="30"/>
      <c r="T327" s="30"/>
      <c r="U327" s="30"/>
      <c r="V327" s="30"/>
      <c r="W327" s="30"/>
      <c r="X327" s="30"/>
      <c r="Y327" s="30"/>
      <c r="Z327" s="22"/>
      <c r="AA327" s="32"/>
    </row>
    <row r="328" ht="15.75" customHeight="1">
      <c r="O328" s="33"/>
      <c r="P328" s="22"/>
      <c r="Q328" s="30"/>
      <c r="R328" s="30"/>
      <c r="S328" s="30"/>
      <c r="T328" s="30"/>
      <c r="U328" s="30"/>
      <c r="V328" s="30"/>
      <c r="W328" s="30"/>
      <c r="X328" s="30"/>
      <c r="Y328" s="30"/>
      <c r="Z328" s="22"/>
      <c r="AA328" s="32"/>
    </row>
    <row r="329" ht="15.75" customHeight="1">
      <c r="O329" s="33"/>
      <c r="P329" s="22"/>
      <c r="Q329" s="30"/>
      <c r="R329" s="30"/>
      <c r="S329" s="30"/>
      <c r="T329" s="30"/>
      <c r="U329" s="30"/>
      <c r="V329" s="30"/>
      <c r="W329" s="30"/>
      <c r="X329" s="30"/>
      <c r="Y329" s="30"/>
      <c r="Z329" s="22"/>
      <c r="AA329" s="32"/>
    </row>
    <row r="330" ht="15.75" customHeight="1">
      <c r="O330" s="33"/>
      <c r="P330" s="22"/>
      <c r="Q330" s="30"/>
      <c r="R330" s="30"/>
      <c r="S330" s="30"/>
      <c r="T330" s="30"/>
      <c r="U330" s="30"/>
      <c r="V330" s="30"/>
      <c r="W330" s="30"/>
      <c r="X330" s="30"/>
      <c r="Y330" s="30"/>
      <c r="Z330" s="22"/>
      <c r="AA330" s="32"/>
    </row>
    <row r="331" ht="15.75" customHeight="1">
      <c r="O331" s="33"/>
      <c r="P331" s="22"/>
      <c r="Q331" s="30"/>
      <c r="R331" s="30"/>
      <c r="S331" s="30"/>
      <c r="T331" s="30"/>
      <c r="U331" s="30"/>
      <c r="V331" s="30"/>
      <c r="W331" s="30"/>
      <c r="X331" s="30"/>
      <c r="Y331" s="30"/>
      <c r="Z331" s="22"/>
      <c r="AA331" s="32"/>
    </row>
    <row r="332" ht="15.75" customHeight="1">
      <c r="O332" s="33"/>
      <c r="P332" s="22"/>
      <c r="Q332" s="30"/>
      <c r="R332" s="30"/>
      <c r="S332" s="30"/>
      <c r="T332" s="30"/>
      <c r="U332" s="30"/>
      <c r="V332" s="30"/>
      <c r="W332" s="30"/>
      <c r="X332" s="30"/>
      <c r="Y332" s="30"/>
      <c r="Z332" s="22"/>
      <c r="AA332" s="32"/>
    </row>
    <row r="333" ht="15.75" customHeight="1">
      <c r="O333" s="33"/>
      <c r="P333" s="22"/>
      <c r="Q333" s="30"/>
      <c r="R333" s="30"/>
      <c r="S333" s="30"/>
      <c r="T333" s="30"/>
      <c r="U333" s="30"/>
      <c r="V333" s="30"/>
      <c r="W333" s="30"/>
      <c r="X333" s="30"/>
      <c r="Y333" s="30"/>
      <c r="Z333" s="22"/>
      <c r="AA333" s="32"/>
    </row>
    <row r="334" ht="15.75" customHeight="1">
      <c r="O334" s="33"/>
      <c r="P334" s="22"/>
      <c r="Q334" s="30"/>
      <c r="R334" s="30"/>
      <c r="S334" s="30"/>
      <c r="T334" s="30"/>
      <c r="U334" s="30"/>
      <c r="V334" s="30"/>
      <c r="W334" s="30"/>
      <c r="X334" s="30"/>
      <c r="Y334" s="30"/>
      <c r="Z334" s="22"/>
      <c r="AA334" s="32"/>
    </row>
    <row r="335" ht="15.75" customHeight="1">
      <c r="O335" s="33"/>
      <c r="P335" s="22"/>
      <c r="Q335" s="30"/>
      <c r="R335" s="30"/>
      <c r="S335" s="30"/>
      <c r="T335" s="30"/>
      <c r="U335" s="30"/>
      <c r="V335" s="30"/>
      <c r="W335" s="30"/>
      <c r="X335" s="30"/>
      <c r="Y335" s="30"/>
      <c r="Z335" s="22"/>
      <c r="AA335" s="32"/>
    </row>
    <row r="336" ht="15.75" customHeight="1">
      <c r="O336" s="33"/>
      <c r="P336" s="22"/>
      <c r="Q336" s="30"/>
      <c r="R336" s="30"/>
      <c r="S336" s="30"/>
      <c r="T336" s="30"/>
      <c r="U336" s="30"/>
      <c r="V336" s="30"/>
      <c r="W336" s="30"/>
      <c r="X336" s="30"/>
      <c r="Y336" s="30"/>
      <c r="Z336" s="22"/>
      <c r="AA336" s="32"/>
    </row>
    <row r="337" ht="15.75" customHeight="1">
      <c r="O337" s="33"/>
      <c r="P337" s="22"/>
      <c r="Q337" s="30"/>
      <c r="R337" s="30"/>
      <c r="S337" s="30"/>
      <c r="T337" s="30"/>
      <c r="U337" s="30"/>
      <c r="V337" s="30"/>
      <c r="W337" s="30"/>
      <c r="X337" s="30"/>
      <c r="Y337" s="30"/>
      <c r="Z337" s="22"/>
      <c r="AA337" s="32"/>
    </row>
    <row r="338" ht="15.75" customHeight="1">
      <c r="O338" s="33"/>
      <c r="P338" s="22"/>
      <c r="Q338" s="30"/>
      <c r="R338" s="30"/>
      <c r="S338" s="30"/>
      <c r="T338" s="30"/>
      <c r="U338" s="30"/>
      <c r="V338" s="30"/>
      <c r="W338" s="30"/>
      <c r="X338" s="30"/>
      <c r="Y338" s="30"/>
      <c r="Z338" s="22"/>
      <c r="AA338" s="32"/>
    </row>
    <row r="339" ht="15.75" customHeight="1">
      <c r="O339" s="33"/>
      <c r="P339" s="22"/>
      <c r="Q339" s="30"/>
      <c r="R339" s="30"/>
      <c r="S339" s="30"/>
      <c r="T339" s="30"/>
      <c r="U339" s="30"/>
      <c r="V339" s="30"/>
      <c r="W339" s="30"/>
      <c r="X339" s="30"/>
      <c r="Y339" s="30"/>
      <c r="Z339" s="22"/>
      <c r="AA339" s="32"/>
    </row>
    <row r="340" ht="15.75" customHeight="1">
      <c r="O340" s="33"/>
      <c r="P340" s="22"/>
      <c r="Q340" s="30"/>
      <c r="R340" s="30"/>
      <c r="S340" s="30"/>
      <c r="T340" s="30"/>
      <c r="U340" s="30"/>
      <c r="V340" s="30"/>
      <c r="W340" s="30"/>
      <c r="X340" s="30"/>
      <c r="Y340" s="30"/>
      <c r="Z340" s="22"/>
      <c r="AA340" s="32"/>
    </row>
    <row r="341" ht="15.75" customHeight="1">
      <c r="O341" s="33"/>
      <c r="P341" s="22"/>
      <c r="Q341" s="30"/>
      <c r="R341" s="30"/>
      <c r="S341" s="30"/>
      <c r="T341" s="30"/>
      <c r="U341" s="30"/>
      <c r="V341" s="30"/>
      <c r="W341" s="30"/>
      <c r="X341" s="30"/>
      <c r="Y341" s="30"/>
      <c r="Z341" s="22"/>
      <c r="AA341" s="32"/>
    </row>
    <row r="342" ht="15.75" customHeight="1">
      <c r="O342" s="33"/>
      <c r="P342" s="22"/>
      <c r="Q342" s="30"/>
      <c r="R342" s="30"/>
      <c r="S342" s="30"/>
      <c r="T342" s="30"/>
      <c r="U342" s="30"/>
      <c r="V342" s="30"/>
      <c r="W342" s="30"/>
      <c r="X342" s="30"/>
      <c r="Y342" s="30"/>
      <c r="Z342" s="22"/>
      <c r="AA342" s="32"/>
    </row>
    <row r="343" ht="15.75" customHeight="1">
      <c r="O343" s="33"/>
      <c r="P343" s="22"/>
      <c r="Q343" s="30"/>
      <c r="R343" s="30"/>
      <c r="S343" s="30"/>
      <c r="T343" s="30"/>
      <c r="U343" s="30"/>
      <c r="V343" s="30"/>
      <c r="W343" s="30"/>
      <c r="X343" s="30"/>
      <c r="Y343" s="30"/>
      <c r="Z343" s="22"/>
      <c r="AA343" s="32"/>
    </row>
    <row r="344" ht="15.75" customHeight="1">
      <c r="O344" s="33"/>
      <c r="P344" s="22"/>
      <c r="Q344" s="30"/>
      <c r="R344" s="30"/>
      <c r="S344" s="30"/>
      <c r="T344" s="30"/>
      <c r="U344" s="30"/>
      <c r="V344" s="30"/>
      <c r="W344" s="30"/>
      <c r="X344" s="30"/>
      <c r="Y344" s="30"/>
      <c r="Z344" s="22"/>
      <c r="AA344" s="32"/>
    </row>
    <row r="345" ht="15.75" customHeight="1">
      <c r="O345" s="33"/>
      <c r="P345" s="22"/>
      <c r="Q345" s="30"/>
      <c r="R345" s="30"/>
      <c r="S345" s="30"/>
      <c r="T345" s="30"/>
      <c r="U345" s="30"/>
      <c r="V345" s="30"/>
      <c r="W345" s="30"/>
      <c r="X345" s="30"/>
      <c r="Y345" s="30"/>
      <c r="Z345" s="22"/>
      <c r="AA345" s="32"/>
    </row>
    <row r="346" ht="15.75" customHeight="1">
      <c r="O346" s="33"/>
      <c r="P346" s="22"/>
      <c r="Q346" s="30"/>
      <c r="R346" s="30"/>
      <c r="S346" s="30"/>
      <c r="T346" s="30"/>
      <c r="U346" s="30"/>
      <c r="V346" s="30"/>
      <c r="W346" s="30"/>
      <c r="X346" s="30"/>
      <c r="Y346" s="30"/>
      <c r="Z346" s="22"/>
      <c r="AA346" s="32"/>
    </row>
    <row r="347" ht="15.75" customHeight="1">
      <c r="O347" s="33"/>
      <c r="P347" s="22"/>
      <c r="Q347" s="30"/>
      <c r="R347" s="30"/>
      <c r="S347" s="30"/>
      <c r="T347" s="30"/>
      <c r="U347" s="30"/>
      <c r="V347" s="30"/>
      <c r="W347" s="30"/>
      <c r="X347" s="30"/>
      <c r="Y347" s="30"/>
      <c r="Z347" s="22"/>
      <c r="AA347" s="32"/>
    </row>
    <row r="348" ht="15.75" customHeight="1">
      <c r="O348" s="33"/>
      <c r="P348" s="22"/>
      <c r="Q348" s="30"/>
      <c r="R348" s="30"/>
      <c r="S348" s="30"/>
      <c r="T348" s="30"/>
      <c r="U348" s="30"/>
      <c r="V348" s="30"/>
      <c r="W348" s="30"/>
      <c r="X348" s="30"/>
      <c r="Y348" s="30"/>
      <c r="Z348" s="22"/>
      <c r="AA348" s="32"/>
    </row>
    <row r="349" ht="15.75" customHeight="1">
      <c r="O349" s="33"/>
      <c r="P349" s="22"/>
      <c r="Q349" s="30"/>
      <c r="R349" s="30"/>
      <c r="S349" s="30"/>
      <c r="T349" s="30"/>
      <c r="U349" s="30"/>
      <c r="V349" s="30"/>
      <c r="W349" s="30"/>
      <c r="X349" s="30"/>
      <c r="Y349" s="30"/>
      <c r="Z349" s="22"/>
      <c r="AA349" s="32"/>
    </row>
    <row r="350" ht="15.75" customHeight="1">
      <c r="O350" s="33"/>
      <c r="P350" s="22"/>
      <c r="Q350" s="30"/>
      <c r="R350" s="30"/>
      <c r="S350" s="30"/>
      <c r="T350" s="30"/>
      <c r="U350" s="30"/>
      <c r="V350" s="30"/>
      <c r="W350" s="30"/>
      <c r="X350" s="30"/>
      <c r="Y350" s="30"/>
      <c r="Z350" s="22"/>
      <c r="AA350" s="32"/>
    </row>
    <row r="351" ht="15.75" customHeight="1">
      <c r="O351" s="33"/>
      <c r="P351" s="22"/>
      <c r="Q351" s="30"/>
      <c r="R351" s="30"/>
      <c r="S351" s="30"/>
      <c r="T351" s="30"/>
      <c r="U351" s="30"/>
      <c r="V351" s="30"/>
      <c r="W351" s="30"/>
      <c r="X351" s="30"/>
      <c r="Y351" s="30"/>
      <c r="Z351" s="22"/>
      <c r="AA351" s="32"/>
    </row>
    <row r="352" ht="15.75" customHeight="1">
      <c r="O352" s="33"/>
      <c r="P352" s="22"/>
      <c r="Q352" s="30"/>
      <c r="R352" s="30"/>
      <c r="S352" s="30"/>
      <c r="T352" s="30"/>
      <c r="U352" s="30"/>
      <c r="V352" s="30"/>
      <c r="W352" s="30"/>
      <c r="X352" s="30"/>
      <c r="Y352" s="30"/>
      <c r="Z352" s="22"/>
      <c r="AA352" s="32"/>
    </row>
    <row r="353" ht="15.75" customHeight="1">
      <c r="O353" s="33"/>
      <c r="P353" s="22"/>
      <c r="Q353" s="30"/>
      <c r="R353" s="30"/>
      <c r="S353" s="30"/>
      <c r="T353" s="30"/>
      <c r="U353" s="30"/>
      <c r="V353" s="30"/>
      <c r="W353" s="30"/>
      <c r="X353" s="30"/>
      <c r="Y353" s="30"/>
      <c r="Z353" s="22"/>
      <c r="AA353" s="32"/>
    </row>
    <row r="354" ht="15.75" customHeight="1">
      <c r="O354" s="33"/>
      <c r="P354" s="22"/>
      <c r="Q354" s="30"/>
      <c r="R354" s="30"/>
      <c r="S354" s="30"/>
      <c r="T354" s="30"/>
      <c r="U354" s="30"/>
      <c r="V354" s="30"/>
      <c r="W354" s="30"/>
      <c r="X354" s="30"/>
      <c r="Y354" s="30"/>
      <c r="Z354" s="22"/>
      <c r="AA354" s="32"/>
    </row>
    <row r="355" ht="15.75" customHeight="1">
      <c r="O355" s="33"/>
      <c r="P355" s="22"/>
      <c r="Q355" s="30"/>
      <c r="R355" s="30"/>
      <c r="S355" s="30"/>
      <c r="T355" s="30"/>
      <c r="U355" s="30"/>
      <c r="V355" s="30"/>
      <c r="W355" s="30"/>
      <c r="X355" s="30"/>
      <c r="Y355" s="30"/>
      <c r="Z355" s="22"/>
      <c r="AA355" s="32"/>
    </row>
    <row r="356" ht="15.75" customHeight="1">
      <c r="O356" s="33"/>
      <c r="P356" s="22"/>
      <c r="Q356" s="30"/>
      <c r="R356" s="30"/>
      <c r="S356" s="30"/>
      <c r="T356" s="30"/>
      <c r="U356" s="30"/>
      <c r="V356" s="30"/>
      <c r="W356" s="30"/>
      <c r="X356" s="30"/>
      <c r="Y356" s="30"/>
      <c r="Z356" s="22"/>
      <c r="AA356" s="32"/>
    </row>
    <row r="357" ht="15.75" customHeight="1">
      <c r="O357" s="33"/>
      <c r="P357" s="22"/>
      <c r="Q357" s="30"/>
      <c r="R357" s="30"/>
      <c r="S357" s="30"/>
      <c r="T357" s="30"/>
      <c r="U357" s="30"/>
      <c r="V357" s="30"/>
      <c r="W357" s="30"/>
      <c r="X357" s="30"/>
      <c r="Y357" s="30"/>
      <c r="Z357" s="22"/>
      <c r="AA357" s="32"/>
    </row>
    <row r="358" ht="15.75" customHeight="1">
      <c r="O358" s="33"/>
      <c r="P358" s="22"/>
      <c r="Q358" s="30"/>
      <c r="R358" s="30"/>
      <c r="S358" s="30"/>
      <c r="T358" s="30"/>
      <c r="U358" s="30"/>
      <c r="V358" s="30"/>
      <c r="W358" s="30"/>
      <c r="X358" s="30"/>
      <c r="Y358" s="30"/>
      <c r="Z358" s="22"/>
      <c r="AA358" s="32"/>
    </row>
    <row r="359" ht="15.75" customHeight="1">
      <c r="O359" s="33"/>
      <c r="P359" s="22"/>
      <c r="Q359" s="30"/>
      <c r="R359" s="30"/>
      <c r="S359" s="30"/>
      <c r="T359" s="30"/>
      <c r="U359" s="30"/>
      <c r="V359" s="30"/>
      <c r="W359" s="30"/>
      <c r="X359" s="30"/>
      <c r="Y359" s="30"/>
      <c r="Z359" s="22"/>
      <c r="AA359" s="32"/>
    </row>
    <row r="360" ht="15.75" customHeight="1">
      <c r="O360" s="33"/>
      <c r="P360" s="22"/>
      <c r="Q360" s="30"/>
      <c r="R360" s="30"/>
      <c r="S360" s="30"/>
      <c r="T360" s="30"/>
      <c r="U360" s="30"/>
      <c r="V360" s="30"/>
      <c r="W360" s="30"/>
      <c r="X360" s="30"/>
      <c r="Y360" s="30"/>
      <c r="Z360" s="22"/>
      <c r="AA360" s="32"/>
    </row>
    <row r="361" ht="15.75" customHeight="1">
      <c r="O361" s="33"/>
      <c r="P361" s="22"/>
      <c r="Q361" s="30"/>
      <c r="R361" s="30"/>
      <c r="S361" s="30"/>
      <c r="T361" s="30"/>
      <c r="U361" s="30"/>
      <c r="V361" s="30"/>
      <c r="W361" s="30"/>
      <c r="X361" s="30"/>
      <c r="Y361" s="30"/>
      <c r="Z361" s="22"/>
      <c r="AA361" s="32"/>
    </row>
    <row r="362" ht="15.75" customHeight="1">
      <c r="O362" s="33"/>
      <c r="P362" s="22"/>
      <c r="Q362" s="30"/>
      <c r="R362" s="30"/>
      <c r="S362" s="30"/>
      <c r="T362" s="30"/>
      <c r="U362" s="30"/>
      <c r="V362" s="30"/>
      <c r="W362" s="30"/>
      <c r="X362" s="30"/>
      <c r="Y362" s="30"/>
      <c r="Z362" s="22"/>
      <c r="AA362" s="32"/>
    </row>
    <row r="363" ht="15.75" customHeight="1">
      <c r="O363" s="33"/>
      <c r="P363" s="22"/>
      <c r="Q363" s="30"/>
      <c r="R363" s="30"/>
      <c r="S363" s="30"/>
      <c r="T363" s="30"/>
      <c r="U363" s="30"/>
      <c r="V363" s="30"/>
      <c r="W363" s="30"/>
      <c r="X363" s="30"/>
      <c r="Y363" s="30"/>
      <c r="Z363" s="22"/>
      <c r="AA363" s="32"/>
    </row>
    <row r="364" ht="15.75" customHeight="1">
      <c r="O364" s="33"/>
      <c r="P364" s="22"/>
      <c r="Q364" s="30"/>
      <c r="R364" s="30"/>
      <c r="S364" s="30"/>
      <c r="T364" s="30"/>
      <c r="U364" s="30"/>
      <c r="V364" s="30"/>
      <c r="W364" s="30"/>
      <c r="X364" s="30"/>
      <c r="Y364" s="30"/>
      <c r="Z364" s="22"/>
      <c r="AA364" s="32"/>
    </row>
    <row r="365" ht="15.75" customHeight="1">
      <c r="O365" s="33"/>
      <c r="P365" s="22"/>
      <c r="Q365" s="30"/>
      <c r="R365" s="30"/>
      <c r="S365" s="30"/>
      <c r="T365" s="30"/>
      <c r="U365" s="30"/>
      <c r="V365" s="30"/>
      <c r="W365" s="30"/>
      <c r="X365" s="30"/>
      <c r="Y365" s="30"/>
      <c r="Z365" s="22"/>
      <c r="AA365" s="32"/>
    </row>
    <row r="366" ht="15.75" customHeight="1">
      <c r="O366" s="33"/>
      <c r="P366" s="22"/>
      <c r="Q366" s="30"/>
      <c r="R366" s="30"/>
      <c r="S366" s="30"/>
      <c r="T366" s="30"/>
      <c r="U366" s="30"/>
      <c r="V366" s="30"/>
      <c r="W366" s="30"/>
      <c r="X366" s="30"/>
      <c r="Y366" s="30"/>
      <c r="Z366" s="22"/>
      <c r="AA366" s="32"/>
    </row>
    <row r="367" ht="15.75" customHeight="1">
      <c r="O367" s="33"/>
      <c r="P367" s="22"/>
      <c r="Q367" s="30"/>
      <c r="R367" s="30"/>
      <c r="S367" s="30"/>
      <c r="T367" s="30"/>
      <c r="U367" s="30"/>
      <c r="V367" s="30"/>
      <c r="W367" s="30"/>
      <c r="X367" s="30"/>
      <c r="Y367" s="30"/>
      <c r="Z367" s="22"/>
      <c r="AA367" s="32"/>
    </row>
    <row r="368" ht="15.75" customHeight="1">
      <c r="O368" s="33"/>
      <c r="P368" s="22"/>
      <c r="Q368" s="30"/>
      <c r="R368" s="30"/>
      <c r="S368" s="30"/>
      <c r="T368" s="30"/>
      <c r="U368" s="30"/>
      <c r="V368" s="30"/>
      <c r="W368" s="30"/>
      <c r="X368" s="30"/>
      <c r="Y368" s="30"/>
      <c r="Z368" s="22"/>
      <c r="AA368" s="32"/>
    </row>
    <row r="369" ht="15.75" customHeight="1">
      <c r="O369" s="33"/>
      <c r="P369" s="22"/>
      <c r="Q369" s="30"/>
      <c r="R369" s="30"/>
      <c r="S369" s="30"/>
      <c r="T369" s="30"/>
      <c r="U369" s="30"/>
      <c r="V369" s="30"/>
      <c r="W369" s="30"/>
      <c r="X369" s="30"/>
      <c r="Y369" s="30"/>
      <c r="Z369" s="22"/>
      <c r="AA369" s="32"/>
    </row>
    <row r="370" ht="15.75" customHeight="1">
      <c r="O370" s="33"/>
      <c r="P370" s="22"/>
      <c r="Q370" s="30"/>
      <c r="R370" s="30"/>
      <c r="S370" s="30"/>
      <c r="T370" s="30"/>
      <c r="U370" s="30"/>
      <c r="V370" s="30"/>
      <c r="W370" s="30"/>
      <c r="X370" s="30"/>
      <c r="Y370" s="30"/>
      <c r="Z370" s="22"/>
      <c r="AA370" s="32"/>
    </row>
    <row r="371" ht="15.75" customHeight="1">
      <c r="O371" s="33"/>
      <c r="P371" s="22"/>
      <c r="Q371" s="30"/>
      <c r="R371" s="30"/>
      <c r="S371" s="30"/>
      <c r="T371" s="30"/>
      <c r="U371" s="30"/>
      <c r="V371" s="30"/>
      <c r="W371" s="30"/>
      <c r="X371" s="30"/>
      <c r="Y371" s="30"/>
      <c r="Z371" s="22"/>
      <c r="AA371" s="32"/>
    </row>
    <row r="372" ht="15.75" customHeight="1">
      <c r="O372" s="33"/>
      <c r="P372" s="22"/>
      <c r="Q372" s="30"/>
      <c r="R372" s="30"/>
      <c r="S372" s="30"/>
      <c r="T372" s="30"/>
      <c r="U372" s="30"/>
      <c r="V372" s="30"/>
      <c r="W372" s="30"/>
      <c r="X372" s="30"/>
      <c r="Y372" s="30"/>
      <c r="Z372" s="22"/>
      <c r="AA372" s="32"/>
    </row>
    <row r="373" ht="15.75" customHeight="1">
      <c r="O373" s="33"/>
      <c r="P373" s="22"/>
      <c r="Q373" s="30"/>
      <c r="R373" s="30"/>
      <c r="S373" s="30"/>
      <c r="T373" s="30"/>
      <c r="U373" s="30"/>
      <c r="V373" s="30"/>
      <c r="W373" s="30"/>
      <c r="X373" s="30"/>
      <c r="Y373" s="30"/>
      <c r="Z373" s="22"/>
      <c r="AA373" s="32"/>
    </row>
    <row r="374" ht="15.75" customHeight="1">
      <c r="O374" s="33"/>
      <c r="P374" s="22"/>
      <c r="Q374" s="30"/>
      <c r="R374" s="30"/>
      <c r="S374" s="30"/>
      <c r="T374" s="30"/>
      <c r="U374" s="30"/>
      <c r="V374" s="30"/>
      <c r="W374" s="30"/>
      <c r="X374" s="30"/>
      <c r="Y374" s="30"/>
      <c r="Z374" s="22"/>
      <c r="AA374" s="32"/>
    </row>
    <row r="375" ht="15.75" customHeight="1">
      <c r="O375" s="33"/>
      <c r="P375" s="22"/>
      <c r="Q375" s="30"/>
      <c r="R375" s="30"/>
      <c r="S375" s="30"/>
      <c r="T375" s="30"/>
      <c r="U375" s="30"/>
      <c r="V375" s="30"/>
      <c r="W375" s="30"/>
      <c r="X375" s="30"/>
      <c r="Y375" s="30"/>
      <c r="Z375" s="22"/>
      <c r="AA375" s="32"/>
    </row>
    <row r="376" ht="15.75" customHeight="1">
      <c r="O376" s="33"/>
      <c r="P376" s="22"/>
      <c r="Q376" s="30"/>
      <c r="R376" s="30"/>
      <c r="S376" s="30"/>
      <c r="T376" s="30"/>
      <c r="U376" s="30"/>
      <c r="V376" s="30"/>
      <c r="W376" s="30"/>
      <c r="X376" s="30"/>
      <c r="Y376" s="30"/>
      <c r="Z376" s="22"/>
      <c r="AA376" s="32"/>
    </row>
    <row r="377" ht="15.75" customHeight="1">
      <c r="O377" s="33"/>
      <c r="P377" s="22"/>
      <c r="Q377" s="30"/>
      <c r="R377" s="30"/>
      <c r="S377" s="30"/>
      <c r="T377" s="30"/>
      <c r="U377" s="30"/>
      <c r="V377" s="30"/>
      <c r="W377" s="30"/>
      <c r="X377" s="30"/>
      <c r="Y377" s="30"/>
      <c r="Z377" s="22"/>
      <c r="AA377" s="32"/>
    </row>
    <row r="378" ht="15.75" customHeight="1">
      <c r="O378" s="33"/>
      <c r="P378" s="22"/>
      <c r="Q378" s="30"/>
      <c r="R378" s="30"/>
      <c r="S378" s="30"/>
      <c r="T378" s="30"/>
      <c r="U378" s="30"/>
      <c r="V378" s="30"/>
      <c r="W378" s="30"/>
      <c r="X378" s="30"/>
      <c r="Y378" s="30"/>
      <c r="Z378" s="22"/>
      <c r="AA378" s="32"/>
    </row>
    <row r="379" ht="15.75" customHeight="1">
      <c r="O379" s="33"/>
      <c r="P379" s="22"/>
      <c r="Q379" s="30"/>
      <c r="R379" s="30"/>
      <c r="S379" s="30"/>
      <c r="T379" s="30"/>
      <c r="U379" s="30"/>
      <c r="V379" s="30"/>
      <c r="W379" s="30"/>
      <c r="X379" s="30"/>
      <c r="Y379" s="30"/>
      <c r="Z379" s="22"/>
      <c r="AA379" s="32"/>
    </row>
    <row r="380" ht="15.75" customHeight="1">
      <c r="O380" s="33"/>
      <c r="P380" s="22"/>
      <c r="Q380" s="30"/>
      <c r="R380" s="30"/>
      <c r="S380" s="30"/>
      <c r="T380" s="30"/>
      <c r="U380" s="30"/>
      <c r="V380" s="30"/>
      <c r="W380" s="30"/>
      <c r="X380" s="30"/>
      <c r="Y380" s="30"/>
      <c r="Z380" s="22"/>
      <c r="AA380" s="32"/>
    </row>
    <row r="381" ht="15.75" customHeight="1">
      <c r="O381" s="33"/>
      <c r="P381" s="22"/>
      <c r="Q381" s="30"/>
      <c r="R381" s="30"/>
      <c r="S381" s="30"/>
      <c r="T381" s="30"/>
      <c r="U381" s="30"/>
      <c r="V381" s="30"/>
      <c r="W381" s="30"/>
      <c r="X381" s="30"/>
      <c r="Y381" s="30"/>
      <c r="Z381" s="22"/>
      <c r="AA381" s="32"/>
    </row>
    <row r="382" ht="15.75" customHeight="1">
      <c r="O382" s="33"/>
      <c r="P382" s="22"/>
      <c r="Q382" s="30"/>
      <c r="R382" s="30"/>
      <c r="S382" s="30"/>
      <c r="T382" s="30"/>
      <c r="U382" s="30"/>
      <c r="V382" s="30"/>
      <c r="W382" s="30"/>
      <c r="X382" s="30"/>
      <c r="Y382" s="30"/>
      <c r="Z382" s="22"/>
      <c r="AA382" s="32"/>
    </row>
    <row r="383" ht="15.75" customHeight="1">
      <c r="O383" s="33"/>
      <c r="P383" s="22"/>
      <c r="Q383" s="30"/>
      <c r="R383" s="30"/>
      <c r="S383" s="30"/>
      <c r="T383" s="30"/>
      <c r="U383" s="30"/>
      <c r="V383" s="30"/>
      <c r="W383" s="30"/>
      <c r="X383" s="30"/>
      <c r="Y383" s="30"/>
      <c r="Z383" s="22"/>
      <c r="AA383" s="32"/>
    </row>
    <row r="384" ht="15.75" customHeight="1">
      <c r="O384" s="33"/>
      <c r="P384" s="22"/>
      <c r="Q384" s="30"/>
      <c r="R384" s="30"/>
      <c r="S384" s="30"/>
      <c r="T384" s="30"/>
      <c r="U384" s="30"/>
      <c r="V384" s="30"/>
      <c r="W384" s="30"/>
      <c r="X384" s="30"/>
      <c r="Y384" s="30"/>
      <c r="Z384" s="22"/>
      <c r="AA384" s="32"/>
    </row>
    <row r="385" ht="15.75" customHeight="1">
      <c r="O385" s="33"/>
      <c r="P385" s="22"/>
      <c r="Q385" s="30"/>
      <c r="R385" s="30"/>
      <c r="S385" s="30"/>
      <c r="T385" s="30"/>
      <c r="U385" s="30"/>
      <c r="V385" s="30"/>
      <c r="W385" s="30"/>
      <c r="X385" s="30"/>
      <c r="Y385" s="30"/>
      <c r="Z385" s="22"/>
      <c r="AA385" s="32"/>
    </row>
    <row r="386" ht="15.75" customHeight="1">
      <c r="O386" s="33"/>
      <c r="P386" s="22"/>
      <c r="Q386" s="30"/>
      <c r="R386" s="30"/>
      <c r="S386" s="30"/>
      <c r="T386" s="30"/>
      <c r="U386" s="30"/>
      <c r="V386" s="30"/>
      <c r="W386" s="30"/>
      <c r="X386" s="30"/>
      <c r="Y386" s="30"/>
      <c r="Z386" s="22"/>
      <c r="AA386" s="32"/>
    </row>
    <row r="387" ht="15.75" customHeight="1">
      <c r="O387" s="33"/>
      <c r="P387" s="22"/>
      <c r="Q387" s="30"/>
      <c r="R387" s="30"/>
      <c r="S387" s="30"/>
      <c r="T387" s="30"/>
      <c r="U387" s="30"/>
      <c r="V387" s="30"/>
      <c r="W387" s="30"/>
      <c r="X387" s="30"/>
      <c r="Y387" s="30"/>
      <c r="Z387" s="22"/>
      <c r="AA387" s="32"/>
    </row>
    <row r="388" ht="15.75" customHeight="1">
      <c r="O388" s="33"/>
      <c r="P388" s="22"/>
      <c r="Q388" s="30"/>
      <c r="R388" s="30"/>
      <c r="S388" s="30"/>
      <c r="T388" s="30"/>
      <c r="U388" s="30"/>
      <c r="V388" s="30"/>
      <c r="W388" s="30"/>
      <c r="X388" s="30"/>
      <c r="Y388" s="30"/>
      <c r="Z388" s="22"/>
      <c r="AA388" s="32"/>
    </row>
    <row r="389" ht="15.75" customHeight="1">
      <c r="O389" s="33"/>
      <c r="P389" s="22"/>
      <c r="Q389" s="30"/>
      <c r="R389" s="30"/>
      <c r="S389" s="30"/>
      <c r="T389" s="30"/>
      <c r="U389" s="30"/>
      <c r="V389" s="30"/>
      <c r="W389" s="30"/>
      <c r="X389" s="30"/>
      <c r="Y389" s="30"/>
      <c r="Z389" s="22"/>
      <c r="AA389" s="32"/>
    </row>
    <row r="390" ht="15.75" customHeight="1">
      <c r="O390" s="33"/>
      <c r="P390" s="22"/>
      <c r="Q390" s="30"/>
      <c r="R390" s="30"/>
      <c r="S390" s="30"/>
      <c r="T390" s="30"/>
      <c r="U390" s="30"/>
      <c r="V390" s="30"/>
      <c r="W390" s="30"/>
      <c r="X390" s="30"/>
      <c r="Y390" s="30"/>
      <c r="Z390" s="22"/>
      <c r="AA390" s="32"/>
    </row>
    <row r="391" ht="15.75" customHeight="1">
      <c r="O391" s="33"/>
      <c r="P391" s="22"/>
      <c r="Q391" s="30"/>
      <c r="R391" s="30"/>
      <c r="S391" s="30"/>
      <c r="T391" s="30"/>
      <c r="U391" s="30"/>
      <c r="V391" s="30"/>
      <c r="W391" s="30"/>
      <c r="X391" s="30"/>
      <c r="Y391" s="30"/>
      <c r="Z391" s="22"/>
      <c r="AA391" s="32"/>
    </row>
    <row r="392" ht="15.75" customHeight="1">
      <c r="O392" s="33"/>
      <c r="P392" s="22"/>
      <c r="Q392" s="30"/>
      <c r="R392" s="30"/>
      <c r="S392" s="30"/>
      <c r="T392" s="30"/>
      <c r="U392" s="30"/>
      <c r="V392" s="30"/>
      <c r="W392" s="30"/>
      <c r="X392" s="30"/>
      <c r="Y392" s="30"/>
      <c r="Z392" s="22"/>
      <c r="AA392" s="32"/>
    </row>
    <row r="393" ht="15.75" customHeight="1">
      <c r="O393" s="33"/>
      <c r="P393" s="22"/>
      <c r="Q393" s="30"/>
      <c r="R393" s="30"/>
      <c r="S393" s="30"/>
      <c r="T393" s="30"/>
      <c r="U393" s="30"/>
      <c r="V393" s="30"/>
      <c r="W393" s="30"/>
      <c r="X393" s="30"/>
      <c r="Y393" s="30"/>
      <c r="Z393" s="22"/>
      <c r="AA393" s="32"/>
    </row>
    <row r="394" ht="15.75" customHeight="1">
      <c r="O394" s="33"/>
      <c r="P394" s="22"/>
      <c r="Q394" s="30"/>
      <c r="R394" s="30"/>
      <c r="S394" s="30"/>
      <c r="T394" s="30"/>
      <c r="U394" s="30"/>
      <c r="V394" s="30"/>
      <c r="W394" s="30"/>
      <c r="X394" s="30"/>
      <c r="Y394" s="30"/>
      <c r="Z394" s="22"/>
      <c r="AA394" s="32"/>
    </row>
    <row r="395" ht="15.75" customHeight="1">
      <c r="O395" s="33"/>
      <c r="P395" s="22"/>
      <c r="Q395" s="30"/>
      <c r="R395" s="30"/>
      <c r="S395" s="30"/>
      <c r="T395" s="30"/>
      <c r="U395" s="30"/>
      <c r="V395" s="30"/>
      <c r="W395" s="30"/>
      <c r="X395" s="30"/>
      <c r="Y395" s="30"/>
      <c r="Z395" s="22"/>
      <c r="AA395" s="32"/>
    </row>
    <row r="396" ht="15.75" customHeight="1">
      <c r="O396" s="33"/>
      <c r="P396" s="22"/>
      <c r="Q396" s="30"/>
      <c r="R396" s="30"/>
      <c r="S396" s="30"/>
      <c r="T396" s="30"/>
      <c r="U396" s="30"/>
      <c r="V396" s="30"/>
      <c r="W396" s="30"/>
      <c r="X396" s="30"/>
      <c r="Y396" s="30"/>
      <c r="Z396" s="22"/>
      <c r="AA396" s="32"/>
    </row>
    <row r="397" ht="15.75" customHeight="1">
      <c r="O397" s="33"/>
      <c r="P397" s="22"/>
      <c r="Q397" s="30"/>
      <c r="R397" s="30"/>
      <c r="S397" s="30"/>
      <c r="T397" s="30"/>
      <c r="U397" s="30"/>
      <c r="V397" s="30"/>
      <c r="W397" s="30"/>
      <c r="X397" s="30"/>
      <c r="Y397" s="30"/>
      <c r="Z397" s="22"/>
      <c r="AA397" s="32"/>
    </row>
    <row r="398" ht="15.75" customHeight="1">
      <c r="O398" s="33"/>
      <c r="P398" s="22"/>
      <c r="Q398" s="30"/>
      <c r="R398" s="30"/>
      <c r="S398" s="30"/>
      <c r="T398" s="30"/>
      <c r="U398" s="30"/>
      <c r="V398" s="30"/>
      <c r="W398" s="30"/>
      <c r="X398" s="30"/>
      <c r="Y398" s="30"/>
      <c r="Z398" s="22"/>
      <c r="AA398" s="32"/>
    </row>
    <row r="399" ht="15.75" customHeight="1">
      <c r="O399" s="33"/>
      <c r="P399" s="22"/>
      <c r="Q399" s="30"/>
      <c r="R399" s="30"/>
      <c r="S399" s="30"/>
      <c r="T399" s="30"/>
      <c r="U399" s="30"/>
      <c r="V399" s="30"/>
      <c r="W399" s="30"/>
      <c r="X399" s="30"/>
      <c r="Y399" s="30"/>
      <c r="Z399" s="22"/>
      <c r="AA399" s="32"/>
    </row>
    <row r="400" ht="15.75" customHeight="1">
      <c r="O400" s="33"/>
      <c r="P400" s="22"/>
      <c r="Q400" s="30"/>
      <c r="R400" s="30"/>
      <c r="S400" s="30"/>
      <c r="T400" s="30"/>
      <c r="U400" s="30"/>
      <c r="V400" s="30"/>
      <c r="W400" s="30"/>
      <c r="X400" s="30"/>
      <c r="Y400" s="30"/>
      <c r="Z400" s="22"/>
      <c r="AA400" s="32"/>
    </row>
    <row r="401" ht="15.75" customHeight="1">
      <c r="O401" s="33"/>
      <c r="P401" s="22"/>
      <c r="Q401" s="30"/>
      <c r="R401" s="30"/>
      <c r="S401" s="30"/>
      <c r="T401" s="30"/>
      <c r="U401" s="30"/>
      <c r="V401" s="30"/>
      <c r="W401" s="30"/>
      <c r="X401" s="30"/>
      <c r="Y401" s="30"/>
      <c r="Z401" s="22"/>
      <c r="AA401" s="32"/>
    </row>
    <row r="402" ht="15.75" customHeight="1">
      <c r="O402" s="33"/>
      <c r="P402" s="22"/>
      <c r="Q402" s="30"/>
      <c r="R402" s="30"/>
      <c r="S402" s="30"/>
      <c r="T402" s="30"/>
      <c r="U402" s="30"/>
      <c r="V402" s="30"/>
      <c r="W402" s="30"/>
      <c r="X402" s="30"/>
      <c r="Y402" s="30"/>
      <c r="Z402" s="22"/>
      <c r="AA402" s="32"/>
    </row>
    <row r="403" ht="15.75" customHeight="1">
      <c r="O403" s="33"/>
      <c r="P403" s="22"/>
      <c r="Q403" s="30"/>
      <c r="R403" s="30"/>
      <c r="S403" s="30"/>
      <c r="T403" s="30"/>
      <c r="U403" s="30"/>
      <c r="V403" s="30"/>
      <c r="W403" s="30"/>
      <c r="X403" s="30"/>
      <c r="Y403" s="30"/>
      <c r="Z403" s="22"/>
      <c r="AA403" s="32"/>
    </row>
    <row r="404" ht="15.75" customHeight="1">
      <c r="O404" s="33"/>
      <c r="P404" s="22"/>
      <c r="Q404" s="30"/>
      <c r="R404" s="30"/>
      <c r="S404" s="30"/>
      <c r="T404" s="30"/>
      <c r="U404" s="30"/>
      <c r="V404" s="30"/>
      <c r="W404" s="30"/>
      <c r="X404" s="30"/>
      <c r="Y404" s="30"/>
      <c r="Z404" s="22"/>
      <c r="AA404" s="32"/>
    </row>
    <row r="405" ht="15.75" customHeight="1">
      <c r="O405" s="33"/>
      <c r="P405" s="22"/>
      <c r="Q405" s="30"/>
      <c r="R405" s="30"/>
      <c r="S405" s="30"/>
      <c r="T405" s="30"/>
      <c r="U405" s="30"/>
      <c r="V405" s="30"/>
      <c r="W405" s="30"/>
      <c r="X405" s="30"/>
      <c r="Y405" s="30"/>
      <c r="Z405" s="22"/>
      <c r="AA405" s="32"/>
    </row>
    <row r="406" ht="15.75" customHeight="1">
      <c r="O406" s="33"/>
      <c r="P406" s="22"/>
      <c r="Q406" s="30"/>
      <c r="R406" s="30"/>
      <c r="S406" s="30"/>
      <c r="T406" s="30"/>
      <c r="U406" s="30"/>
      <c r="V406" s="30"/>
      <c r="W406" s="30"/>
      <c r="X406" s="30"/>
      <c r="Y406" s="30"/>
      <c r="Z406" s="22"/>
      <c r="AA406" s="32"/>
    </row>
    <row r="407" ht="15.75" customHeight="1">
      <c r="O407" s="33"/>
      <c r="P407" s="22"/>
      <c r="Q407" s="30"/>
      <c r="R407" s="30"/>
      <c r="S407" s="30"/>
      <c r="T407" s="30"/>
      <c r="U407" s="30"/>
      <c r="V407" s="30"/>
      <c r="W407" s="30"/>
      <c r="X407" s="30"/>
      <c r="Y407" s="30"/>
      <c r="Z407" s="22"/>
      <c r="AA407" s="32"/>
    </row>
    <row r="408" ht="15.75" customHeight="1">
      <c r="O408" s="33"/>
      <c r="P408" s="22"/>
      <c r="Q408" s="30"/>
      <c r="R408" s="30"/>
      <c r="S408" s="30"/>
      <c r="T408" s="30"/>
      <c r="U408" s="30"/>
      <c r="V408" s="30"/>
      <c r="W408" s="30"/>
      <c r="X408" s="30"/>
      <c r="Y408" s="30"/>
      <c r="Z408" s="22"/>
      <c r="AA408" s="32"/>
    </row>
    <row r="409" ht="15.75" customHeight="1">
      <c r="O409" s="33"/>
      <c r="P409" s="22"/>
      <c r="Q409" s="30"/>
      <c r="R409" s="30"/>
      <c r="S409" s="30"/>
      <c r="T409" s="30"/>
      <c r="U409" s="30"/>
      <c r="V409" s="30"/>
      <c r="W409" s="30"/>
      <c r="X409" s="30"/>
      <c r="Y409" s="30"/>
      <c r="Z409" s="22"/>
      <c r="AA409" s="32"/>
    </row>
    <row r="410" ht="15.75" customHeight="1">
      <c r="O410" s="33"/>
      <c r="P410" s="22"/>
      <c r="Q410" s="30"/>
      <c r="R410" s="30"/>
      <c r="S410" s="30"/>
      <c r="T410" s="30"/>
      <c r="U410" s="30"/>
      <c r="V410" s="30"/>
      <c r="W410" s="30"/>
      <c r="X410" s="30"/>
      <c r="Y410" s="30"/>
      <c r="Z410" s="22"/>
      <c r="AA410" s="32"/>
    </row>
    <row r="411" ht="15.75" customHeight="1">
      <c r="O411" s="33"/>
      <c r="P411" s="22"/>
      <c r="Q411" s="30"/>
      <c r="R411" s="30"/>
      <c r="S411" s="30"/>
      <c r="T411" s="30"/>
      <c r="U411" s="30"/>
      <c r="V411" s="30"/>
      <c r="W411" s="30"/>
      <c r="X411" s="30"/>
      <c r="Y411" s="30"/>
      <c r="Z411" s="22"/>
      <c r="AA411" s="32"/>
    </row>
    <row r="412" ht="15.75" customHeight="1">
      <c r="O412" s="33"/>
      <c r="P412" s="22"/>
      <c r="Q412" s="30"/>
      <c r="R412" s="30"/>
      <c r="S412" s="30"/>
      <c r="T412" s="30"/>
      <c r="U412" s="30"/>
      <c r="V412" s="30"/>
      <c r="W412" s="30"/>
      <c r="X412" s="30"/>
      <c r="Y412" s="30"/>
      <c r="Z412" s="22"/>
      <c r="AA412" s="32"/>
    </row>
    <row r="413" ht="15.75" customHeight="1">
      <c r="O413" s="33"/>
      <c r="P413" s="22"/>
      <c r="Q413" s="30"/>
      <c r="R413" s="30"/>
      <c r="S413" s="30"/>
      <c r="T413" s="30"/>
      <c r="U413" s="30"/>
      <c r="V413" s="30"/>
      <c r="W413" s="30"/>
      <c r="X413" s="30"/>
      <c r="Y413" s="30"/>
      <c r="Z413" s="22"/>
      <c r="AA413" s="32"/>
    </row>
    <row r="414" ht="15.75" customHeight="1">
      <c r="O414" s="33"/>
      <c r="P414" s="22"/>
      <c r="Q414" s="30"/>
      <c r="R414" s="30"/>
      <c r="S414" s="30"/>
      <c r="T414" s="30"/>
      <c r="U414" s="30"/>
      <c r="V414" s="30"/>
      <c r="W414" s="30"/>
      <c r="X414" s="30"/>
      <c r="Y414" s="30"/>
      <c r="Z414" s="22"/>
      <c r="AA414" s="32"/>
    </row>
    <row r="415" ht="15.75" customHeight="1">
      <c r="O415" s="33"/>
      <c r="P415" s="22"/>
      <c r="Q415" s="30"/>
      <c r="R415" s="30"/>
      <c r="S415" s="30"/>
      <c r="T415" s="30"/>
      <c r="U415" s="30"/>
      <c r="V415" s="30"/>
      <c r="W415" s="30"/>
      <c r="X415" s="30"/>
      <c r="Y415" s="30"/>
      <c r="Z415" s="22"/>
      <c r="AA415" s="32"/>
    </row>
    <row r="416" ht="15.75" customHeight="1">
      <c r="O416" s="33"/>
      <c r="P416" s="22"/>
      <c r="Q416" s="30"/>
      <c r="R416" s="30"/>
      <c r="S416" s="30"/>
      <c r="T416" s="30"/>
      <c r="U416" s="30"/>
      <c r="V416" s="30"/>
      <c r="W416" s="30"/>
      <c r="X416" s="30"/>
      <c r="Y416" s="30"/>
      <c r="Z416" s="22"/>
      <c r="AA416" s="32"/>
    </row>
    <row r="417" ht="15.75" customHeight="1">
      <c r="O417" s="33"/>
      <c r="P417" s="22"/>
      <c r="Q417" s="30"/>
      <c r="R417" s="30"/>
      <c r="S417" s="30"/>
      <c r="T417" s="30"/>
      <c r="U417" s="30"/>
      <c r="V417" s="30"/>
      <c r="W417" s="30"/>
      <c r="X417" s="30"/>
      <c r="Y417" s="30"/>
      <c r="Z417" s="22"/>
      <c r="AA417" s="32"/>
    </row>
    <row r="418" ht="15.75" customHeight="1">
      <c r="O418" s="33"/>
      <c r="P418" s="22"/>
      <c r="Q418" s="30"/>
      <c r="R418" s="30"/>
      <c r="S418" s="30"/>
      <c r="T418" s="30"/>
      <c r="U418" s="30"/>
      <c r="V418" s="30"/>
      <c r="W418" s="30"/>
      <c r="X418" s="30"/>
      <c r="Y418" s="30"/>
      <c r="Z418" s="22"/>
      <c r="AA418" s="32"/>
    </row>
    <row r="419" ht="15.75" customHeight="1">
      <c r="O419" s="33"/>
      <c r="P419" s="22"/>
      <c r="Q419" s="30"/>
      <c r="R419" s="30"/>
      <c r="S419" s="30"/>
      <c r="T419" s="30"/>
      <c r="U419" s="30"/>
      <c r="V419" s="30"/>
      <c r="W419" s="30"/>
      <c r="X419" s="30"/>
      <c r="Y419" s="30"/>
      <c r="Z419" s="22"/>
      <c r="AA419" s="32"/>
    </row>
    <row r="420" ht="15.75" customHeight="1">
      <c r="O420" s="33"/>
      <c r="P420" s="22"/>
      <c r="Q420" s="30"/>
      <c r="R420" s="30"/>
      <c r="S420" s="30"/>
      <c r="T420" s="30"/>
      <c r="U420" s="30"/>
      <c r="V420" s="30"/>
      <c r="W420" s="30"/>
      <c r="X420" s="30"/>
      <c r="Y420" s="30"/>
      <c r="Z420" s="22"/>
      <c r="AA420" s="32"/>
    </row>
    <row r="421" ht="15.75" customHeight="1">
      <c r="O421" s="33"/>
      <c r="P421" s="22"/>
      <c r="Q421" s="30"/>
      <c r="R421" s="30"/>
      <c r="S421" s="30"/>
      <c r="T421" s="30"/>
      <c r="U421" s="30"/>
      <c r="V421" s="30"/>
      <c r="W421" s="30"/>
      <c r="X421" s="30"/>
      <c r="Y421" s="30"/>
      <c r="Z421" s="22"/>
      <c r="AA421" s="32"/>
    </row>
    <row r="422" ht="15.75" customHeight="1">
      <c r="O422" s="33"/>
      <c r="P422" s="22"/>
      <c r="Q422" s="30"/>
      <c r="R422" s="30"/>
      <c r="S422" s="30"/>
      <c r="T422" s="30"/>
      <c r="U422" s="30"/>
      <c r="V422" s="30"/>
      <c r="W422" s="30"/>
      <c r="X422" s="30"/>
      <c r="Y422" s="30"/>
      <c r="Z422" s="22"/>
      <c r="AA422" s="32"/>
    </row>
    <row r="423" ht="15.75" customHeight="1">
      <c r="O423" s="33"/>
      <c r="P423" s="22"/>
      <c r="Q423" s="30"/>
      <c r="R423" s="30"/>
      <c r="S423" s="30"/>
      <c r="T423" s="30"/>
      <c r="U423" s="30"/>
      <c r="V423" s="30"/>
      <c r="W423" s="30"/>
      <c r="X423" s="30"/>
      <c r="Y423" s="30"/>
      <c r="Z423" s="22"/>
      <c r="AA423" s="32"/>
    </row>
    <row r="424" ht="15.75" customHeight="1">
      <c r="O424" s="33"/>
      <c r="P424" s="22"/>
      <c r="Q424" s="30"/>
      <c r="R424" s="30"/>
      <c r="S424" s="30"/>
      <c r="T424" s="30"/>
      <c r="U424" s="30"/>
      <c r="V424" s="30"/>
      <c r="W424" s="30"/>
      <c r="X424" s="30"/>
      <c r="Y424" s="30"/>
      <c r="Z424" s="22"/>
      <c r="AA424" s="32"/>
    </row>
    <row r="425" ht="15.75" customHeight="1">
      <c r="O425" s="33"/>
      <c r="P425" s="22"/>
      <c r="Q425" s="30"/>
      <c r="R425" s="30"/>
      <c r="S425" s="30"/>
      <c r="T425" s="30"/>
      <c r="U425" s="30"/>
      <c r="V425" s="30"/>
      <c r="W425" s="30"/>
      <c r="X425" s="30"/>
      <c r="Y425" s="30"/>
      <c r="Z425" s="22"/>
      <c r="AA425" s="32"/>
    </row>
    <row r="426" ht="15.75" customHeight="1">
      <c r="O426" s="33"/>
      <c r="P426" s="22"/>
      <c r="Q426" s="30"/>
      <c r="R426" s="30"/>
      <c r="S426" s="30"/>
      <c r="T426" s="30"/>
      <c r="U426" s="30"/>
      <c r="V426" s="30"/>
      <c r="W426" s="30"/>
      <c r="X426" s="30"/>
      <c r="Y426" s="30"/>
      <c r="Z426" s="22"/>
      <c r="AA426" s="32"/>
    </row>
    <row r="427" ht="15.75" customHeight="1">
      <c r="O427" s="33"/>
      <c r="P427" s="22"/>
      <c r="Q427" s="30"/>
      <c r="R427" s="30"/>
      <c r="S427" s="30"/>
      <c r="T427" s="30"/>
      <c r="U427" s="30"/>
      <c r="V427" s="30"/>
      <c r="W427" s="30"/>
      <c r="X427" s="30"/>
      <c r="Y427" s="30"/>
      <c r="Z427" s="22"/>
      <c r="AA427" s="32"/>
    </row>
    <row r="428" ht="15.75" customHeight="1">
      <c r="O428" s="33"/>
      <c r="P428" s="22"/>
      <c r="Q428" s="30"/>
      <c r="R428" s="30"/>
      <c r="S428" s="30"/>
      <c r="T428" s="30"/>
      <c r="U428" s="30"/>
      <c r="V428" s="30"/>
      <c r="W428" s="30"/>
      <c r="X428" s="30"/>
      <c r="Y428" s="30"/>
      <c r="Z428" s="22"/>
      <c r="AA428" s="32"/>
    </row>
    <row r="429" ht="15.75" customHeight="1">
      <c r="O429" s="33"/>
      <c r="P429" s="22"/>
      <c r="Q429" s="30"/>
      <c r="R429" s="30"/>
      <c r="S429" s="30"/>
      <c r="T429" s="30"/>
      <c r="U429" s="30"/>
      <c r="V429" s="30"/>
      <c r="W429" s="30"/>
      <c r="X429" s="30"/>
      <c r="Y429" s="30"/>
      <c r="Z429" s="22"/>
      <c r="AA429" s="32"/>
    </row>
    <row r="430" ht="15.75" customHeight="1">
      <c r="O430" s="33"/>
      <c r="P430" s="22"/>
      <c r="Q430" s="30"/>
      <c r="R430" s="30"/>
      <c r="S430" s="30"/>
      <c r="T430" s="30"/>
      <c r="U430" s="30"/>
      <c r="V430" s="30"/>
      <c r="W430" s="30"/>
      <c r="X430" s="30"/>
      <c r="Y430" s="30"/>
      <c r="Z430" s="22"/>
      <c r="AA430" s="32"/>
    </row>
    <row r="431" ht="15.75" customHeight="1">
      <c r="O431" s="33"/>
      <c r="P431" s="22"/>
      <c r="Q431" s="30"/>
      <c r="R431" s="30"/>
      <c r="S431" s="30"/>
      <c r="T431" s="30"/>
      <c r="U431" s="30"/>
      <c r="V431" s="30"/>
      <c r="W431" s="30"/>
      <c r="X431" s="30"/>
      <c r="Y431" s="30"/>
      <c r="Z431" s="22"/>
      <c r="AA431" s="32"/>
    </row>
    <row r="432" ht="15.75" customHeight="1">
      <c r="O432" s="33"/>
      <c r="P432" s="22"/>
      <c r="Q432" s="30"/>
      <c r="R432" s="30"/>
      <c r="S432" s="30"/>
      <c r="T432" s="30"/>
      <c r="U432" s="30"/>
      <c r="V432" s="30"/>
      <c r="W432" s="30"/>
      <c r="X432" s="30"/>
      <c r="Y432" s="30"/>
      <c r="Z432" s="22"/>
      <c r="AA432" s="32"/>
    </row>
    <row r="433" ht="15.75" customHeight="1">
      <c r="O433" s="33"/>
      <c r="P433" s="22"/>
      <c r="Q433" s="30"/>
      <c r="R433" s="30"/>
      <c r="S433" s="30"/>
      <c r="T433" s="30"/>
      <c r="U433" s="30"/>
      <c r="V433" s="30"/>
      <c r="W433" s="30"/>
      <c r="X433" s="30"/>
      <c r="Y433" s="30"/>
      <c r="Z433" s="22"/>
      <c r="AA433" s="32"/>
    </row>
    <row r="434" ht="15.75" customHeight="1">
      <c r="O434" s="33"/>
      <c r="P434" s="22"/>
      <c r="Q434" s="30"/>
      <c r="R434" s="30"/>
      <c r="S434" s="30"/>
      <c r="T434" s="30"/>
      <c r="U434" s="30"/>
      <c r="V434" s="30"/>
      <c r="W434" s="30"/>
      <c r="X434" s="30"/>
      <c r="Y434" s="30"/>
      <c r="Z434" s="22"/>
      <c r="AA434" s="32"/>
    </row>
    <row r="435" ht="15.75" customHeight="1">
      <c r="O435" s="33"/>
      <c r="P435" s="22"/>
      <c r="Q435" s="30"/>
      <c r="R435" s="30"/>
      <c r="S435" s="30"/>
      <c r="T435" s="30"/>
      <c r="U435" s="30"/>
      <c r="V435" s="30"/>
      <c r="W435" s="30"/>
      <c r="X435" s="30"/>
      <c r="Y435" s="30"/>
      <c r="Z435" s="22"/>
      <c r="AA435" s="32"/>
    </row>
    <row r="436" ht="15.75" customHeight="1">
      <c r="O436" s="33"/>
      <c r="P436" s="22"/>
      <c r="Q436" s="30"/>
      <c r="R436" s="30"/>
      <c r="S436" s="30"/>
      <c r="T436" s="30"/>
      <c r="U436" s="30"/>
      <c r="V436" s="30"/>
      <c r="W436" s="30"/>
      <c r="X436" s="30"/>
      <c r="Y436" s="30"/>
      <c r="Z436" s="22"/>
      <c r="AA436" s="32"/>
    </row>
    <row r="437" ht="15.75" customHeight="1">
      <c r="O437" s="33"/>
      <c r="P437" s="22"/>
      <c r="Q437" s="30"/>
      <c r="R437" s="30"/>
      <c r="S437" s="30"/>
      <c r="T437" s="30"/>
      <c r="U437" s="30"/>
      <c r="V437" s="30"/>
      <c r="W437" s="30"/>
      <c r="X437" s="30"/>
      <c r="Y437" s="30"/>
      <c r="Z437" s="22"/>
      <c r="AA437" s="32"/>
    </row>
    <row r="438" ht="15.75" customHeight="1">
      <c r="O438" s="33"/>
      <c r="P438" s="22"/>
      <c r="Q438" s="30"/>
      <c r="R438" s="30"/>
      <c r="S438" s="30"/>
      <c r="T438" s="30"/>
      <c r="U438" s="30"/>
      <c r="V438" s="30"/>
      <c r="W438" s="30"/>
      <c r="X438" s="30"/>
      <c r="Y438" s="30"/>
      <c r="Z438" s="22"/>
      <c r="AA438" s="32"/>
    </row>
    <row r="439" ht="15.75" customHeight="1">
      <c r="O439" s="33"/>
      <c r="P439" s="22"/>
      <c r="Q439" s="30"/>
      <c r="R439" s="30"/>
      <c r="S439" s="30"/>
      <c r="T439" s="30"/>
      <c r="U439" s="30"/>
      <c r="V439" s="30"/>
      <c r="W439" s="30"/>
      <c r="X439" s="30"/>
      <c r="Y439" s="30"/>
      <c r="Z439" s="22"/>
      <c r="AA439" s="32"/>
    </row>
    <row r="440" ht="15.75" customHeight="1">
      <c r="O440" s="33"/>
      <c r="P440" s="22"/>
      <c r="Q440" s="30"/>
      <c r="R440" s="30"/>
      <c r="S440" s="30"/>
      <c r="T440" s="30"/>
      <c r="U440" s="30"/>
      <c r="V440" s="30"/>
      <c r="W440" s="30"/>
      <c r="X440" s="30"/>
      <c r="Y440" s="30"/>
      <c r="Z440" s="22"/>
      <c r="AA440" s="32"/>
    </row>
    <row r="441" ht="15.75" customHeight="1">
      <c r="O441" s="33"/>
      <c r="P441" s="22"/>
      <c r="Q441" s="30"/>
      <c r="R441" s="30"/>
      <c r="S441" s="30"/>
      <c r="T441" s="30"/>
      <c r="U441" s="30"/>
      <c r="V441" s="30"/>
      <c r="W441" s="30"/>
      <c r="X441" s="30"/>
      <c r="Y441" s="30"/>
      <c r="Z441" s="22"/>
      <c r="AA441" s="32"/>
    </row>
    <row r="442" ht="15.75" customHeight="1">
      <c r="O442" s="33"/>
      <c r="P442" s="22"/>
      <c r="Q442" s="30"/>
      <c r="R442" s="30"/>
      <c r="S442" s="30"/>
      <c r="T442" s="30"/>
      <c r="U442" s="30"/>
      <c r="V442" s="30"/>
      <c r="W442" s="30"/>
      <c r="X442" s="30"/>
      <c r="Y442" s="30"/>
      <c r="Z442" s="22"/>
      <c r="AA442" s="32"/>
    </row>
    <row r="443" ht="15.75" customHeight="1">
      <c r="O443" s="33"/>
      <c r="P443" s="22"/>
      <c r="Q443" s="30"/>
      <c r="R443" s="30"/>
      <c r="S443" s="30"/>
      <c r="T443" s="30"/>
      <c r="U443" s="30"/>
      <c r="V443" s="30"/>
      <c r="W443" s="30"/>
      <c r="X443" s="30"/>
      <c r="Y443" s="30"/>
      <c r="Z443" s="22"/>
      <c r="AA443" s="32"/>
    </row>
    <row r="444" ht="15.75" customHeight="1">
      <c r="O444" s="33"/>
      <c r="P444" s="22"/>
      <c r="Q444" s="30"/>
      <c r="R444" s="30"/>
      <c r="S444" s="30"/>
      <c r="T444" s="30"/>
      <c r="U444" s="30"/>
      <c r="V444" s="30"/>
      <c r="W444" s="30"/>
      <c r="X444" s="30"/>
      <c r="Y444" s="30"/>
      <c r="Z444" s="22"/>
      <c r="AA444" s="32"/>
    </row>
    <row r="445" ht="15.75" customHeight="1">
      <c r="O445" s="33"/>
      <c r="P445" s="22"/>
      <c r="Q445" s="30"/>
      <c r="R445" s="30"/>
      <c r="S445" s="30"/>
      <c r="T445" s="30"/>
      <c r="U445" s="30"/>
      <c r="V445" s="30"/>
      <c r="W445" s="30"/>
      <c r="X445" s="30"/>
      <c r="Y445" s="30"/>
      <c r="Z445" s="22"/>
      <c r="AA445" s="32"/>
    </row>
    <row r="446" ht="15.75" customHeight="1">
      <c r="O446" s="33"/>
      <c r="P446" s="22"/>
      <c r="Q446" s="30"/>
      <c r="R446" s="30"/>
      <c r="S446" s="30"/>
      <c r="T446" s="30"/>
      <c r="U446" s="30"/>
      <c r="V446" s="30"/>
      <c r="W446" s="30"/>
      <c r="X446" s="30"/>
      <c r="Y446" s="30"/>
      <c r="Z446" s="22"/>
      <c r="AA446" s="32"/>
    </row>
    <row r="447" ht="15.75" customHeight="1">
      <c r="O447" s="33"/>
      <c r="P447" s="22"/>
      <c r="Q447" s="30"/>
      <c r="R447" s="30"/>
      <c r="S447" s="30"/>
      <c r="T447" s="30"/>
      <c r="U447" s="30"/>
      <c r="V447" s="30"/>
      <c r="W447" s="30"/>
      <c r="X447" s="30"/>
      <c r="Y447" s="30"/>
      <c r="Z447" s="22"/>
      <c r="AA447" s="32"/>
    </row>
    <row r="448" ht="15.75" customHeight="1">
      <c r="O448" s="33"/>
      <c r="P448" s="22"/>
      <c r="Q448" s="30"/>
      <c r="R448" s="30"/>
      <c r="S448" s="30"/>
      <c r="T448" s="30"/>
      <c r="U448" s="30"/>
      <c r="V448" s="30"/>
      <c r="W448" s="30"/>
      <c r="X448" s="30"/>
      <c r="Y448" s="30"/>
      <c r="Z448" s="22"/>
      <c r="AA448" s="32"/>
    </row>
    <row r="449" ht="15.75" customHeight="1">
      <c r="O449" s="33"/>
      <c r="P449" s="22"/>
      <c r="Q449" s="30"/>
      <c r="R449" s="30"/>
      <c r="S449" s="30"/>
      <c r="T449" s="30"/>
      <c r="U449" s="30"/>
      <c r="V449" s="30"/>
      <c r="W449" s="30"/>
      <c r="X449" s="30"/>
      <c r="Y449" s="30"/>
      <c r="Z449" s="22"/>
      <c r="AA449" s="32"/>
    </row>
    <row r="450" ht="15.75" customHeight="1">
      <c r="O450" s="33"/>
      <c r="P450" s="22"/>
      <c r="Q450" s="30"/>
      <c r="R450" s="30"/>
      <c r="S450" s="30"/>
      <c r="T450" s="30"/>
      <c r="U450" s="30"/>
      <c r="V450" s="30"/>
      <c r="W450" s="30"/>
      <c r="X450" s="30"/>
      <c r="Y450" s="30"/>
      <c r="Z450" s="22"/>
      <c r="AA450" s="32"/>
    </row>
    <row r="451" ht="15.75" customHeight="1">
      <c r="O451" s="33"/>
      <c r="P451" s="22"/>
      <c r="Q451" s="30"/>
      <c r="R451" s="30"/>
      <c r="S451" s="30"/>
      <c r="T451" s="30"/>
      <c r="U451" s="30"/>
      <c r="V451" s="30"/>
      <c r="W451" s="30"/>
      <c r="X451" s="30"/>
      <c r="Y451" s="30"/>
      <c r="Z451" s="22"/>
      <c r="AA451" s="32"/>
    </row>
    <row r="452" ht="15.75" customHeight="1">
      <c r="O452" s="33"/>
      <c r="P452" s="22"/>
      <c r="Q452" s="30"/>
      <c r="R452" s="30"/>
      <c r="S452" s="30"/>
      <c r="T452" s="30"/>
      <c r="U452" s="30"/>
      <c r="V452" s="30"/>
      <c r="W452" s="30"/>
      <c r="X452" s="30"/>
      <c r="Y452" s="30"/>
      <c r="Z452" s="22"/>
      <c r="AA452" s="32"/>
    </row>
    <row r="453" ht="15.75" customHeight="1">
      <c r="O453" s="33"/>
      <c r="P453" s="22"/>
      <c r="Q453" s="30"/>
      <c r="R453" s="30"/>
      <c r="S453" s="30"/>
      <c r="T453" s="30"/>
      <c r="U453" s="30"/>
      <c r="V453" s="30"/>
      <c r="W453" s="30"/>
      <c r="X453" s="30"/>
      <c r="Y453" s="30"/>
      <c r="Z453" s="22"/>
      <c r="AA453" s="32"/>
    </row>
    <row r="454" ht="15.75" customHeight="1">
      <c r="O454" s="33"/>
      <c r="P454" s="22"/>
      <c r="Q454" s="30"/>
      <c r="R454" s="30"/>
      <c r="S454" s="30"/>
      <c r="T454" s="30"/>
      <c r="U454" s="30"/>
      <c r="V454" s="30"/>
      <c r="W454" s="30"/>
      <c r="X454" s="30"/>
      <c r="Y454" s="30"/>
      <c r="Z454" s="22"/>
      <c r="AA454" s="32"/>
    </row>
    <row r="455" ht="15.75" customHeight="1">
      <c r="O455" s="33"/>
      <c r="P455" s="22"/>
      <c r="Q455" s="30"/>
      <c r="R455" s="30"/>
      <c r="S455" s="30"/>
      <c r="T455" s="30"/>
      <c r="U455" s="30"/>
      <c r="V455" s="30"/>
      <c r="W455" s="30"/>
      <c r="X455" s="30"/>
      <c r="Y455" s="30"/>
      <c r="Z455" s="22"/>
      <c r="AA455" s="32"/>
    </row>
    <row r="456" ht="15.75" customHeight="1">
      <c r="O456" s="33"/>
      <c r="P456" s="22"/>
      <c r="Q456" s="30"/>
      <c r="R456" s="30"/>
      <c r="S456" s="30"/>
      <c r="T456" s="30"/>
      <c r="U456" s="30"/>
      <c r="V456" s="30"/>
      <c r="W456" s="30"/>
      <c r="X456" s="30"/>
      <c r="Y456" s="30"/>
      <c r="Z456" s="22"/>
      <c r="AA456" s="32"/>
    </row>
    <row r="457" ht="15.75" customHeight="1">
      <c r="O457" s="33"/>
      <c r="P457" s="22"/>
      <c r="Q457" s="30"/>
      <c r="R457" s="30"/>
      <c r="S457" s="30"/>
      <c r="T457" s="30"/>
      <c r="U457" s="30"/>
      <c r="V457" s="30"/>
      <c r="W457" s="30"/>
      <c r="X457" s="30"/>
      <c r="Y457" s="30"/>
      <c r="Z457" s="22"/>
      <c r="AA457" s="32"/>
    </row>
    <row r="458" ht="15.75" customHeight="1">
      <c r="O458" s="33"/>
      <c r="P458" s="22"/>
      <c r="Q458" s="30"/>
      <c r="R458" s="30"/>
      <c r="S458" s="30"/>
      <c r="T458" s="30"/>
      <c r="U458" s="30"/>
      <c r="V458" s="30"/>
      <c r="W458" s="30"/>
      <c r="X458" s="30"/>
      <c r="Y458" s="30"/>
      <c r="Z458" s="22"/>
      <c r="AA458" s="32"/>
    </row>
    <row r="459" ht="15.75" customHeight="1">
      <c r="O459" s="33"/>
      <c r="P459" s="22"/>
      <c r="Q459" s="30"/>
      <c r="R459" s="30"/>
      <c r="S459" s="30"/>
      <c r="T459" s="30"/>
      <c r="U459" s="30"/>
      <c r="V459" s="30"/>
      <c r="W459" s="30"/>
      <c r="X459" s="30"/>
      <c r="Y459" s="30"/>
      <c r="Z459" s="22"/>
      <c r="AA459" s="32"/>
    </row>
    <row r="460" ht="15.75" customHeight="1">
      <c r="O460" s="33"/>
      <c r="P460" s="22"/>
      <c r="Q460" s="30"/>
      <c r="R460" s="30"/>
      <c r="S460" s="30"/>
      <c r="T460" s="30"/>
      <c r="U460" s="30"/>
      <c r="V460" s="30"/>
      <c r="W460" s="30"/>
      <c r="X460" s="30"/>
      <c r="Y460" s="30"/>
      <c r="Z460" s="22"/>
      <c r="AA460" s="32"/>
    </row>
    <row r="461" ht="15.75" customHeight="1">
      <c r="O461" s="33"/>
      <c r="P461" s="22"/>
      <c r="Q461" s="30"/>
      <c r="R461" s="30"/>
      <c r="S461" s="30"/>
      <c r="T461" s="30"/>
      <c r="U461" s="30"/>
      <c r="V461" s="30"/>
      <c r="W461" s="30"/>
      <c r="X461" s="30"/>
      <c r="Y461" s="30"/>
      <c r="Z461" s="22"/>
      <c r="AA461" s="32"/>
    </row>
    <row r="462" ht="15.75" customHeight="1">
      <c r="O462" s="33"/>
      <c r="P462" s="22"/>
      <c r="Q462" s="30"/>
      <c r="R462" s="30"/>
      <c r="S462" s="30"/>
      <c r="T462" s="30"/>
      <c r="U462" s="30"/>
      <c r="V462" s="30"/>
      <c r="W462" s="30"/>
      <c r="X462" s="30"/>
      <c r="Y462" s="30"/>
      <c r="Z462" s="22"/>
      <c r="AA462" s="32"/>
    </row>
    <row r="463" ht="15.75" customHeight="1">
      <c r="O463" s="33"/>
      <c r="P463" s="22"/>
      <c r="Q463" s="30"/>
      <c r="R463" s="30"/>
      <c r="S463" s="30"/>
      <c r="T463" s="30"/>
      <c r="U463" s="30"/>
      <c r="V463" s="30"/>
      <c r="W463" s="30"/>
      <c r="X463" s="30"/>
      <c r="Y463" s="30"/>
      <c r="Z463" s="22"/>
      <c r="AA463" s="32"/>
    </row>
    <row r="464" ht="15.75" customHeight="1">
      <c r="O464" s="33"/>
      <c r="P464" s="22"/>
      <c r="Q464" s="30"/>
      <c r="R464" s="30"/>
      <c r="S464" s="30"/>
      <c r="T464" s="30"/>
      <c r="U464" s="30"/>
      <c r="V464" s="30"/>
      <c r="W464" s="30"/>
      <c r="X464" s="30"/>
      <c r="Y464" s="30"/>
      <c r="Z464" s="22"/>
      <c r="AA464" s="32"/>
    </row>
    <row r="465" ht="15.75" customHeight="1">
      <c r="O465" s="33"/>
      <c r="P465" s="22"/>
      <c r="Q465" s="30"/>
      <c r="R465" s="30"/>
      <c r="S465" s="30"/>
      <c r="T465" s="30"/>
      <c r="U465" s="30"/>
      <c r="V465" s="30"/>
      <c r="W465" s="30"/>
      <c r="X465" s="30"/>
      <c r="Y465" s="30"/>
      <c r="Z465" s="22"/>
      <c r="AA465" s="32"/>
    </row>
    <row r="466" ht="15.75" customHeight="1">
      <c r="O466" s="33"/>
      <c r="P466" s="22"/>
      <c r="Q466" s="30"/>
      <c r="R466" s="30"/>
      <c r="S466" s="30"/>
      <c r="T466" s="30"/>
      <c r="U466" s="30"/>
      <c r="V466" s="30"/>
      <c r="W466" s="30"/>
      <c r="X466" s="30"/>
      <c r="Y466" s="30"/>
      <c r="Z466" s="22"/>
      <c r="AA466" s="32"/>
    </row>
    <row r="467" ht="15.75" customHeight="1">
      <c r="O467" s="33"/>
      <c r="P467" s="22"/>
      <c r="Q467" s="30"/>
      <c r="R467" s="30"/>
      <c r="S467" s="30"/>
      <c r="T467" s="30"/>
      <c r="U467" s="30"/>
      <c r="V467" s="30"/>
      <c r="W467" s="30"/>
      <c r="X467" s="30"/>
      <c r="Y467" s="30"/>
      <c r="Z467" s="22"/>
      <c r="AA467" s="32"/>
    </row>
    <row r="468" ht="15.75" customHeight="1">
      <c r="O468" s="33"/>
      <c r="P468" s="22"/>
      <c r="Q468" s="30"/>
      <c r="R468" s="30"/>
      <c r="S468" s="30"/>
      <c r="T468" s="30"/>
      <c r="U468" s="30"/>
      <c r="V468" s="30"/>
      <c r="W468" s="30"/>
      <c r="X468" s="30"/>
      <c r="Y468" s="30"/>
      <c r="Z468" s="22"/>
      <c r="AA468" s="32"/>
    </row>
    <row r="469" ht="15.75" customHeight="1">
      <c r="O469" s="33"/>
      <c r="P469" s="22"/>
      <c r="Q469" s="30"/>
      <c r="R469" s="30"/>
      <c r="S469" s="30"/>
      <c r="T469" s="30"/>
      <c r="U469" s="30"/>
      <c r="V469" s="30"/>
      <c r="W469" s="30"/>
      <c r="X469" s="30"/>
      <c r="Y469" s="30"/>
      <c r="Z469" s="22"/>
      <c r="AA469" s="32"/>
    </row>
    <row r="470" ht="15.75" customHeight="1">
      <c r="O470" s="33"/>
      <c r="P470" s="22"/>
      <c r="Q470" s="30"/>
      <c r="R470" s="30"/>
      <c r="S470" s="30"/>
      <c r="T470" s="30"/>
      <c r="U470" s="30"/>
      <c r="V470" s="30"/>
      <c r="W470" s="30"/>
      <c r="X470" s="30"/>
      <c r="Y470" s="30"/>
      <c r="Z470" s="22"/>
      <c r="AA470" s="32"/>
    </row>
    <row r="471" ht="15.75" customHeight="1">
      <c r="O471" s="33"/>
      <c r="P471" s="22"/>
      <c r="Q471" s="30"/>
      <c r="R471" s="30"/>
      <c r="S471" s="30"/>
      <c r="T471" s="30"/>
      <c r="U471" s="30"/>
      <c r="V471" s="30"/>
      <c r="W471" s="30"/>
      <c r="X471" s="30"/>
      <c r="Y471" s="30"/>
      <c r="Z471" s="22"/>
      <c r="AA471" s="32"/>
    </row>
    <row r="472" ht="15.75" customHeight="1">
      <c r="O472" s="33"/>
      <c r="P472" s="22"/>
      <c r="Q472" s="30"/>
      <c r="R472" s="30"/>
      <c r="S472" s="30"/>
      <c r="T472" s="30"/>
      <c r="U472" s="30"/>
      <c r="V472" s="30"/>
      <c r="W472" s="30"/>
      <c r="X472" s="30"/>
      <c r="Y472" s="30"/>
      <c r="Z472" s="22"/>
      <c r="AA472" s="32"/>
    </row>
    <row r="473" ht="15.75" customHeight="1">
      <c r="O473" s="33"/>
      <c r="P473" s="22"/>
      <c r="Q473" s="30"/>
      <c r="R473" s="30"/>
      <c r="S473" s="30"/>
      <c r="T473" s="30"/>
      <c r="U473" s="30"/>
      <c r="V473" s="30"/>
      <c r="W473" s="30"/>
      <c r="X473" s="30"/>
      <c r="Y473" s="30"/>
      <c r="Z473" s="22"/>
      <c r="AA473" s="32"/>
    </row>
    <row r="474" ht="15.75" customHeight="1">
      <c r="O474" s="33"/>
      <c r="P474" s="22"/>
      <c r="Q474" s="30"/>
      <c r="R474" s="30"/>
      <c r="S474" s="30"/>
      <c r="T474" s="30"/>
      <c r="U474" s="30"/>
      <c r="V474" s="30"/>
      <c r="W474" s="30"/>
      <c r="X474" s="30"/>
      <c r="Y474" s="30"/>
      <c r="Z474" s="22"/>
      <c r="AA474" s="32"/>
    </row>
    <row r="475" ht="15.75" customHeight="1">
      <c r="O475" s="33"/>
      <c r="P475" s="22"/>
      <c r="Q475" s="30"/>
      <c r="R475" s="30"/>
      <c r="S475" s="30"/>
      <c r="T475" s="30"/>
      <c r="U475" s="30"/>
      <c r="V475" s="30"/>
      <c r="W475" s="30"/>
      <c r="X475" s="30"/>
      <c r="Y475" s="30"/>
      <c r="Z475" s="22"/>
      <c r="AA475" s="32"/>
    </row>
    <row r="476" ht="15.75" customHeight="1">
      <c r="O476" s="33"/>
      <c r="P476" s="22"/>
      <c r="Q476" s="30"/>
      <c r="R476" s="30"/>
      <c r="S476" s="30"/>
      <c r="T476" s="30"/>
      <c r="U476" s="30"/>
      <c r="V476" s="30"/>
      <c r="W476" s="30"/>
      <c r="X476" s="30"/>
      <c r="Y476" s="30"/>
      <c r="Z476" s="22"/>
      <c r="AA476" s="32"/>
    </row>
    <row r="477" ht="15.75" customHeight="1">
      <c r="O477" s="33"/>
      <c r="P477" s="22"/>
      <c r="Q477" s="30"/>
      <c r="R477" s="30"/>
      <c r="S477" s="30"/>
      <c r="T477" s="30"/>
      <c r="U477" s="30"/>
      <c r="V477" s="30"/>
      <c r="W477" s="30"/>
      <c r="X477" s="30"/>
      <c r="Y477" s="30"/>
      <c r="Z477" s="22"/>
      <c r="AA477" s="32"/>
    </row>
    <row r="478" ht="15.75" customHeight="1">
      <c r="O478" s="33"/>
      <c r="P478" s="22"/>
      <c r="Q478" s="30"/>
      <c r="R478" s="30"/>
      <c r="S478" s="30"/>
      <c r="T478" s="30"/>
      <c r="U478" s="30"/>
      <c r="V478" s="30"/>
      <c r="W478" s="30"/>
      <c r="X478" s="30"/>
      <c r="Y478" s="30"/>
      <c r="Z478" s="22"/>
      <c r="AA478" s="32"/>
    </row>
    <row r="479" ht="15.75" customHeight="1">
      <c r="O479" s="33"/>
      <c r="P479" s="22"/>
      <c r="Q479" s="30"/>
      <c r="R479" s="30"/>
      <c r="S479" s="30"/>
      <c r="T479" s="30"/>
      <c r="U479" s="30"/>
      <c r="V479" s="30"/>
      <c r="W479" s="30"/>
      <c r="X479" s="30"/>
      <c r="Y479" s="30"/>
      <c r="Z479" s="22"/>
      <c r="AA479" s="32"/>
    </row>
    <row r="480" ht="15.75" customHeight="1">
      <c r="O480" s="33"/>
      <c r="P480" s="22"/>
      <c r="Q480" s="30"/>
      <c r="R480" s="30"/>
      <c r="S480" s="30"/>
      <c r="T480" s="30"/>
      <c r="U480" s="30"/>
      <c r="V480" s="30"/>
      <c r="W480" s="30"/>
      <c r="X480" s="30"/>
      <c r="Y480" s="30"/>
      <c r="Z480" s="22"/>
      <c r="AA480" s="32"/>
    </row>
    <row r="481" ht="15.75" customHeight="1">
      <c r="O481" s="33"/>
      <c r="P481" s="22"/>
      <c r="Q481" s="30"/>
      <c r="R481" s="30"/>
      <c r="S481" s="30"/>
      <c r="T481" s="30"/>
      <c r="U481" s="30"/>
      <c r="V481" s="30"/>
      <c r="W481" s="30"/>
      <c r="X481" s="30"/>
      <c r="Y481" s="30"/>
      <c r="Z481" s="22"/>
      <c r="AA481" s="32"/>
    </row>
    <row r="482" ht="15.75" customHeight="1">
      <c r="O482" s="33"/>
      <c r="P482" s="22"/>
      <c r="Q482" s="30"/>
      <c r="R482" s="30"/>
      <c r="S482" s="30"/>
      <c r="T482" s="30"/>
      <c r="U482" s="30"/>
      <c r="V482" s="30"/>
      <c r="W482" s="30"/>
      <c r="X482" s="30"/>
      <c r="Y482" s="30"/>
      <c r="Z482" s="22"/>
      <c r="AA482" s="32"/>
    </row>
    <row r="483" ht="15.75" customHeight="1">
      <c r="O483" s="33"/>
      <c r="P483" s="22"/>
      <c r="Q483" s="30"/>
      <c r="R483" s="30"/>
      <c r="S483" s="30"/>
      <c r="T483" s="30"/>
      <c r="U483" s="30"/>
      <c r="V483" s="30"/>
      <c r="W483" s="30"/>
      <c r="X483" s="30"/>
      <c r="Y483" s="30"/>
      <c r="Z483" s="22"/>
      <c r="AA483" s="32"/>
    </row>
    <row r="484" ht="15.75" customHeight="1">
      <c r="O484" s="33"/>
      <c r="P484" s="22"/>
      <c r="Q484" s="30"/>
      <c r="R484" s="30"/>
      <c r="S484" s="30"/>
      <c r="T484" s="30"/>
      <c r="U484" s="30"/>
      <c r="V484" s="30"/>
      <c r="W484" s="30"/>
      <c r="X484" s="30"/>
      <c r="Y484" s="30"/>
      <c r="Z484" s="22"/>
      <c r="AA484" s="32"/>
    </row>
    <row r="485" ht="15.75" customHeight="1">
      <c r="O485" s="33"/>
      <c r="P485" s="22"/>
      <c r="Q485" s="30"/>
      <c r="R485" s="30"/>
      <c r="S485" s="30"/>
      <c r="T485" s="30"/>
      <c r="U485" s="30"/>
      <c r="V485" s="30"/>
      <c r="W485" s="30"/>
      <c r="X485" s="30"/>
      <c r="Y485" s="30"/>
      <c r="Z485" s="22"/>
      <c r="AA485" s="32"/>
    </row>
    <row r="486" ht="15.75" customHeight="1">
      <c r="O486" s="33"/>
      <c r="P486" s="22"/>
      <c r="Q486" s="30"/>
      <c r="R486" s="30"/>
      <c r="S486" s="30"/>
      <c r="T486" s="30"/>
      <c r="U486" s="30"/>
      <c r="V486" s="30"/>
      <c r="W486" s="30"/>
      <c r="X486" s="30"/>
      <c r="Y486" s="30"/>
      <c r="Z486" s="22"/>
      <c r="AA486" s="32"/>
    </row>
    <row r="487" ht="15.75" customHeight="1">
      <c r="O487" s="33"/>
      <c r="P487" s="22"/>
      <c r="Q487" s="30"/>
      <c r="R487" s="30"/>
      <c r="S487" s="30"/>
      <c r="T487" s="30"/>
      <c r="U487" s="30"/>
      <c r="V487" s="30"/>
      <c r="W487" s="30"/>
      <c r="X487" s="30"/>
      <c r="Y487" s="30"/>
      <c r="Z487" s="22"/>
      <c r="AA487" s="32"/>
    </row>
    <row r="488" ht="15.75" customHeight="1">
      <c r="O488" s="33"/>
      <c r="P488" s="22"/>
      <c r="Q488" s="30"/>
      <c r="R488" s="30"/>
      <c r="S488" s="30"/>
      <c r="T488" s="30"/>
      <c r="U488" s="30"/>
      <c r="V488" s="30"/>
      <c r="W488" s="30"/>
      <c r="X488" s="30"/>
      <c r="Y488" s="30"/>
      <c r="Z488" s="22"/>
      <c r="AA488" s="32"/>
    </row>
    <row r="489" ht="15.75" customHeight="1">
      <c r="O489" s="33"/>
      <c r="P489" s="22"/>
      <c r="Q489" s="30"/>
      <c r="R489" s="30"/>
      <c r="S489" s="30"/>
      <c r="T489" s="30"/>
      <c r="U489" s="30"/>
      <c r="V489" s="30"/>
      <c r="W489" s="30"/>
      <c r="X489" s="30"/>
      <c r="Y489" s="30"/>
      <c r="Z489" s="22"/>
      <c r="AA489" s="32"/>
    </row>
    <row r="490" ht="15.75" customHeight="1">
      <c r="O490" s="33"/>
      <c r="P490" s="22"/>
      <c r="Q490" s="30"/>
      <c r="R490" s="30"/>
      <c r="S490" s="30"/>
      <c r="T490" s="30"/>
      <c r="U490" s="30"/>
      <c r="V490" s="30"/>
      <c r="W490" s="30"/>
      <c r="X490" s="30"/>
      <c r="Y490" s="30"/>
      <c r="Z490" s="22"/>
      <c r="AA490" s="32"/>
    </row>
    <row r="491" ht="15.75" customHeight="1">
      <c r="O491" s="33"/>
      <c r="P491" s="22"/>
      <c r="Q491" s="30"/>
      <c r="R491" s="30"/>
      <c r="S491" s="30"/>
      <c r="T491" s="30"/>
      <c r="U491" s="30"/>
      <c r="V491" s="30"/>
      <c r="W491" s="30"/>
      <c r="X491" s="30"/>
      <c r="Y491" s="30"/>
      <c r="Z491" s="22"/>
      <c r="AA491" s="32"/>
    </row>
    <row r="492" ht="15.75" customHeight="1">
      <c r="O492" s="33"/>
      <c r="P492" s="22"/>
      <c r="Q492" s="30"/>
      <c r="R492" s="30"/>
      <c r="S492" s="30"/>
      <c r="T492" s="30"/>
      <c r="U492" s="30"/>
      <c r="V492" s="30"/>
      <c r="W492" s="30"/>
      <c r="X492" s="30"/>
      <c r="Y492" s="30"/>
      <c r="Z492" s="22"/>
      <c r="AA492" s="32"/>
    </row>
    <row r="493" ht="15.75" customHeight="1">
      <c r="O493" s="33"/>
      <c r="P493" s="22"/>
      <c r="Q493" s="30"/>
      <c r="R493" s="30"/>
      <c r="S493" s="30"/>
      <c r="T493" s="30"/>
      <c r="U493" s="30"/>
      <c r="V493" s="30"/>
      <c r="W493" s="30"/>
      <c r="X493" s="30"/>
      <c r="Y493" s="30"/>
      <c r="Z493" s="22"/>
      <c r="AA493" s="32"/>
    </row>
    <row r="494" ht="15.75" customHeight="1">
      <c r="O494" s="33"/>
      <c r="P494" s="22"/>
      <c r="Q494" s="30"/>
      <c r="R494" s="30"/>
      <c r="S494" s="30"/>
      <c r="T494" s="30"/>
      <c r="U494" s="30"/>
      <c r="V494" s="30"/>
      <c r="W494" s="30"/>
      <c r="X494" s="30"/>
      <c r="Y494" s="30"/>
      <c r="Z494" s="22"/>
      <c r="AA494" s="32"/>
    </row>
    <row r="495" ht="15.75" customHeight="1">
      <c r="O495" s="33"/>
      <c r="P495" s="22"/>
      <c r="Q495" s="30"/>
      <c r="R495" s="30"/>
      <c r="S495" s="30"/>
      <c r="T495" s="30"/>
      <c r="U495" s="30"/>
      <c r="V495" s="30"/>
      <c r="W495" s="30"/>
      <c r="X495" s="30"/>
      <c r="Y495" s="30"/>
      <c r="Z495" s="22"/>
      <c r="AA495" s="32"/>
    </row>
    <row r="496" ht="15.75" customHeight="1">
      <c r="O496" s="33"/>
      <c r="P496" s="22"/>
      <c r="Q496" s="30"/>
      <c r="R496" s="30"/>
      <c r="S496" s="30"/>
      <c r="T496" s="30"/>
      <c r="U496" s="30"/>
      <c r="V496" s="30"/>
      <c r="W496" s="30"/>
      <c r="X496" s="30"/>
      <c r="Y496" s="30"/>
      <c r="Z496" s="22"/>
      <c r="AA496" s="32"/>
    </row>
    <row r="497" ht="15.75" customHeight="1">
      <c r="O497" s="33"/>
      <c r="P497" s="22"/>
      <c r="Q497" s="30"/>
      <c r="R497" s="30"/>
      <c r="S497" s="30"/>
      <c r="T497" s="30"/>
      <c r="U497" s="30"/>
      <c r="V497" s="30"/>
      <c r="W497" s="30"/>
      <c r="X497" s="30"/>
      <c r="Y497" s="30"/>
      <c r="Z497" s="22"/>
      <c r="AA497" s="32"/>
    </row>
    <row r="498" ht="15.75" customHeight="1">
      <c r="O498" s="33"/>
      <c r="P498" s="22"/>
      <c r="Q498" s="30"/>
      <c r="R498" s="30"/>
      <c r="S498" s="30"/>
      <c r="T498" s="30"/>
      <c r="U498" s="30"/>
      <c r="V498" s="30"/>
      <c r="W498" s="30"/>
      <c r="X498" s="30"/>
      <c r="Y498" s="30"/>
      <c r="Z498" s="22"/>
      <c r="AA498" s="32"/>
    </row>
    <row r="499" ht="15.75" customHeight="1">
      <c r="O499" s="33"/>
      <c r="P499" s="22"/>
      <c r="Q499" s="30"/>
      <c r="R499" s="30"/>
      <c r="S499" s="30"/>
      <c r="T499" s="30"/>
      <c r="U499" s="30"/>
      <c r="V499" s="30"/>
      <c r="W499" s="30"/>
      <c r="X499" s="30"/>
      <c r="Y499" s="30"/>
      <c r="Z499" s="22"/>
      <c r="AA499" s="32"/>
    </row>
    <row r="500" ht="15.75" customHeight="1">
      <c r="O500" s="33"/>
      <c r="P500" s="22"/>
      <c r="Q500" s="30"/>
      <c r="R500" s="30"/>
      <c r="S500" s="30"/>
      <c r="T500" s="30"/>
      <c r="U500" s="30"/>
      <c r="V500" s="30"/>
      <c r="W500" s="30"/>
      <c r="X500" s="30"/>
      <c r="Y500" s="30"/>
      <c r="Z500" s="22"/>
      <c r="AA500" s="32"/>
    </row>
    <row r="501" ht="15.75" customHeight="1">
      <c r="O501" s="33"/>
      <c r="P501" s="22"/>
      <c r="Q501" s="30"/>
      <c r="R501" s="30"/>
      <c r="S501" s="30"/>
      <c r="T501" s="30"/>
      <c r="U501" s="30"/>
      <c r="V501" s="30"/>
      <c r="W501" s="30"/>
      <c r="X501" s="30"/>
      <c r="Y501" s="30"/>
      <c r="Z501" s="22"/>
      <c r="AA501" s="32"/>
    </row>
    <row r="502" ht="15.75" customHeight="1">
      <c r="O502" s="33"/>
      <c r="P502" s="22"/>
      <c r="Q502" s="30"/>
      <c r="R502" s="30"/>
      <c r="S502" s="30"/>
      <c r="T502" s="30"/>
      <c r="U502" s="30"/>
      <c r="V502" s="30"/>
      <c r="W502" s="30"/>
      <c r="X502" s="30"/>
      <c r="Y502" s="30"/>
      <c r="Z502" s="22"/>
      <c r="AA502" s="32"/>
    </row>
    <row r="503" ht="15.75" customHeight="1">
      <c r="O503" s="33"/>
      <c r="P503" s="22"/>
      <c r="Q503" s="30"/>
      <c r="R503" s="30"/>
      <c r="S503" s="30"/>
      <c r="T503" s="30"/>
      <c r="U503" s="30"/>
      <c r="V503" s="30"/>
      <c r="W503" s="30"/>
      <c r="X503" s="30"/>
      <c r="Y503" s="30"/>
      <c r="Z503" s="22"/>
      <c r="AA503" s="32"/>
    </row>
    <row r="504" ht="15.75" customHeight="1">
      <c r="O504" s="33"/>
      <c r="P504" s="22"/>
      <c r="Q504" s="30"/>
      <c r="R504" s="30"/>
      <c r="S504" s="30"/>
      <c r="T504" s="30"/>
      <c r="U504" s="30"/>
      <c r="V504" s="30"/>
      <c r="W504" s="30"/>
      <c r="X504" s="30"/>
      <c r="Y504" s="30"/>
      <c r="Z504" s="22"/>
      <c r="AA504" s="32"/>
    </row>
    <row r="505" ht="15.75" customHeight="1">
      <c r="O505" s="33"/>
      <c r="P505" s="22"/>
      <c r="Q505" s="30"/>
      <c r="R505" s="30"/>
      <c r="S505" s="30"/>
      <c r="T505" s="30"/>
      <c r="U505" s="30"/>
      <c r="V505" s="30"/>
      <c r="W505" s="30"/>
      <c r="X505" s="30"/>
      <c r="Y505" s="30"/>
      <c r="Z505" s="22"/>
      <c r="AA505" s="32"/>
    </row>
    <row r="506" ht="15.75" customHeight="1">
      <c r="O506" s="33"/>
      <c r="P506" s="22"/>
      <c r="Q506" s="30"/>
      <c r="R506" s="30"/>
      <c r="S506" s="30"/>
      <c r="T506" s="30"/>
      <c r="U506" s="30"/>
      <c r="V506" s="30"/>
      <c r="W506" s="30"/>
      <c r="X506" s="30"/>
      <c r="Y506" s="30"/>
      <c r="Z506" s="22"/>
      <c r="AA506" s="32"/>
    </row>
    <row r="507" ht="15.75" customHeight="1">
      <c r="O507" s="33"/>
      <c r="P507" s="22"/>
      <c r="Q507" s="30"/>
      <c r="R507" s="30"/>
      <c r="S507" s="30"/>
      <c r="T507" s="30"/>
      <c r="U507" s="30"/>
      <c r="V507" s="30"/>
      <c r="W507" s="30"/>
      <c r="X507" s="30"/>
      <c r="Y507" s="30"/>
      <c r="Z507" s="22"/>
      <c r="AA507" s="32"/>
    </row>
    <row r="508" ht="15.75" customHeight="1">
      <c r="O508" s="33"/>
      <c r="P508" s="22"/>
      <c r="Q508" s="30"/>
      <c r="R508" s="30"/>
      <c r="S508" s="30"/>
      <c r="T508" s="30"/>
      <c r="U508" s="30"/>
      <c r="V508" s="30"/>
      <c r="W508" s="30"/>
      <c r="X508" s="30"/>
      <c r="Y508" s="30"/>
      <c r="Z508" s="22"/>
      <c r="AA508" s="32"/>
    </row>
    <row r="509" ht="15.75" customHeight="1">
      <c r="O509" s="33"/>
      <c r="P509" s="22"/>
      <c r="Q509" s="30"/>
      <c r="R509" s="30"/>
      <c r="S509" s="30"/>
      <c r="T509" s="30"/>
      <c r="U509" s="30"/>
      <c r="V509" s="30"/>
      <c r="W509" s="30"/>
      <c r="X509" s="30"/>
      <c r="Y509" s="30"/>
      <c r="Z509" s="22"/>
      <c r="AA509" s="32"/>
    </row>
    <row r="510" ht="15.75" customHeight="1">
      <c r="O510" s="33"/>
      <c r="P510" s="22"/>
      <c r="Q510" s="30"/>
      <c r="R510" s="30"/>
      <c r="S510" s="30"/>
      <c r="T510" s="30"/>
      <c r="U510" s="30"/>
      <c r="V510" s="30"/>
      <c r="W510" s="30"/>
      <c r="X510" s="30"/>
      <c r="Y510" s="30"/>
      <c r="Z510" s="22"/>
      <c r="AA510" s="32"/>
    </row>
    <row r="511" ht="15.75" customHeight="1">
      <c r="O511" s="33"/>
      <c r="P511" s="22"/>
      <c r="Q511" s="30"/>
      <c r="R511" s="30"/>
      <c r="S511" s="30"/>
      <c r="T511" s="30"/>
      <c r="U511" s="30"/>
      <c r="V511" s="30"/>
      <c r="W511" s="30"/>
      <c r="X511" s="30"/>
      <c r="Y511" s="30"/>
      <c r="Z511" s="22"/>
      <c r="AA511" s="32"/>
    </row>
    <row r="512" ht="15.75" customHeight="1">
      <c r="O512" s="33"/>
      <c r="P512" s="22"/>
      <c r="Q512" s="30"/>
      <c r="R512" s="30"/>
      <c r="S512" s="30"/>
      <c r="T512" s="30"/>
      <c r="U512" s="30"/>
      <c r="V512" s="30"/>
      <c r="W512" s="30"/>
      <c r="X512" s="30"/>
      <c r="Y512" s="30"/>
      <c r="Z512" s="22"/>
      <c r="AA512" s="32"/>
    </row>
    <row r="513" ht="15.75" customHeight="1">
      <c r="O513" s="33"/>
      <c r="P513" s="22"/>
      <c r="Q513" s="30"/>
      <c r="R513" s="30"/>
      <c r="S513" s="30"/>
      <c r="T513" s="30"/>
      <c r="U513" s="30"/>
      <c r="V513" s="30"/>
      <c r="W513" s="30"/>
      <c r="X513" s="30"/>
      <c r="Y513" s="30"/>
      <c r="Z513" s="22"/>
      <c r="AA513" s="32"/>
    </row>
    <row r="514" ht="15.75" customHeight="1">
      <c r="O514" s="33"/>
      <c r="P514" s="22"/>
      <c r="Q514" s="30"/>
      <c r="R514" s="30"/>
      <c r="S514" s="30"/>
      <c r="T514" s="30"/>
      <c r="U514" s="30"/>
      <c r="V514" s="30"/>
      <c r="W514" s="30"/>
      <c r="X514" s="30"/>
      <c r="Y514" s="30"/>
      <c r="Z514" s="22"/>
      <c r="AA514" s="32"/>
    </row>
    <row r="515" ht="15.75" customHeight="1">
      <c r="O515" s="33"/>
      <c r="P515" s="22"/>
      <c r="Q515" s="30"/>
      <c r="R515" s="30"/>
      <c r="S515" s="30"/>
      <c r="T515" s="30"/>
      <c r="U515" s="30"/>
      <c r="V515" s="30"/>
      <c r="W515" s="30"/>
      <c r="X515" s="30"/>
      <c r="Y515" s="30"/>
      <c r="Z515" s="22"/>
      <c r="AA515" s="32"/>
    </row>
    <row r="516" ht="15.75" customHeight="1">
      <c r="O516" s="33"/>
      <c r="P516" s="22"/>
      <c r="Q516" s="30"/>
      <c r="R516" s="30"/>
      <c r="S516" s="30"/>
      <c r="T516" s="30"/>
      <c r="U516" s="30"/>
      <c r="V516" s="30"/>
      <c r="W516" s="30"/>
      <c r="X516" s="30"/>
      <c r="Y516" s="30"/>
      <c r="Z516" s="22"/>
      <c r="AA516" s="32"/>
    </row>
    <row r="517" ht="15.75" customHeight="1">
      <c r="O517" s="33"/>
      <c r="P517" s="22"/>
      <c r="Q517" s="30"/>
      <c r="R517" s="30"/>
      <c r="S517" s="30"/>
      <c r="T517" s="30"/>
      <c r="U517" s="30"/>
      <c r="V517" s="30"/>
      <c r="W517" s="30"/>
      <c r="X517" s="30"/>
      <c r="Y517" s="30"/>
      <c r="Z517" s="22"/>
      <c r="AA517" s="32"/>
    </row>
    <row r="518" ht="15.75" customHeight="1">
      <c r="O518" s="33"/>
      <c r="P518" s="22"/>
      <c r="Q518" s="30"/>
      <c r="R518" s="30"/>
      <c r="S518" s="30"/>
      <c r="T518" s="30"/>
      <c r="U518" s="30"/>
      <c r="V518" s="30"/>
      <c r="W518" s="30"/>
      <c r="X518" s="30"/>
      <c r="Y518" s="30"/>
      <c r="Z518" s="22"/>
      <c r="AA518" s="32"/>
    </row>
    <row r="519" ht="15.75" customHeight="1">
      <c r="O519" s="33"/>
      <c r="P519" s="22"/>
      <c r="Q519" s="30"/>
      <c r="R519" s="30"/>
      <c r="S519" s="30"/>
      <c r="T519" s="30"/>
      <c r="U519" s="30"/>
      <c r="V519" s="30"/>
      <c r="W519" s="30"/>
      <c r="X519" s="30"/>
      <c r="Y519" s="30"/>
      <c r="Z519" s="22"/>
      <c r="AA519" s="32"/>
    </row>
    <row r="520" ht="15.75" customHeight="1">
      <c r="O520" s="33"/>
      <c r="P520" s="22"/>
      <c r="Q520" s="30"/>
      <c r="R520" s="30"/>
      <c r="S520" s="30"/>
      <c r="T520" s="30"/>
      <c r="U520" s="30"/>
      <c r="V520" s="30"/>
      <c r="W520" s="30"/>
      <c r="X520" s="30"/>
      <c r="Y520" s="30"/>
      <c r="Z520" s="22"/>
      <c r="AA520" s="32"/>
    </row>
    <row r="521" ht="15.75" customHeight="1">
      <c r="O521" s="33"/>
      <c r="P521" s="22"/>
      <c r="Q521" s="30"/>
      <c r="R521" s="30"/>
      <c r="S521" s="30"/>
      <c r="T521" s="30"/>
      <c r="U521" s="30"/>
      <c r="V521" s="30"/>
      <c r="W521" s="30"/>
      <c r="X521" s="30"/>
      <c r="Y521" s="30"/>
      <c r="Z521" s="22"/>
      <c r="AA521" s="32"/>
    </row>
    <row r="522" ht="15.75" customHeight="1">
      <c r="O522" s="33"/>
      <c r="P522" s="22"/>
      <c r="Q522" s="30"/>
      <c r="R522" s="30"/>
      <c r="S522" s="30"/>
      <c r="T522" s="30"/>
      <c r="U522" s="30"/>
      <c r="V522" s="30"/>
      <c r="W522" s="30"/>
      <c r="X522" s="30"/>
      <c r="Y522" s="30"/>
      <c r="Z522" s="22"/>
      <c r="AA522" s="32"/>
    </row>
    <row r="523" ht="15.75" customHeight="1">
      <c r="O523" s="33"/>
      <c r="P523" s="22"/>
      <c r="Q523" s="30"/>
      <c r="R523" s="30"/>
      <c r="S523" s="30"/>
      <c r="T523" s="30"/>
      <c r="U523" s="30"/>
      <c r="V523" s="30"/>
      <c r="W523" s="30"/>
      <c r="X523" s="30"/>
      <c r="Y523" s="30"/>
      <c r="Z523" s="22"/>
      <c r="AA523" s="32"/>
    </row>
    <row r="524" ht="15.75" customHeight="1">
      <c r="O524" s="33"/>
      <c r="P524" s="22"/>
      <c r="Q524" s="30"/>
      <c r="R524" s="30"/>
      <c r="S524" s="30"/>
      <c r="T524" s="30"/>
      <c r="U524" s="30"/>
      <c r="V524" s="30"/>
      <c r="W524" s="30"/>
      <c r="X524" s="30"/>
      <c r="Y524" s="30"/>
      <c r="Z524" s="22"/>
      <c r="AA524" s="32"/>
    </row>
    <row r="525" ht="15.75" customHeight="1">
      <c r="O525" s="33"/>
      <c r="P525" s="22"/>
      <c r="Q525" s="30"/>
      <c r="R525" s="30"/>
      <c r="S525" s="30"/>
      <c r="T525" s="30"/>
      <c r="U525" s="30"/>
      <c r="V525" s="30"/>
      <c r="W525" s="30"/>
      <c r="X525" s="30"/>
      <c r="Y525" s="30"/>
      <c r="Z525" s="22"/>
      <c r="AA525" s="32"/>
    </row>
    <row r="526" ht="15.75" customHeight="1">
      <c r="O526" s="33"/>
      <c r="P526" s="22"/>
      <c r="Q526" s="30"/>
      <c r="R526" s="30"/>
      <c r="S526" s="30"/>
      <c r="T526" s="30"/>
      <c r="U526" s="30"/>
      <c r="V526" s="30"/>
      <c r="W526" s="30"/>
      <c r="X526" s="30"/>
      <c r="Y526" s="30"/>
      <c r="Z526" s="22"/>
      <c r="AA526" s="32"/>
    </row>
    <row r="527" ht="15.75" customHeight="1">
      <c r="O527" s="33"/>
      <c r="P527" s="22"/>
      <c r="Q527" s="30"/>
      <c r="R527" s="30"/>
      <c r="S527" s="30"/>
      <c r="T527" s="30"/>
      <c r="U527" s="30"/>
      <c r="V527" s="30"/>
      <c r="W527" s="30"/>
      <c r="X527" s="30"/>
      <c r="Y527" s="30"/>
      <c r="Z527" s="22"/>
      <c r="AA527" s="32"/>
    </row>
    <row r="528" ht="15.75" customHeight="1">
      <c r="O528" s="33"/>
      <c r="P528" s="22"/>
      <c r="Q528" s="30"/>
      <c r="R528" s="30"/>
      <c r="S528" s="30"/>
      <c r="T528" s="30"/>
      <c r="U528" s="30"/>
      <c r="V528" s="30"/>
      <c r="W528" s="30"/>
      <c r="X528" s="30"/>
      <c r="Y528" s="30"/>
      <c r="Z528" s="22"/>
      <c r="AA528" s="32"/>
    </row>
    <row r="529" ht="15.75" customHeight="1">
      <c r="O529" s="33"/>
      <c r="P529" s="22"/>
      <c r="Q529" s="30"/>
      <c r="R529" s="30"/>
      <c r="S529" s="30"/>
      <c r="T529" s="30"/>
      <c r="U529" s="30"/>
      <c r="V529" s="30"/>
      <c r="W529" s="30"/>
      <c r="X529" s="30"/>
      <c r="Y529" s="30"/>
      <c r="Z529" s="22"/>
      <c r="AA529" s="32"/>
    </row>
    <row r="530" ht="15.75" customHeight="1">
      <c r="O530" s="33"/>
      <c r="P530" s="22"/>
      <c r="Q530" s="30"/>
      <c r="R530" s="30"/>
      <c r="S530" s="30"/>
      <c r="T530" s="30"/>
      <c r="U530" s="30"/>
      <c r="V530" s="30"/>
      <c r="W530" s="30"/>
      <c r="X530" s="30"/>
      <c r="Y530" s="30"/>
      <c r="Z530" s="22"/>
      <c r="AA530" s="32"/>
    </row>
    <row r="531" ht="15.75" customHeight="1">
      <c r="O531" s="33"/>
      <c r="P531" s="22"/>
      <c r="Q531" s="30"/>
      <c r="R531" s="30"/>
      <c r="S531" s="30"/>
      <c r="T531" s="30"/>
      <c r="U531" s="30"/>
      <c r="V531" s="30"/>
      <c r="W531" s="30"/>
      <c r="X531" s="30"/>
      <c r="Y531" s="30"/>
      <c r="Z531" s="22"/>
      <c r="AA531" s="32"/>
    </row>
    <row r="532" ht="15.75" customHeight="1">
      <c r="O532" s="33"/>
      <c r="P532" s="22"/>
      <c r="Q532" s="30"/>
      <c r="R532" s="30"/>
      <c r="S532" s="30"/>
      <c r="T532" s="30"/>
      <c r="U532" s="30"/>
      <c r="V532" s="30"/>
      <c r="W532" s="30"/>
      <c r="X532" s="30"/>
      <c r="Y532" s="30"/>
      <c r="Z532" s="22"/>
      <c r="AA532" s="32"/>
    </row>
    <row r="533" ht="15.75" customHeight="1">
      <c r="O533" s="33"/>
      <c r="P533" s="22"/>
      <c r="Q533" s="30"/>
      <c r="R533" s="30"/>
      <c r="S533" s="30"/>
      <c r="T533" s="30"/>
      <c r="U533" s="30"/>
      <c r="V533" s="30"/>
      <c r="W533" s="30"/>
      <c r="X533" s="30"/>
      <c r="Y533" s="30"/>
      <c r="Z533" s="22"/>
      <c r="AA533" s="32"/>
    </row>
    <row r="534" ht="15.75" customHeight="1">
      <c r="O534" s="33"/>
      <c r="P534" s="22"/>
      <c r="Q534" s="30"/>
      <c r="R534" s="30"/>
      <c r="S534" s="30"/>
      <c r="T534" s="30"/>
      <c r="U534" s="30"/>
      <c r="V534" s="30"/>
      <c r="W534" s="30"/>
      <c r="X534" s="30"/>
      <c r="Y534" s="30"/>
      <c r="Z534" s="22"/>
      <c r="AA534" s="32"/>
    </row>
    <row r="535" ht="15.75" customHeight="1">
      <c r="O535" s="33"/>
      <c r="P535" s="22"/>
      <c r="Q535" s="30"/>
      <c r="R535" s="30"/>
      <c r="S535" s="30"/>
      <c r="T535" s="30"/>
      <c r="U535" s="30"/>
      <c r="V535" s="30"/>
      <c r="W535" s="30"/>
      <c r="X535" s="30"/>
      <c r="Y535" s="30"/>
      <c r="Z535" s="22"/>
      <c r="AA535" s="32"/>
    </row>
    <row r="536" ht="15.75" customHeight="1">
      <c r="O536" s="33"/>
      <c r="P536" s="22"/>
      <c r="Q536" s="30"/>
      <c r="R536" s="30"/>
      <c r="S536" s="30"/>
      <c r="T536" s="30"/>
      <c r="U536" s="30"/>
      <c r="V536" s="30"/>
      <c r="W536" s="30"/>
      <c r="X536" s="30"/>
      <c r="Y536" s="30"/>
      <c r="Z536" s="22"/>
      <c r="AA536" s="32"/>
    </row>
    <row r="537" ht="15.75" customHeight="1">
      <c r="O537" s="33"/>
      <c r="P537" s="22"/>
      <c r="Q537" s="30"/>
      <c r="R537" s="30"/>
      <c r="S537" s="30"/>
      <c r="T537" s="30"/>
      <c r="U537" s="30"/>
      <c r="V537" s="30"/>
      <c r="W537" s="30"/>
      <c r="X537" s="30"/>
      <c r="Y537" s="30"/>
      <c r="Z537" s="22"/>
      <c r="AA537" s="32"/>
    </row>
    <row r="538" ht="15.75" customHeight="1">
      <c r="O538" s="33"/>
      <c r="P538" s="22"/>
      <c r="Q538" s="30"/>
      <c r="R538" s="30"/>
      <c r="S538" s="30"/>
      <c r="T538" s="30"/>
      <c r="U538" s="30"/>
      <c r="V538" s="30"/>
      <c r="W538" s="30"/>
      <c r="X538" s="30"/>
      <c r="Y538" s="30"/>
      <c r="Z538" s="22"/>
      <c r="AA538" s="32"/>
    </row>
    <row r="539" ht="15.75" customHeight="1">
      <c r="O539" s="33"/>
      <c r="P539" s="22"/>
      <c r="Q539" s="30"/>
      <c r="R539" s="30"/>
      <c r="S539" s="30"/>
      <c r="T539" s="30"/>
      <c r="U539" s="30"/>
      <c r="V539" s="30"/>
      <c r="W539" s="30"/>
      <c r="X539" s="30"/>
      <c r="Y539" s="30"/>
      <c r="Z539" s="22"/>
      <c r="AA539" s="32"/>
    </row>
    <row r="540" ht="15.75" customHeight="1">
      <c r="O540" s="33"/>
      <c r="P540" s="22"/>
      <c r="Q540" s="30"/>
      <c r="R540" s="30"/>
      <c r="S540" s="30"/>
      <c r="T540" s="30"/>
      <c r="U540" s="30"/>
      <c r="V540" s="30"/>
      <c r="W540" s="30"/>
      <c r="X540" s="30"/>
      <c r="Y540" s="30"/>
      <c r="Z540" s="22"/>
      <c r="AA540" s="32"/>
    </row>
    <row r="541" ht="15.75" customHeight="1">
      <c r="O541" s="33"/>
      <c r="P541" s="22"/>
      <c r="Q541" s="30"/>
      <c r="R541" s="30"/>
      <c r="S541" s="30"/>
      <c r="T541" s="30"/>
      <c r="U541" s="30"/>
      <c r="V541" s="30"/>
      <c r="W541" s="30"/>
      <c r="X541" s="30"/>
      <c r="Y541" s="30"/>
      <c r="Z541" s="22"/>
      <c r="AA541" s="32"/>
    </row>
    <row r="542" ht="15.75" customHeight="1">
      <c r="O542" s="33"/>
      <c r="P542" s="22"/>
      <c r="Q542" s="30"/>
      <c r="R542" s="30"/>
      <c r="S542" s="30"/>
      <c r="T542" s="30"/>
      <c r="U542" s="30"/>
      <c r="V542" s="30"/>
      <c r="W542" s="30"/>
      <c r="X542" s="30"/>
      <c r="Y542" s="30"/>
      <c r="Z542" s="22"/>
      <c r="AA542" s="32"/>
    </row>
    <row r="543" ht="15.75" customHeight="1">
      <c r="O543" s="33"/>
      <c r="P543" s="22"/>
      <c r="Q543" s="30"/>
      <c r="R543" s="30"/>
      <c r="S543" s="30"/>
      <c r="T543" s="30"/>
      <c r="U543" s="30"/>
      <c r="V543" s="30"/>
      <c r="W543" s="30"/>
      <c r="X543" s="30"/>
      <c r="Y543" s="30"/>
      <c r="Z543" s="22"/>
      <c r="AA543" s="32"/>
    </row>
    <row r="544" ht="15.75" customHeight="1">
      <c r="O544" s="33"/>
      <c r="P544" s="22"/>
      <c r="Q544" s="30"/>
      <c r="R544" s="30"/>
      <c r="S544" s="30"/>
      <c r="T544" s="30"/>
      <c r="U544" s="30"/>
      <c r="V544" s="30"/>
      <c r="W544" s="30"/>
      <c r="X544" s="30"/>
      <c r="Y544" s="30"/>
      <c r="Z544" s="22"/>
      <c r="AA544" s="32"/>
    </row>
    <row r="545" ht="15.75" customHeight="1">
      <c r="O545" s="33"/>
      <c r="P545" s="22"/>
      <c r="Q545" s="30"/>
      <c r="R545" s="30"/>
      <c r="S545" s="30"/>
      <c r="T545" s="30"/>
      <c r="U545" s="30"/>
      <c r="V545" s="30"/>
      <c r="W545" s="30"/>
      <c r="X545" s="30"/>
      <c r="Y545" s="30"/>
      <c r="Z545" s="22"/>
      <c r="AA545" s="32"/>
    </row>
    <row r="546" ht="15.75" customHeight="1">
      <c r="O546" s="33"/>
      <c r="P546" s="22"/>
      <c r="Q546" s="30"/>
      <c r="R546" s="30"/>
      <c r="S546" s="30"/>
      <c r="T546" s="30"/>
      <c r="U546" s="30"/>
      <c r="V546" s="30"/>
      <c r="W546" s="30"/>
      <c r="X546" s="30"/>
      <c r="Y546" s="30"/>
      <c r="Z546" s="22"/>
      <c r="AA546" s="32"/>
    </row>
    <row r="547" ht="15.75" customHeight="1">
      <c r="O547" s="33"/>
      <c r="P547" s="22"/>
      <c r="Q547" s="30"/>
      <c r="R547" s="30"/>
      <c r="S547" s="30"/>
      <c r="T547" s="30"/>
      <c r="U547" s="30"/>
      <c r="V547" s="30"/>
      <c r="W547" s="30"/>
      <c r="X547" s="30"/>
      <c r="Y547" s="30"/>
      <c r="Z547" s="22"/>
      <c r="AA547" s="32"/>
    </row>
    <row r="548" ht="15.75" customHeight="1">
      <c r="O548" s="33"/>
      <c r="P548" s="22"/>
      <c r="Q548" s="30"/>
      <c r="R548" s="30"/>
      <c r="S548" s="30"/>
      <c r="T548" s="30"/>
      <c r="U548" s="30"/>
      <c r="V548" s="30"/>
      <c r="W548" s="30"/>
      <c r="X548" s="30"/>
      <c r="Y548" s="30"/>
      <c r="Z548" s="22"/>
      <c r="AA548" s="32"/>
    </row>
    <row r="549" ht="15.75" customHeight="1">
      <c r="O549" s="33"/>
      <c r="P549" s="22"/>
      <c r="Q549" s="30"/>
      <c r="R549" s="30"/>
      <c r="S549" s="30"/>
      <c r="T549" s="30"/>
      <c r="U549" s="30"/>
      <c r="V549" s="30"/>
      <c r="W549" s="30"/>
      <c r="X549" s="30"/>
      <c r="Y549" s="30"/>
      <c r="Z549" s="22"/>
      <c r="AA549" s="32"/>
    </row>
    <row r="550" ht="15.75" customHeight="1">
      <c r="O550" s="33"/>
      <c r="P550" s="22"/>
      <c r="Q550" s="30"/>
      <c r="R550" s="30"/>
      <c r="S550" s="30"/>
      <c r="T550" s="30"/>
      <c r="U550" s="30"/>
      <c r="V550" s="30"/>
      <c r="W550" s="30"/>
      <c r="X550" s="30"/>
      <c r="Y550" s="30"/>
      <c r="Z550" s="22"/>
      <c r="AA550" s="32"/>
    </row>
    <row r="551" ht="15.75" customHeight="1">
      <c r="O551" s="33"/>
      <c r="P551" s="22"/>
      <c r="Q551" s="30"/>
      <c r="R551" s="30"/>
      <c r="S551" s="30"/>
      <c r="T551" s="30"/>
      <c r="U551" s="30"/>
      <c r="V551" s="30"/>
      <c r="W551" s="30"/>
      <c r="X551" s="30"/>
      <c r="Y551" s="30"/>
      <c r="Z551" s="22"/>
      <c r="AA551" s="32"/>
    </row>
    <row r="552" ht="15.75" customHeight="1">
      <c r="O552" s="33"/>
      <c r="P552" s="22"/>
      <c r="Q552" s="30"/>
      <c r="R552" s="30"/>
      <c r="S552" s="30"/>
      <c r="T552" s="30"/>
      <c r="U552" s="30"/>
      <c r="V552" s="30"/>
      <c r="W552" s="30"/>
      <c r="X552" s="30"/>
      <c r="Y552" s="30"/>
      <c r="Z552" s="22"/>
      <c r="AA552" s="32"/>
    </row>
    <row r="553" ht="15.75" customHeight="1">
      <c r="O553" s="33"/>
      <c r="P553" s="22"/>
      <c r="Q553" s="30"/>
      <c r="R553" s="30"/>
      <c r="S553" s="30"/>
      <c r="T553" s="30"/>
      <c r="U553" s="30"/>
      <c r="V553" s="30"/>
      <c r="W553" s="30"/>
      <c r="X553" s="30"/>
      <c r="Y553" s="30"/>
      <c r="Z553" s="22"/>
      <c r="AA553" s="32"/>
    </row>
    <row r="554" ht="15.75" customHeight="1">
      <c r="O554" s="33"/>
      <c r="P554" s="22"/>
      <c r="Q554" s="30"/>
      <c r="R554" s="30"/>
      <c r="S554" s="30"/>
      <c r="T554" s="30"/>
      <c r="U554" s="30"/>
      <c r="V554" s="30"/>
      <c r="W554" s="30"/>
      <c r="X554" s="30"/>
      <c r="Y554" s="30"/>
      <c r="Z554" s="22"/>
      <c r="AA554" s="32"/>
    </row>
    <row r="555" ht="15.75" customHeight="1">
      <c r="O555" s="33"/>
      <c r="P555" s="22"/>
      <c r="Q555" s="30"/>
      <c r="R555" s="30"/>
      <c r="S555" s="30"/>
      <c r="T555" s="30"/>
      <c r="U555" s="30"/>
      <c r="V555" s="30"/>
      <c r="W555" s="30"/>
      <c r="X555" s="30"/>
      <c r="Y555" s="30"/>
      <c r="Z555" s="22"/>
      <c r="AA555" s="32"/>
    </row>
    <row r="556" ht="15.75" customHeight="1">
      <c r="O556" s="33"/>
      <c r="P556" s="22"/>
      <c r="Q556" s="30"/>
      <c r="R556" s="30"/>
      <c r="S556" s="30"/>
      <c r="T556" s="30"/>
      <c r="U556" s="30"/>
      <c r="V556" s="30"/>
      <c r="W556" s="30"/>
      <c r="X556" s="30"/>
      <c r="Y556" s="30"/>
      <c r="Z556" s="22"/>
      <c r="AA556" s="32"/>
    </row>
    <row r="557" ht="15.75" customHeight="1">
      <c r="O557" s="33"/>
      <c r="P557" s="22"/>
      <c r="Q557" s="30"/>
      <c r="R557" s="30"/>
      <c r="S557" s="30"/>
      <c r="T557" s="30"/>
      <c r="U557" s="30"/>
      <c r="V557" s="30"/>
      <c r="W557" s="30"/>
      <c r="X557" s="30"/>
      <c r="Y557" s="30"/>
      <c r="Z557" s="22"/>
      <c r="AA557" s="32"/>
    </row>
    <row r="558" ht="15.75" customHeight="1">
      <c r="O558" s="33"/>
      <c r="P558" s="22"/>
      <c r="Q558" s="30"/>
      <c r="R558" s="30"/>
      <c r="S558" s="30"/>
      <c r="T558" s="30"/>
      <c r="U558" s="30"/>
      <c r="V558" s="30"/>
      <c r="W558" s="30"/>
      <c r="X558" s="30"/>
      <c r="Y558" s="30"/>
      <c r="Z558" s="22"/>
      <c r="AA558" s="32"/>
    </row>
    <row r="559" ht="15.75" customHeight="1">
      <c r="O559" s="33"/>
      <c r="P559" s="22"/>
      <c r="Q559" s="30"/>
      <c r="R559" s="30"/>
      <c r="S559" s="30"/>
      <c r="T559" s="30"/>
      <c r="U559" s="30"/>
      <c r="V559" s="30"/>
      <c r="W559" s="30"/>
      <c r="X559" s="30"/>
      <c r="Y559" s="30"/>
      <c r="Z559" s="22"/>
      <c r="AA559" s="32"/>
    </row>
    <row r="560" ht="15.75" customHeight="1">
      <c r="O560" s="33"/>
      <c r="P560" s="22"/>
      <c r="Q560" s="30"/>
      <c r="R560" s="30"/>
      <c r="S560" s="30"/>
      <c r="T560" s="30"/>
      <c r="U560" s="30"/>
      <c r="V560" s="30"/>
      <c r="W560" s="30"/>
      <c r="X560" s="30"/>
      <c r="Y560" s="30"/>
      <c r="Z560" s="22"/>
      <c r="AA560" s="32"/>
    </row>
    <row r="561" ht="15.75" customHeight="1">
      <c r="O561" s="33"/>
      <c r="P561" s="22"/>
      <c r="Q561" s="30"/>
      <c r="R561" s="30"/>
      <c r="S561" s="30"/>
      <c r="T561" s="30"/>
      <c r="U561" s="30"/>
      <c r="V561" s="30"/>
      <c r="W561" s="30"/>
      <c r="X561" s="30"/>
      <c r="Y561" s="30"/>
      <c r="Z561" s="22"/>
      <c r="AA561" s="32"/>
    </row>
    <row r="562" ht="15.75" customHeight="1">
      <c r="O562" s="33"/>
      <c r="P562" s="22"/>
      <c r="Q562" s="30"/>
      <c r="R562" s="30"/>
      <c r="S562" s="30"/>
      <c r="T562" s="30"/>
      <c r="U562" s="30"/>
      <c r="V562" s="30"/>
      <c r="W562" s="30"/>
      <c r="X562" s="30"/>
      <c r="Y562" s="30"/>
      <c r="Z562" s="22"/>
      <c r="AA562" s="32"/>
    </row>
    <row r="563" ht="15.75" customHeight="1">
      <c r="O563" s="33"/>
      <c r="P563" s="22"/>
      <c r="Q563" s="30"/>
      <c r="R563" s="30"/>
      <c r="S563" s="30"/>
      <c r="T563" s="30"/>
      <c r="U563" s="30"/>
      <c r="V563" s="30"/>
      <c r="W563" s="30"/>
      <c r="X563" s="30"/>
      <c r="Y563" s="30"/>
      <c r="Z563" s="22"/>
      <c r="AA563" s="32"/>
    </row>
    <row r="564" ht="15.75" customHeight="1">
      <c r="O564" s="33"/>
      <c r="P564" s="22"/>
      <c r="Q564" s="30"/>
      <c r="R564" s="30"/>
      <c r="S564" s="30"/>
      <c r="T564" s="30"/>
      <c r="U564" s="30"/>
      <c r="V564" s="30"/>
      <c r="W564" s="30"/>
      <c r="X564" s="30"/>
      <c r="Y564" s="30"/>
      <c r="Z564" s="22"/>
      <c r="AA564" s="32"/>
    </row>
    <row r="565" ht="15.75" customHeight="1">
      <c r="O565" s="33"/>
      <c r="P565" s="22"/>
      <c r="Q565" s="30"/>
      <c r="R565" s="30"/>
      <c r="S565" s="30"/>
      <c r="T565" s="30"/>
      <c r="U565" s="30"/>
      <c r="V565" s="30"/>
      <c r="W565" s="30"/>
      <c r="X565" s="30"/>
      <c r="Y565" s="30"/>
      <c r="Z565" s="22"/>
      <c r="AA565" s="32"/>
    </row>
    <row r="566" ht="15.75" customHeight="1">
      <c r="O566" s="33"/>
      <c r="P566" s="22"/>
      <c r="Q566" s="30"/>
      <c r="R566" s="30"/>
      <c r="S566" s="30"/>
      <c r="T566" s="30"/>
      <c r="U566" s="30"/>
      <c r="V566" s="30"/>
      <c r="W566" s="30"/>
      <c r="X566" s="30"/>
      <c r="Y566" s="30"/>
      <c r="Z566" s="22"/>
      <c r="AA566" s="32"/>
    </row>
    <row r="567" ht="15.75" customHeight="1">
      <c r="O567" s="33"/>
      <c r="P567" s="22"/>
      <c r="Q567" s="30"/>
      <c r="R567" s="30"/>
      <c r="S567" s="30"/>
      <c r="T567" s="30"/>
      <c r="U567" s="30"/>
      <c r="V567" s="30"/>
      <c r="W567" s="30"/>
      <c r="X567" s="30"/>
      <c r="Y567" s="30"/>
      <c r="Z567" s="22"/>
      <c r="AA567" s="32"/>
    </row>
    <row r="568" ht="15.75" customHeight="1">
      <c r="O568" s="33"/>
      <c r="P568" s="22"/>
      <c r="Q568" s="30"/>
      <c r="R568" s="30"/>
      <c r="S568" s="30"/>
      <c r="T568" s="30"/>
      <c r="U568" s="30"/>
      <c r="V568" s="30"/>
      <c r="W568" s="30"/>
      <c r="X568" s="30"/>
      <c r="Y568" s="30"/>
      <c r="Z568" s="22"/>
      <c r="AA568" s="32"/>
    </row>
    <row r="569" ht="15.75" customHeight="1">
      <c r="O569" s="33"/>
      <c r="P569" s="22"/>
      <c r="Q569" s="30"/>
      <c r="R569" s="30"/>
      <c r="S569" s="30"/>
      <c r="T569" s="30"/>
      <c r="U569" s="30"/>
      <c r="V569" s="30"/>
      <c r="W569" s="30"/>
      <c r="X569" s="30"/>
      <c r="Y569" s="30"/>
      <c r="Z569" s="22"/>
      <c r="AA569" s="32"/>
    </row>
    <row r="570" ht="15.75" customHeight="1">
      <c r="O570" s="33"/>
      <c r="P570" s="22"/>
      <c r="Q570" s="30"/>
      <c r="R570" s="30"/>
      <c r="S570" s="30"/>
      <c r="T570" s="30"/>
      <c r="U570" s="30"/>
      <c r="V570" s="30"/>
      <c r="W570" s="30"/>
      <c r="X570" s="30"/>
      <c r="Y570" s="30"/>
      <c r="Z570" s="22"/>
      <c r="AA570" s="32"/>
    </row>
    <row r="571" ht="15.75" customHeight="1">
      <c r="O571" s="33"/>
      <c r="P571" s="22"/>
      <c r="Q571" s="30"/>
      <c r="R571" s="30"/>
      <c r="S571" s="30"/>
      <c r="T571" s="30"/>
      <c r="U571" s="30"/>
      <c r="V571" s="30"/>
      <c r="W571" s="30"/>
      <c r="X571" s="30"/>
      <c r="Y571" s="30"/>
      <c r="Z571" s="22"/>
      <c r="AA571" s="32"/>
    </row>
    <row r="572" ht="15.75" customHeight="1">
      <c r="O572" s="33"/>
      <c r="P572" s="22"/>
      <c r="Q572" s="30"/>
      <c r="R572" s="30"/>
      <c r="S572" s="30"/>
      <c r="T572" s="30"/>
      <c r="U572" s="30"/>
      <c r="V572" s="30"/>
      <c r="W572" s="30"/>
      <c r="X572" s="30"/>
      <c r="Y572" s="30"/>
      <c r="Z572" s="22"/>
      <c r="AA572" s="32"/>
    </row>
    <row r="573" ht="15.75" customHeight="1">
      <c r="O573" s="33"/>
      <c r="P573" s="22"/>
      <c r="Q573" s="30"/>
      <c r="R573" s="30"/>
      <c r="S573" s="30"/>
      <c r="T573" s="30"/>
      <c r="U573" s="30"/>
      <c r="V573" s="30"/>
      <c r="W573" s="30"/>
      <c r="X573" s="30"/>
      <c r="Y573" s="30"/>
      <c r="Z573" s="22"/>
      <c r="AA573" s="32"/>
    </row>
    <row r="574" ht="15.75" customHeight="1">
      <c r="O574" s="33"/>
      <c r="P574" s="22"/>
      <c r="Q574" s="30"/>
      <c r="R574" s="30"/>
      <c r="S574" s="30"/>
      <c r="T574" s="30"/>
      <c r="U574" s="30"/>
      <c r="V574" s="30"/>
      <c r="W574" s="30"/>
      <c r="X574" s="30"/>
      <c r="Y574" s="30"/>
      <c r="Z574" s="22"/>
      <c r="AA574" s="32"/>
    </row>
    <row r="575" ht="15.75" customHeight="1">
      <c r="O575" s="33"/>
      <c r="P575" s="22"/>
      <c r="Q575" s="30"/>
      <c r="R575" s="30"/>
      <c r="S575" s="30"/>
      <c r="T575" s="30"/>
      <c r="U575" s="30"/>
      <c r="V575" s="30"/>
      <c r="W575" s="30"/>
      <c r="X575" s="30"/>
      <c r="Y575" s="30"/>
      <c r="Z575" s="22"/>
      <c r="AA575" s="32"/>
    </row>
    <row r="576" ht="15.75" customHeight="1">
      <c r="O576" s="33"/>
      <c r="P576" s="22"/>
      <c r="Q576" s="30"/>
      <c r="R576" s="30"/>
      <c r="S576" s="30"/>
      <c r="T576" s="30"/>
      <c r="U576" s="30"/>
      <c r="V576" s="30"/>
      <c r="W576" s="30"/>
      <c r="X576" s="30"/>
      <c r="Y576" s="30"/>
      <c r="Z576" s="22"/>
      <c r="AA576" s="32"/>
    </row>
    <row r="577" ht="15.75" customHeight="1">
      <c r="O577" s="33"/>
      <c r="P577" s="22"/>
      <c r="Q577" s="30"/>
      <c r="R577" s="30"/>
      <c r="S577" s="30"/>
      <c r="T577" s="30"/>
      <c r="U577" s="30"/>
      <c r="V577" s="30"/>
      <c r="W577" s="30"/>
      <c r="X577" s="30"/>
      <c r="Y577" s="30"/>
      <c r="Z577" s="22"/>
      <c r="AA577" s="32"/>
    </row>
    <row r="578" ht="15.75" customHeight="1">
      <c r="O578" s="33"/>
      <c r="P578" s="22"/>
      <c r="Q578" s="30"/>
      <c r="R578" s="30"/>
      <c r="S578" s="30"/>
      <c r="T578" s="30"/>
      <c r="U578" s="30"/>
      <c r="V578" s="30"/>
      <c r="W578" s="30"/>
      <c r="X578" s="30"/>
      <c r="Y578" s="30"/>
      <c r="Z578" s="22"/>
      <c r="AA578" s="32"/>
    </row>
    <row r="579" ht="15.75" customHeight="1">
      <c r="O579" s="33"/>
      <c r="P579" s="22"/>
      <c r="Q579" s="30"/>
      <c r="R579" s="30"/>
      <c r="S579" s="30"/>
      <c r="T579" s="30"/>
      <c r="U579" s="30"/>
      <c r="V579" s="30"/>
      <c r="W579" s="30"/>
      <c r="X579" s="30"/>
      <c r="Y579" s="30"/>
      <c r="Z579" s="22"/>
      <c r="AA579" s="32"/>
    </row>
    <row r="580" ht="15.75" customHeight="1">
      <c r="O580" s="33"/>
      <c r="P580" s="22"/>
      <c r="Q580" s="30"/>
      <c r="R580" s="30"/>
      <c r="S580" s="30"/>
      <c r="T580" s="30"/>
      <c r="U580" s="30"/>
      <c r="V580" s="30"/>
      <c r="W580" s="30"/>
      <c r="X580" s="30"/>
      <c r="Y580" s="30"/>
      <c r="Z580" s="22"/>
      <c r="AA580" s="32"/>
    </row>
    <row r="581" ht="15.75" customHeight="1">
      <c r="O581" s="33"/>
      <c r="P581" s="22"/>
      <c r="Q581" s="30"/>
      <c r="R581" s="30"/>
      <c r="S581" s="30"/>
      <c r="T581" s="30"/>
      <c r="U581" s="30"/>
      <c r="V581" s="30"/>
      <c r="W581" s="30"/>
      <c r="X581" s="30"/>
      <c r="Y581" s="30"/>
      <c r="Z581" s="22"/>
      <c r="AA581" s="32"/>
    </row>
    <row r="582" ht="15.75" customHeight="1">
      <c r="O582" s="33"/>
      <c r="P582" s="22"/>
      <c r="Q582" s="30"/>
      <c r="R582" s="30"/>
      <c r="S582" s="30"/>
      <c r="T582" s="30"/>
      <c r="U582" s="30"/>
      <c r="V582" s="30"/>
      <c r="W582" s="30"/>
      <c r="X582" s="30"/>
      <c r="Y582" s="30"/>
      <c r="Z582" s="22"/>
      <c r="AA582" s="32"/>
    </row>
    <row r="583" ht="15.75" customHeight="1">
      <c r="O583" s="33"/>
      <c r="P583" s="22"/>
      <c r="Q583" s="30"/>
      <c r="R583" s="30"/>
      <c r="S583" s="30"/>
      <c r="T583" s="30"/>
      <c r="U583" s="30"/>
      <c r="V583" s="30"/>
      <c r="W583" s="30"/>
      <c r="X583" s="30"/>
      <c r="Y583" s="30"/>
      <c r="Z583" s="22"/>
      <c r="AA583" s="32"/>
    </row>
    <row r="584" ht="15.75" customHeight="1">
      <c r="O584" s="33"/>
      <c r="P584" s="22"/>
      <c r="Q584" s="30"/>
      <c r="R584" s="30"/>
      <c r="S584" s="30"/>
      <c r="T584" s="30"/>
      <c r="U584" s="30"/>
      <c r="V584" s="30"/>
      <c r="W584" s="30"/>
      <c r="X584" s="30"/>
      <c r="Y584" s="30"/>
      <c r="Z584" s="22"/>
      <c r="AA584" s="32"/>
    </row>
    <row r="585" ht="15.75" customHeight="1">
      <c r="O585" s="33"/>
      <c r="P585" s="22"/>
      <c r="Q585" s="30"/>
      <c r="R585" s="30"/>
      <c r="S585" s="30"/>
      <c r="T585" s="30"/>
      <c r="U585" s="30"/>
      <c r="V585" s="30"/>
      <c r="W585" s="30"/>
      <c r="X585" s="30"/>
      <c r="Y585" s="30"/>
      <c r="Z585" s="22"/>
      <c r="AA585" s="32"/>
    </row>
    <row r="586" ht="15.75" customHeight="1">
      <c r="O586" s="33"/>
      <c r="P586" s="22"/>
      <c r="Q586" s="30"/>
      <c r="R586" s="30"/>
      <c r="S586" s="30"/>
      <c r="T586" s="30"/>
      <c r="U586" s="30"/>
      <c r="V586" s="30"/>
      <c r="W586" s="30"/>
      <c r="X586" s="30"/>
      <c r="Y586" s="30"/>
      <c r="Z586" s="22"/>
      <c r="AA586" s="32"/>
    </row>
    <row r="587" ht="15.75" customHeight="1">
      <c r="O587" s="33"/>
      <c r="P587" s="22"/>
      <c r="Q587" s="30"/>
      <c r="R587" s="30"/>
      <c r="S587" s="30"/>
      <c r="T587" s="30"/>
      <c r="U587" s="30"/>
      <c r="V587" s="30"/>
      <c r="W587" s="30"/>
      <c r="X587" s="30"/>
      <c r="Y587" s="30"/>
      <c r="Z587" s="22"/>
      <c r="AA587" s="32"/>
    </row>
    <row r="588" ht="15.75" customHeight="1">
      <c r="O588" s="33"/>
      <c r="P588" s="22"/>
      <c r="Q588" s="30"/>
      <c r="R588" s="30"/>
      <c r="S588" s="30"/>
      <c r="T588" s="30"/>
      <c r="U588" s="30"/>
      <c r="V588" s="30"/>
      <c r="W588" s="30"/>
      <c r="X588" s="30"/>
      <c r="Y588" s="30"/>
      <c r="Z588" s="22"/>
      <c r="AA588" s="32"/>
    </row>
    <row r="589" ht="15.75" customHeight="1">
      <c r="O589" s="33"/>
      <c r="P589" s="22"/>
      <c r="Q589" s="30"/>
      <c r="R589" s="30"/>
      <c r="S589" s="30"/>
      <c r="T589" s="30"/>
      <c r="U589" s="30"/>
      <c r="V589" s="30"/>
      <c r="W589" s="30"/>
      <c r="X589" s="30"/>
      <c r="Y589" s="30"/>
      <c r="Z589" s="22"/>
      <c r="AA589" s="32"/>
    </row>
    <row r="590" ht="15.75" customHeight="1">
      <c r="O590" s="33"/>
      <c r="P590" s="22"/>
      <c r="Q590" s="30"/>
      <c r="R590" s="30"/>
      <c r="S590" s="30"/>
      <c r="T590" s="30"/>
      <c r="U590" s="30"/>
      <c r="V590" s="30"/>
      <c r="W590" s="30"/>
      <c r="X590" s="30"/>
      <c r="Y590" s="30"/>
      <c r="Z590" s="22"/>
      <c r="AA590" s="32"/>
    </row>
    <row r="591" ht="15.75" customHeight="1">
      <c r="O591" s="33"/>
      <c r="P591" s="22"/>
      <c r="Q591" s="30"/>
      <c r="R591" s="30"/>
      <c r="S591" s="30"/>
      <c r="T591" s="30"/>
      <c r="U591" s="30"/>
      <c r="V591" s="30"/>
      <c r="W591" s="30"/>
      <c r="X591" s="30"/>
      <c r="Y591" s="30"/>
      <c r="Z591" s="22"/>
      <c r="AA591" s="32"/>
    </row>
    <row r="592" ht="15.75" customHeight="1">
      <c r="O592" s="33"/>
      <c r="P592" s="22"/>
      <c r="Q592" s="30"/>
      <c r="R592" s="30"/>
      <c r="S592" s="30"/>
      <c r="T592" s="30"/>
      <c r="U592" s="30"/>
      <c r="V592" s="30"/>
      <c r="W592" s="30"/>
      <c r="X592" s="30"/>
      <c r="Y592" s="30"/>
      <c r="Z592" s="22"/>
      <c r="AA592" s="32"/>
    </row>
    <row r="593" ht="15.75" customHeight="1">
      <c r="O593" s="33"/>
      <c r="P593" s="22"/>
      <c r="Q593" s="30"/>
      <c r="R593" s="30"/>
      <c r="S593" s="30"/>
      <c r="T593" s="30"/>
      <c r="U593" s="30"/>
      <c r="V593" s="30"/>
      <c r="W593" s="30"/>
      <c r="X593" s="30"/>
      <c r="Y593" s="30"/>
      <c r="Z593" s="22"/>
      <c r="AA593" s="32"/>
    </row>
    <row r="594" ht="15.75" customHeight="1">
      <c r="O594" s="33"/>
      <c r="P594" s="22"/>
      <c r="Q594" s="30"/>
      <c r="R594" s="30"/>
      <c r="S594" s="30"/>
      <c r="T594" s="30"/>
      <c r="U594" s="30"/>
      <c r="V594" s="30"/>
      <c r="W594" s="30"/>
      <c r="X594" s="30"/>
      <c r="Y594" s="30"/>
      <c r="Z594" s="22"/>
      <c r="AA594" s="32"/>
    </row>
    <row r="595" ht="15.75" customHeight="1">
      <c r="O595" s="33"/>
      <c r="P595" s="22"/>
      <c r="Q595" s="30"/>
      <c r="R595" s="30"/>
      <c r="S595" s="30"/>
      <c r="T595" s="30"/>
      <c r="U595" s="30"/>
      <c r="V595" s="30"/>
      <c r="W595" s="30"/>
      <c r="X595" s="30"/>
      <c r="Y595" s="30"/>
      <c r="Z595" s="22"/>
      <c r="AA595" s="32"/>
    </row>
    <row r="596" ht="15.75" customHeight="1">
      <c r="O596" s="33"/>
      <c r="P596" s="22"/>
      <c r="Q596" s="30"/>
      <c r="R596" s="30"/>
      <c r="S596" s="30"/>
      <c r="T596" s="30"/>
      <c r="U596" s="30"/>
      <c r="V596" s="30"/>
      <c r="W596" s="30"/>
      <c r="X596" s="30"/>
      <c r="Y596" s="30"/>
      <c r="Z596" s="22"/>
      <c r="AA596" s="32"/>
    </row>
    <row r="597" ht="15.75" customHeight="1">
      <c r="O597" s="33"/>
      <c r="P597" s="22"/>
      <c r="Q597" s="30"/>
      <c r="R597" s="30"/>
      <c r="S597" s="30"/>
      <c r="T597" s="30"/>
      <c r="U597" s="30"/>
      <c r="V597" s="30"/>
      <c r="W597" s="30"/>
      <c r="X597" s="30"/>
      <c r="Y597" s="30"/>
      <c r="Z597" s="22"/>
      <c r="AA597" s="32"/>
    </row>
    <row r="598" ht="15.75" customHeight="1">
      <c r="O598" s="33"/>
      <c r="P598" s="22"/>
      <c r="Q598" s="30"/>
      <c r="R598" s="30"/>
      <c r="S598" s="30"/>
      <c r="T598" s="30"/>
      <c r="U598" s="30"/>
      <c r="V598" s="30"/>
      <c r="W598" s="30"/>
      <c r="X598" s="30"/>
      <c r="Y598" s="30"/>
      <c r="Z598" s="22"/>
      <c r="AA598" s="32"/>
    </row>
    <row r="599" ht="15.75" customHeight="1">
      <c r="O599" s="33"/>
      <c r="P599" s="22"/>
      <c r="Q599" s="30"/>
      <c r="R599" s="30"/>
      <c r="S599" s="30"/>
      <c r="T599" s="30"/>
      <c r="U599" s="30"/>
      <c r="V599" s="30"/>
      <c r="W599" s="30"/>
      <c r="X599" s="30"/>
      <c r="Y599" s="30"/>
      <c r="Z599" s="22"/>
      <c r="AA599" s="32"/>
    </row>
    <row r="600" ht="15.75" customHeight="1">
      <c r="O600" s="33"/>
      <c r="P600" s="22"/>
      <c r="Q600" s="30"/>
      <c r="R600" s="30"/>
      <c r="S600" s="30"/>
      <c r="T600" s="30"/>
      <c r="U600" s="30"/>
      <c r="V600" s="30"/>
      <c r="W600" s="30"/>
      <c r="X600" s="30"/>
      <c r="Y600" s="30"/>
      <c r="Z600" s="22"/>
      <c r="AA600" s="32"/>
    </row>
    <row r="601" ht="15.75" customHeight="1">
      <c r="O601" s="33"/>
      <c r="P601" s="22"/>
      <c r="Q601" s="30"/>
      <c r="R601" s="30"/>
      <c r="S601" s="30"/>
      <c r="T601" s="30"/>
      <c r="U601" s="30"/>
      <c r="V601" s="30"/>
      <c r="W601" s="30"/>
      <c r="X601" s="30"/>
      <c r="Y601" s="30"/>
      <c r="Z601" s="22"/>
      <c r="AA601" s="32"/>
    </row>
    <row r="602" ht="15.75" customHeight="1">
      <c r="O602" s="33"/>
      <c r="P602" s="22"/>
      <c r="Q602" s="30"/>
      <c r="R602" s="30"/>
      <c r="S602" s="30"/>
      <c r="T602" s="30"/>
      <c r="U602" s="30"/>
      <c r="V602" s="30"/>
      <c r="W602" s="30"/>
      <c r="X602" s="30"/>
      <c r="Y602" s="30"/>
      <c r="Z602" s="22"/>
      <c r="AA602" s="32"/>
    </row>
    <row r="603" ht="15.75" customHeight="1">
      <c r="O603" s="33"/>
      <c r="P603" s="22"/>
      <c r="Q603" s="30"/>
      <c r="R603" s="30"/>
      <c r="S603" s="30"/>
      <c r="T603" s="30"/>
      <c r="U603" s="30"/>
      <c r="V603" s="30"/>
      <c r="W603" s="30"/>
      <c r="X603" s="30"/>
      <c r="Y603" s="30"/>
      <c r="Z603" s="22"/>
      <c r="AA603" s="32"/>
    </row>
    <row r="604" ht="15.75" customHeight="1">
      <c r="O604" s="33"/>
      <c r="P604" s="22"/>
      <c r="Q604" s="30"/>
      <c r="R604" s="30"/>
      <c r="S604" s="30"/>
      <c r="T604" s="30"/>
      <c r="U604" s="30"/>
      <c r="V604" s="30"/>
      <c r="W604" s="30"/>
      <c r="X604" s="30"/>
      <c r="Y604" s="30"/>
      <c r="Z604" s="22"/>
      <c r="AA604" s="32"/>
    </row>
    <row r="605" ht="15.75" customHeight="1">
      <c r="O605" s="33"/>
      <c r="P605" s="22"/>
      <c r="Q605" s="30"/>
      <c r="R605" s="30"/>
      <c r="S605" s="30"/>
      <c r="T605" s="30"/>
      <c r="U605" s="30"/>
      <c r="V605" s="30"/>
      <c r="W605" s="30"/>
      <c r="X605" s="30"/>
      <c r="Y605" s="30"/>
      <c r="Z605" s="22"/>
      <c r="AA605" s="32"/>
    </row>
    <row r="606" ht="15.75" customHeight="1">
      <c r="O606" s="33"/>
      <c r="P606" s="22"/>
      <c r="Q606" s="30"/>
      <c r="R606" s="30"/>
      <c r="S606" s="30"/>
      <c r="T606" s="30"/>
      <c r="U606" s="30"/>
      <c r="V606" s="30"/>
      <c r="W606" s="30"/>
      <c r="X606" s="30"/>
      <c r="Y606" s="30"/>
      <c r="Z606" s="22"/>
      <c r="AA606" s="32"/>
    </row>
    <row r="607" ht="15.75" customHeight="1">
      <c r="O607" s="33"/>
      <c r="P607" s="22"/>
      <c r="Q607" s="30"/>
      <c r="R607" s="30"/>
      <c r="S607" s="30"/>
      <c r="T607" s="30"/>
      <c r="U607" s="30"/>
      <c r="V607" s="30"/>
      <c r="W607" s="30"/>
      <c r="X607" s="30"/>
      <c r="Y607" s="30"/>
      <c r="Z607" s="22"/>
      <c r="AA607" s="32"/>
    </row>
    <row r="608" ht="15.75" customHeight="1">
      <c r="O608" s="33"/>
      <c r="P608" s="22"/>
      <c r="Q608" s="30"/>
      <c r="R608" s="30"/>
      <c r="S608" s="30"/>
      <c r="T608" s="30"/>
      <c r="U608" s="30"/>
      <c r="V608" s="30"/>
      <c r="W608" s="30"/>
      <c r="X608" s="30"/>
      <c r="Y608" s="30"/>
      <c r="Z608" s="22"/>
      <c r="AA608" s="32"/>
    </row>
    <row r="609" ht="15.75" customHeight="1">
      <c r="O609" s="33"/>
      <c r="P609" s="22"/>
      <c r="Q609" s="30"/>
      <c r="R609" s="30"/>
      <c r="S609" s="30"/>
      <c r="T609" s="30"/>
      <c r="U609" s="30"/>
      <c r="V609" s="30"/>
      <c r="W609" s="30"/>
      <c r="X609" s="30"/>
      <c r="Y609" s="30"/>
      <c r="Z609" s="22"/>
      <c r="AA609" s="32"/>
    </row>
    <row r="610" ht="15.75" customHeight="1">
      <c r="O610" s="33"/>
      <c r="P610" s="22"/>
      <c r="Q610" s="30"/>
      <c r="R610" s="30"/>
      <c r="S610" s="30"/>
      <c r="T610" s="30"/>
      <c r="U610" s="30"/>
      <c r="V610" s="30"/>
      <c r="W610" s="30"/>
      <c r="X610" s="30"/>
      <c r="Y610" s="30"/>
      <c r="Z610" s="22"/>
      <c r="AA610" s="32"/>
    </row>
    <row r="611" ht="15.75" customHeight="1">
      <c r="O611" s="33"/>
      <c r="P611" s="22"/>
      <c r="Q611" s="30"/>
      <c r="R611" s="30"/>
      <c r="S611" s="30"/>
      <c r="T611" s="30"/>
      <c r="U611" s="30"/>
      <c r="V611" s="30"/>
      <c r="W611" s="30"/>
      <c r="X611" s="30"/>
      <c r="Y611" s="30"/>
      <c r="Z611" s="22"/>
      <c r="AA611" s="32"/>
    </row>
    <row r="612" ht="15.75" customHeight="1">
      <c r="O612" s="33"/>
      <c r="P612" s="22"/>
      <c r="Q612" s="30"/>
      <c r="R612" s="30"/>
      <c r="S612" s="30"/>
      <c r="T612" s="30"/>
      <c r="U612" s="30"/>
      <c r="V612" s="30"/>
      <c r="W612" s="30"/>
      <c r="X612" s="30"/>
      <c r="Y612" s="30"/>
      <c r="Z612" s="22"/>
      <c r="AA612" s="32"/>
    </row>
    <row r="613" ht="15.75" customHeight="1">
      <c r="O613" s="33"/>
      <c r="P613" s="22"/>
      <c r="Q613" s="30"/>
      <c r="R613" s="30"/>
      <c r="S613" s="30"/>
      <c r="T613" s="30"/>
      <c r="U613" s="30"/>
      <c r="V613" s="30"/>
      <c r="W613" s="30"/>
      <c r="X613" s="30"/>
      <c r="Y613" s="30"/>
      <c r="Z613" s="22"/>
      <c r="AA613" s="32"/>
    </row>
    <row r="614" ht="15.75" customHeight="1">
      <c r="O614" s="33"/>
      <c r="P614" s="22"/>
      <c r="Q614" s="30"/>
      <c r="R614" s="30"/>
      <c r="S614" s="30"/>
      <c r="T614" s="30"/>
      <c r="U614" s="30"/>
      <c r="V614" s="30"/>
      <c r="W614" s="30"/>
      <c r="X614" s="30"/>
      <c r="Y614" s="30"/>
      <c r="Z614" s="22"/>
      <c r="AA614" s="32"/>
    </row>
    <row r="615" ht="15.75" customHeight="1">
      <c r="O615" s="33"/>
      <c r="P615" s="22"/>
      <c r="Q615" s="30"/>
      <c r="R615" s="30"/>
      <c r="S615" s="30"/>
      <c r="T615" s="30"/>
      <c r="U615" s="30"/>
      <c r="V615" s="30"/>
      <c r="W615" s="30"/>
      <c r="X615" s="30"/>
      <c r="Y615" s="30"/>
      <c r="Z615" s="22"/>
      <c r="AA615" s="32"/>
    </row>
    <row r="616" ht="15.75" customHeight="1">
      <c r="O616" s="33"/>
      <c r="P616" s="22"/>
      <c r="Q616" s="30"/>
      <c r="R616" s="30"/>
      <c r="S616" s="30"/>
      <c r="T616" s="30"/>
      <c r="U616" s="30"/>
      <c r="V616" s="30"/>
      <c r="W616" s="30"/>
      <c r="X616" s="30"/>
      <c r="Y616" s="30"/>
      <c r="Z616" s="22"/>
      <c r="AA616" s="32"/>
    </row>
    <row r="617" ht="15.75" customHeight="1">
      <c r="O617" s="33"/>
      <c r="P617" s="22"/>
      <c r="Q617" s="30"/>
      <c r="R617" s="30"/>
      <c r="S617" s="30"/>
      <c r="T617" s="30"/>
      <c r="U617" s="30"/>
      <c r="V617" s="30"/>
      <c r="W617" s="30"/>
      <c r="X617" s="30"/>
      <c r="Y617" s="30"/>
      <c r="Z617" s="22"/>
      <c r="AA617" s="32"/>
    </row>
    <row r="618" ht="15.75" customHeight="1">
      <c r="O618" s="33"/>
      <c r="P618" s="22"/>
      <c r="Q618" s="30"/>
      <c r="R618" s="30"/>
      <c r="S618" s="30"/>
      <c r="T618" s="30"/>
      <c r="U618" s="30"/>
      <c r="V618" s="30"/>
      <c r="W618" s="30"/>
      <c r="X618" s="30"/>
      <c r="Y618" s="30"/>
      <c r="Z618" s="22"/>
      <c r="AA618" s="32"/>
    </row>
    <row r="619" ht="15.75" customHeight="1">
      <c r="O619" s="33"/>
      <c r="P619" s="22"/>
      <c r="Q619" s="30"/>
      <c r="R619" s="30"/>
      <c r="S619" s="30"/>
      <c r="T619" s="30"/>
      <c r="U619" s="30"/>
      <c r="V619" s="30"/>
      <c r="W619" s="30"/>
      <c r="X619" s="30"/>
      <c r="Y619" s="30"/>
      <c r="Z619" s="22"/>
      <c r="AA619" s="32"/>
    </row>
    <row r="620" ht="15.75" customHeight="1">
      <c r="O620" s="33"/>
      <c r="P620" s="22"/>
      <c r="Q620" s="30"/>
      <c r="R620" s="30"/>
      <c r="S620" s="30"/>
      <c r="T620" s="30"/>
      <c r="U620" s="30"/>
      <c r="V620" s="30"/>
      <c r="W620" s="30"/>
      <c r="X620" s="30"/>
      <c r="Y620" s="30"/>
      <c r="Z620" s="22"/>
      <c r="AA620" s="32"/>
    </row>
    <row r="621" ht="15.75" customHeight="1">
      <c r="O621" s="33"/>
      <c r="P621" s="22"/>
      <c r="Q621" s="30"/>
      <c r="R621" s="30"/>
      <c r="S621" s="30"/>
      <c r="T621" s="30"/>
      <c r="U621" s="30"/>
      <c r="V621" s="30"/>
      <c r="W621" s="30"/>
      <c r="X621" s="30"/>
      <c r="Y621" s="30"/>
      <c r="Z621" s="22"/>
      <c r="AA621" s="32"/>
    </row>
    <row r="622" ht="15.75" customHeight="1">
      <c r="O622" s="33"/>
      <c r="P622" s="22"/>
      <c r="Q622" s="30"/>
      <c r="R622" s="30"/>
      <c r="S622" s="30"/>
      <c r="T622" s="30"/>
      <c r="U622" s="30"/>
      <c r="V622" s="30"/>
      <c r="W622" s="30"/>
      <c r="X622" s="30"/>
      <c r="Y622" s="30"/>
      <c r="Z622" s="22"/>
      <c r="AA622" s="32"/>
    </row>
    <row r="623" ht="15.75" customHeight="1">
      <c r="O623" s="33"/>
      <c r="P623" s="22"/>
      <c r="Q623" s="30"/>
      <c r="R623" s="30"/>
      <c r="S623" s="30"/>
      <c r="T623" s="30"/>
      <c r="U623" s="30"/>
      <c r="V623" s="30"/>
      <c r="W623" s="30"/>
      <c r="X623" s="30"/>
      <c r="Y623" s="30"/>
      <c r="Z623" s="22"/>
      <c r="AA623" s="32"/>
    </row>
    <row r="624" ht="15.75" customHeight="1">
      <c r="O624" s="33"/>
      <c r="P624" s="22"/>
      <c r="Q624" s="30"/>
      <c r="R624" s="30"/>
      <c r="S624" s="30"/>
      <c r="T624" s="30"/>
      <c r="U624" s="30"/>
      <c r="V624" s="30"/>
      <c r="W624" s="30"/>
      <c r="X624" s="30"/>
      <c r="Y624" s="30"/>
      <c r="Z624" s="22"/>
      <c r="AA624" s="32"/>
    </row>
    <row r="625" ht="15.75" customHeight="1">
      <c r="O625" s="33"/>
      <c r="P625" s="22"/>
      <c r="Q625" s="30"/>
      <c r="R625" s="30"/>
      <c r="S625" s="30"/>
      <c r="T625" s="30"/>
      <c r="U625" s="30"/>
      <c r="V625" s="30"/>
      <c r="W625" s="30"/>
      <c r="X625" s="30"/>
      <c r="Y625" s="30"/>
      <c r="Z625" s="22"/>
      <c r="AA625" s="32"/>
    </row>
    <row r="626" ht="15.75" customHeight="1">
      <c r="O626" s="33"/>
      <c r="P626" s="22"/>
      <c r="Q626" s="30"/>
      <c r="R626" s="30"/>
      <c r="S626" s="30"/>
      <c r="T626" s="30"/>
      <c r="U626" s="30"/>
      <c r="V626" s="30"/>
      <c r="W626" s="30"/>
      <c r="X626" s="30"/>
      <c r="Y626" s="30"/>
      <c r="Z626" s="22"/>
      <c r="AA626" s="32"/>
    </row>
    <row r="627" ht="15.75" customHeight="1">
      <c r="O627" s="33"/>
      <c r="P627" s="22"/>
      <c r="Q627" s="30"/>
      <c r="R627" s="30"/>
      <c r="S627" s="30"/>
      <c r="T627" s="30"/>
      <c r="U627" s="30"/>
      <c r="V627" s="30"/>
      <c r="W627" s="30"/>
      <c r="X627" s="30"/>
      <c r="Y627" s="30"/>
      <c r="Z627" s="22"/>
      <c r="AA627" s="32"/>
    </row>
    <row r="628" ht="15.75" customHeight="1">
      <c r="O628" s="33"/>
      <c r="P628" s="22"/>
      <c r="Q628" s="30"/>
      <c r="R628" s="30"/>
      <c r="S628" s="30"/>
      <c r="T628" s="30"/>
      <c r="U628" s="30"/>
      <c r="V628" s="30"/>
      <c r="W628" s="30"/>
      <c r="X628" s="30"/>
      <c r="Y628" s="30"/>
      <c r="Z628" s="22"/>
      <c r="AA628" s="32"/>
    </row>
    <row r="629" ht="15.75" customHeight="1">
      <c r="O629" s="33"/>
      <c r="P629" s="22"/>
      <c r="Q629" s="30"/>
      <c r="R629" s="30"/>
      <c r="S629" s="30"/>
      <c r="T629" s="30"/>
      <c r="U629" s="30"/>
      <c r="V629" s="30"/>
      <c r="W629" s="30"/>
      <c r="X629" s="30"/>
      <c r="Y629" s="30"/>
      <c r="Z629" s="22"/>
      <c r="AA629" s="32"/>
    </row>
    <row r="630" ht="15.75" customHeight="1">
      <c r="O630" s="33"/>
      <c r="P630" s="22"/>
      <c r="Q630" s="30"/>
      <c r="R630" s="30"/>
      <c r="S630" s="30"/>
      <c r="T630" s="30"/>
      <c r="U630" s="30"/>
      <c r="V630" s="30"/>
      <c r="W630" s="30"/>
      <c r="X630" s="30"/>
      <c r="Y630" s="30"/>
      <c r="Z630" s="22"/>
      <c r="AA630" s="32"/>
    </row>
    <row r="631" ht="15.75" customHeight="1">
      <c r="O631" s="33"/>
      <c r="P631" s="22"/>
      <c r="Q631" s="30"/>
      <c r="R631" s="30"/>
      <c r="S631" s="30"/>
      <c r="T631" s="30"/>
      <c r="U631" s="30"/>
      <c r="V631" s="30"/>
      <c r="W631" s="30"/>
      <c r="X631" s="30"/>
      <c r="Y631" s="30"/>
      <c r="Z631" s="22"/>
      <c r="AA631" s="32"/>
    </row>
    <row r="632" ht="15.75" customHeight="1">
      <c r="O632" s="33"/>
      <c r="P632" s="22"/>
      <c r="Q632" s="30"/>
      <c r="R632" s="30"/>
      <c r="S632" s="30"/>
      <c r="T632" s="30"/>
      <c r="U632" s="30"/>
      <c r="V632" s="30"/>
      <c r="W632" s="30"/>
      <c r="X632" s="30"/>
      <c r="Y632" s="30"/>
      <c r="Z632" s="22"/>
      <c r="AA632" s="32"/>
    </row>
    <row r="633" ht="15.75" customHeight="1">
      <c r="O633" s="33"/>
      <c r="P633" s="22"/>
      <c r="Q633" s="30"/>
      <c r="R633" s="30"/>
      <c r="S633" s="30"/>
      <c r="T633" s="30"/>
      <c r="U633" s="30"/>
      <c r="V633" s="30"/>
      <c r="W633" s="30"/>
      <c r="X633" s="30"/>
      <c r="Y633" s="30"/>
      <c r="Z633" s="22"/>
      <c r="AA633" s="32"/>
    </row>
    <row r="634" ht="15.75" customHeight="1">
      <c r="O634" s="33"/>
      <c r="P634" s="22"/>
      <c r="Q634" s="30"/>
      <c r="R634" s="30"/>
      <c r="S634" s="30"/>
      <c r="T634" s="30"/>
      <c r="U634" s="30"/>
      <c r="V634" s="30"/>
      <c r="W634" s="30"/>
      <c r="X634" s="30"/>
      <c r="Y634" s="30"/>
      <c r="Z634" s="22"/>
      <c r="AA634" s="32"/>
    </row>
    <row r="635" ht="15.75" customHeight="1">
      <c r="O635" s="33"/>
      <c r="P635" s="22"/>
      <c r="Q635" s="30"/>
      <c r="R635" s="30"/>
      <c r="S635" s="30"/>
      <c r="T635" s="30"/>
      <c r="U635" s="30"/>
      <c r="V635" s="30"/>
      <c r="W635" s="30"/>
      <c r="X635" s="30"/>
      <c r="Y635" s="30"/>
      <c r="Z635" s="22"/>
      <c r="AA635" s="32"/>
    </row>
    <row r="636" ht="15.75" customHeight="1">
      <c r="O636" s="33"/>
      <c r="P636" s="22"/>
      <c r="Q636" s="30"/>
      <c r="R636" s="30"/>
      <c r="S636" s="30"/>
      <c r="T636" s="30"/>
      <c r="U636" s="30"/>
      <c r="V636" s="30"/>
      <c r="W636" s="30"/>
      <c r="X636" s="30"/>
      <c r="Y636" s="30"/>
      <c r="Z636" s="22"/>
      <c r="AA636" s="32"/>
    </row>
    <row r="637" ht="15.75" customHeight="1">
      <c r="O637" s="33"/>
      <c r="P637" s="22"/>
      <c r="Q637" s="30"/>
      <c r="R637" s="30"/>
      <c r="S637" s="30"/>
      <c r="T637" s="30"/>
      <c r="U637" s="30"/>
      <c r="V637" s="30"/>
      <c r="W637" s="30"/>
      <c r="X637" s="30"/>
      <c r="Y637" s="30"/>
      <c r="Z637" s="22"/>
      <c r="AA637" s="32"/>
    </row>
    <row r="638" ht="15.75" customHeight="1">
      <c r="O638" s="33"/>
      <c r="P638" s="22"/>
      <c r="Q638" s="30"/>
      <c r="R638" s="30"/>
      <c r="S638" s="30"/>
      <c r="T638" s="30"/>
      <c r="U638" s="30"/>
      <c r="V638" s="30"/>
      <c r="W638" s="30"/>
      <c r="X638" s="30"/>
      <c r="Y638" s="30"/>
      <c r="Z638" s="22"/>
      <c r="AA638" s="32"/>
    </row>
    <row r="639" ht="15.75" customHeight="1">
      <c r="O639" s="33"/>
      <c r="P639" s="22"/>
      <c r="Q639" s="30"/>
      <c r="R639" s="30"/>
      <c r="S639" s="30"/>
      <c r="T639" s="30"/>
      <c r="U639" s="30"/>
      <c r="V639" s="30"/>
      <c r="W639" s="30"/>
      <c r="X639" s="30"/>
      <c r="Y639" s="30"/>
      <c r="Z639" s="22"/>
      <c r="AA639" s="32"/>
    </row>
    <row r="640" ht="15.75" customHeight="1">
      <c r="O640" s="33"/>
      <c r="P640" s="22"/>
      <c r="Q640" s="30"/>
      <c r="R640" s="30"/>
      <c r="S640" s="30"/>
      <c r="T640" s="30"/>
      <c r="U640" s="30"/>
      <c r="V640" s="30"/>
      <c r="W640" s="30"/>
      <c r="X640" s="30"/>
      <c r="Y640" s="30"/>
      <c r="Z640" s="22"/>
      <c r="AA640" s="32"/>
    </row>
    <row r="641" ht="15.75" customHeight="1">
      <c r="O641" s="33"/>
      <c r="P641" s="22"/>
      <c r="Q641" s="30"/>
      <c r="R641" s="30"/>
      <c r="S641" s="30"/>
      <c r="T641" s="30"/>
      <c r="U641" s="30"/>
      <c r="V641" s="30"/>
      <c r="W641" s="30"/>
      <c r="X641" s="30"/>
      <c r="Y641" s="30"/>
      <c r="Z641" s="22"/>
      <c r="AA641" s="32"/>
    </row>
    <row r="642" ht="15.75" customHeight="1">
      <c r="O642" s="33"/>
      <c r="P642" s="22"/>
      <c r="Q642" s="30"/>
      <c r="R642" s="30"/>
      <c r="S642" s="30"/>
      <c r="T642" s="30"/>
      <c r="U642" s="30"/>
      <c r="V642" s="30"/>
      <c r="W642" s="30"/>
      <c r="X642" s="30"/>
      <c r="Y642" s="30"/>
      <c r="Z642" s="22"/>
      <c r="AA642" s="32"/>
    </row>
    <row r="643" ht="15.75" customHeight="1">
      <c r="O643" s="33"/>
      <c r="P643" s="22"/>
      <c r="Q643" s="30"/>
      <c r="R643" s="30"/>
      <c r="S643" s="30"/>
      <c r="T643" s="30"/>
      <c r="U643" s="30"/>
      <c r="V643" s="30"/>
      <c r="W643" s="30"/>
      <c r="X643" s="30"/>
      <c r="Y643" s="30"/>
      <c r="Z643" s="22"/>
      <c r="AA643" s="32"/>
    </row>
    <row r="644" ht="15.75" customHeight="1">
      <c r="O644" s="33"/>
      <c r="P644" s="22"/>
      <c r="Q644" s="30"/>
      <c r="R644" s="30"/>
      <c r="S644" s="30"/>
      <c r="T644" s="30"/>
      <c r="U644" s="30"/>
      <c r="V644" s="30"/>
      <c r="W644" s="30"/>
      <c r="X644" s="30"/>
      <c r="Y644" s="30"/>
      <c r="Z644" s="22"/>
      <c r="AA644" s="32"/>
    </row>
    <row r="645" ht="15.75" customHeight="1">
      <c r="O645" s="33"/>
      <c r="P645" s="22"/>
      <c r="Q645" s="30"/>
      <c r="R645" s="30"/>
      <c r="S645" s="30"/>
      <c r="T645" s="30"/>
      <c r="U645" s="30"/>
      <c r="V645" s="30"/>
      <c r="W645" s="30"/>
      <c r="X645" s="30"/>
      <c r="Y645" s="30"/>
      <c r="Z645" s="22"/>
      <c r="AA645" s="32"/>
    </row>
    <row r="646" ht="15.75" customHeight="1">
      <c r="O646" s="33"/>
      <c r="P646" s="22"/>
      <c r="Q646" s="30"/>
      <c r="R646" s="30"/>
      <c r="S646" s="30"/>
      <c r="T646" s="30"/>
      <c r="U646" s="30"/>
      <c r="V646" s="30"/>
      <c r="W646" s="30"/>
      <c r="X646" s="30"/>
      <c r="Y646" s="30"/>
      <c r="Z646" s="22"/>
      <c r="AA646" s="32"/>
    </row>
    <row r="647" ht="15.75" customHeight="1">
      <c r="O647" s="33"/>
      <c r="P647" s="22"/>
      <c r="Q647" s="30"/>
      <c r="R647" s="30"/>
      <c r="S647" s="30"/>
      <c r="T647" s="30"/>
      <c r="U647" s="30"/>
      <c r="V647" s="30"/>
      <c r="W647" s="30"/>
      <c r="X647" s="30"/>
      <c r="Y647" s="30"/>
      <c r="Z647" s="22"/>
      <c r="AA647" s="32"/>
    </row>
    <row r="648" ht="15.75" customHeight="1">
      <c r="O648" s="33"/>
      <c r="P648" s="22"/>
      <c r="Q648" s="30"/>
      <c r="R648" s="30"/>
      <c r="S648" s="30"/>
      <c r="T648" s="30"/>
      <c r="U648" s="30"/>
      <c r="V648" s="30"/>
      <c r="W648" s="30"/>
      <c r="X648" s="30"/>
      <c r="Y648" s="30"/>
      <c r="Z648" s="22"/>
      <c r="AA648" s="32"/>
    </row>
    <row r="649" ht="15.75" customHeight="1">
      <c r="O649" s="33"/>
      <c r="P649" s="22"/>
      <c r="Q649" s="30"/>
      <c r="R649" s="30"/>
      <c r="S649" s="30"/>
      <c r="T649" s="30"/>
      <c r="U649" s="30"/>
      <c r="V649" s="30"/>
      <c r="W649" s="30"/>
      <c r="X649" s="30"/>
      <c r="Y649" s="30"/>
      <c r="Z649" s="22"/>
      <c r="AA649" s="32"/>
    </row>
    <row r="650" ht="15.75" customHeight="1">
      <c r="O650" s="33"/>
      <c r="P650" s="22"/>
      <c r="Q650" s="30"/>
      <c r="R650" s="30"/>
      <c r="S650" s="30"/>
      <c r="T650" s="30"/>
      <c r="U650" s="30"/>
      <c r="V650" s="30"/>
      <c r="W650" s="30"/>
      <c r="X650" s="30"/>
      <c r="Y650" s="30"/>
      <c r="Z650" s="22"/>
      <c r="AA650" s="32"/>
    </row>
    <row r="651" ht="15.75" customHeight="1">
      <c r="O651" s="33"/>
      <c r="P651" s="22"/>
      <c r="Q651" s="30"/>
      <c r="R651" s="30"/>
      <c r="S651" s="30"/>
      <c r="T651" s="30"/>
      <c r="U651" s="30"/>
      <c r="V651" s="30"/>
      <c r="W651" s="30"/>
      <c r="X651" s="30"/>
      <c r="Y651" s="30"/>
      <c r="Z651" s="22"/>
      <c r="AA651" s="32"/>
    </row>
    <row r="652" ht="15.75" customHeight="1">
      <c r="O652" s="33"/>
      <c r="P652" s="22"/>
      <c r="Q652" s="30"/>
      <c r="R652" s="30"/>
      <c r="S652" s="30"/>
      <c r="T652" s="30"/>
      <c r="U652" s="30"/>
      <c r="V652" s="30"/>
      <c r="W652" s="30"/>
      <c r="X652" s="30"/>
      <c r="Y652" s="30"/>
      <c r="Z652" s="22"/>
      <c r="AA652" s="32"/>
    </row>
    <row r="653" ht="15.75" customHeight="1">
      <c r="O653" s="33"/>
      <c r="P653" s="22"/>
      <c r="Q653" s="30"/>
      <c r="R653" s="30"/>
      <c r="S653" s="30"/>
      <c r="T653" s="30"/>
      <c r="U653" s="30"/>
      <c r="V653" s="30"/>
      <c r="W653" s="30"/>
      <c r="X653" s="30"/>
      <c r="Y653" s="30"/>
      <c r="Z653" s="22"/>
      <c r="AA653" s="32"/>
    </row>
    <row r="654" ht="15.75" customHeight="1">
      <c r="O654" s="33"/>
      <c r="P654" s="22"/>
      <c r="Q654" s="30"/>
      <c r="R654" s="30"/>
      <c r="S654" s="30"/>
      <c r="T654" s="30"/>
      <c r="U654" s="30"/>
      <c r="V654" s="30"/>
      <c r="W654" s="30"/>
      <c r="X654" s="30"/>
      <c r="Y654" s="30"/>
      <c r="Z654" s="22"/>
      <c r="AA654" s="32"/>
    </row>
    <row r="655" ht="15.75" customHeight="1">
      <c r="O655" s="33"/>
      <c r="P655" s="22"/>
      <c r="Q655" s="30"/>
      <c r="R655" s="30"/>
      <c r="S655" s="30"/>
      <c r="T655" s="30"/>
      <c r="U655" s="30"/>
      <c r="V655" s="30"/>
      <c r="W655" s="30"/>
      <c r="X655" s="30"/>
      <c r="Y655" s="30"/>
      <c r="Z655" s="22"/>
      <c r="AA655" s="32"/>
    </row>
    <row r="656" ht="15.75" customHeight="1">
      <c r="O656" s="33"/>
      <c r="P656" s="22"/>
      <c r="Q656" s="30"/>
      <c r="R656" s="30"/>
      <c r="S656" s="30"/>
      <c r="T656" s="30"/>
      <c r="U656" s="30"/>
      <c r="V656" s="30"/>
      <c r="W656" s="30"/>
      <c r="X656" s="30"/>
      <c r="Y656" s="30"/>
      <c r="Z656" s="22"/>
      <c r="AA656" s="32"/>
    </row>
    <row r="657" ht="15.75" customHeight="1">
      <c r="O657" s="33"/>
      <c r="P657" s="22"/>
      <c r="Q657" s="30"/>
      <c r="R657" s="30"/>
      <c r="S657" s="30"/>
      <c r="T657" s="30"/>
      <c r="U657" s="30"/>
      <c r="V657" s="30"/>
      <c r="W657" s="30"/>
      <c r="X657" s="30"/>
      <c r="Y657" s="30"/>
      <c r="Z657" s="22"/>
      <c r="AA657" s="32"/>
    </row>
    <row r="658" ht="15.75" customHeight="1">
      <c r="O658" s="33"/>
      <c r="P658" s="22"/>
      <c r="Q658" s="30"/>
      <c r="R658" s="30"/>
      <c r="S658" s="30"/>
      <c r="T658" s="30"/>
      <c r="U658" s="30"/>
      <c r="V658" s="30"/>
      <c r="W658" s="30"/>
      <c r="X658" s="30"/>
      <c r="Y658" s="30"/>
      <c r="Z658" s="22"/>
      <c r="AA658" s="32"/>
    </row>
    <row r="659" ht="15.75" customHeight="1">
      <c r="O659" s="33"/>
      <c r="P659" s="22"/>
      <c r="Q659" s="30"/>
      <c r="R659" s="30"/>
      <c r="S659" s="30"/>
      <c r="T659" s="30"/>
      <c r="U659" s="30"/>
      <c r="V659" s="30"/>
      <c r="W659" s="30"/>
      <c r="X659" s="30"/>
      <c r="Y659" s="30"/>
      <c r="Z659" s="22"/>
      <c r="AA659" s="32"/>
    </row>
    <row r="660" ht="15.75" customHeight="1">
      <c r="O660" s="33"/>
      <c r="P660" s="22"/>
      <c r="Q660" s="30"/>
      <c r="R660" s="30"/>
      <c r="S660" s="30"/>
      <c r="T660" s="30"/>
      <c r="U660" s="30"/>
      <c r="V660" s="30"/>
      <c r="W660" s="30"/>
      <c r="X660" s="30"/>
      <c r="Y660" s="30"/>
      <c r="Z660" s="22"/>
      <c r="AA660" s="32"/>
    </row>
    <row r="661" ht="15.75" customHeight="1">
      <c r="O661" s="33"/>
      <c r="P661" s="22"/>
      <c r="Q661" s="30"/>
      <c r="R661" s="30"/>
      <c r="S661" s="30"/>
      <c r="T661" s="30"/>
      <c r="U661" s="30"/>
      <c r="V661" s="30"/>
      <c r="W661" s="30"/>
      <c r="X661" s="30"/>
      <c r="Y661" s="30"/>
      <c r="Z661" s="22"/>
      <c r="AA661" s="32"/>
    </row>
    <row r="662" ht="15.75" customHeight="1">
      <c r="O662" s="33"/>
      <c r="P662" s="22"/>
      <c r="Q662" s="30"/>
      <c r="R662" s="30"/>
      <c r="S662" s="30"/>
      <c r="T662" s="30"/>
      <c r="U662" s="30"/>
      <c r="V662" s="30"/>
      <c r="W662" s="30"/>
      <c r="X662" s="30"/>
      <c r="Y662" s="30"/>
      <c r="Z662" s="22"/>
      <c r="AA662" s="32"/>
    </row>
    <row r="663" ht="15.75" customHeight="1">
      <c r="O663" s="33"/>
      <c r="P663" s="22"/>
      <c r="Q663" s="30"/>
      <c r="R663" s="30"/>
      <c r="S663" s="30"/>
      <c r="T663" s="30"/>
      <c r="U663" s="30"/>
      <c r="V663" s="30"/>
      <c r="W663" s="30"/>
      <c r="X663" s="30"/>
      <c r="Y663" s="30"/>
      <c r="Z663" s="22"/>
      <c r="AA663" s="32"/>
    </row>
    <row r="664" ht="15.75" customHeight="1">
      <c r="O664" s="33"/>
      <c r="P664" s="22"/>
      <c r="Q664" s="30"/>
      <c r="R664" s="30"/>
      <c r="S664" s="30"/>
      <c r="T664" s="30"/>
      <c r="U664" s="30"/>
      <c r="V664" s="30"/>
      <c r="W664" s="30"/>
      <c r="X664" s="30"/>
      <c r="Y664" s="30"/>
      <c r="Z664" s="22"/>
      <c r="AA664" s="32"/>
    </row>
    <row r="665" ht="15.75" customHeight="1">
      <c r="O665" s="33"/>
      <c r="P665" s="22"/>
      <c r="Q665" s="30"/>
      <c r="R665" s="30"/>
      <c r="S665" s="30"/>
      <c r="T665" s="30"/>
      <c r="U665" s="30"/>
      <c r="V665" s="30"/>
      <c r="W665" s="30"/>
      <c r="X665" s="30"/>
      <c r="Y665" s="30"/>
      <c r="Z665" s="22"/>
      <c r="AA665" s="32"/>
    </row>
    <row r="666" ht="15.75" customHeight="1">
      <c r="O666" s="33"/>
      <c r="P666" s="22"/>
      <c r="Q666" s="30"/>
      <c r="R666" s="30"/>
      <c r="S666" s="30"/>
      <c r="T666" s="30"/>
      <c r="U666" s="30"/>
      <c r="V666" s="30"/>
      <c r="W666" s="30"/>
      <c r="X666" s="30"/>
      <c r="Y666" s="30"/>
      <c r="Z666" s="22"/>
      <c r="AA666" s="32"/>
    </row>
    <row r="667" ht="15.75" customHeight="1">
      <c r="O667" s="33"/>
      <c r="P667" s="22"/>
      <c r="Q667" s="30"/>
      <c r="R667" s="30"/>
      <c r="S667" s="30"/>
      <c r="T667" s="30"/>
      <c r="U667" s="30"/>
      <c r="V667" s="30"/>
      <c r="W667" s="30"/>
      <c r="X667" s="30"/>
      <c r="Y667" s="30"/>
      <c r="Z667" s="22"/>
      <c r="AA667" s="32"/>
    </row>
    <row r="668" ht="15.75" customHeight="1">
      <c r="O668" s="33"/>
      <c r="P668" s="22"/>
      <c r="Q668" s="30"/>
      <c r="R668" s="30"/>
      <c r="S668" s="30"/>
      <c r="T668" s="30"/>
      <c r="U668" s="30"/>
      <c r="V668" s="30"/>
      <c r="W668" s="30"/>
      <c r="X668" s="30"/>
      <c r="Y668" s="30"/>
      <c r="Z668" s="22"/>
      <c r="AA668" s="32"/>
    </row>
    <row r="669" ht="15.75" customHeight="1">
      <c r="O669" s="33"/>
      <c r="P669" s="22"/>
      <c r="Q669" s="30"/>
      <c r="R669" s="30"/>
      <c r="S669" s="30"/>
      <c r="T669" s="30"/>
      <c r="U669" s="30"/>
      <c r="V669" s="30"/>
      <c r="W669" s="30"/>
      <c r="X669" s="30"/>
      <c r="Y669" s="30"/>
      <c r="Z669" s="22"/>
      <c r="AA669" s="32"/>
    </row>
    <row r="670" ht="15.75" customHeight="1">
      <c r="O670" s="33"/>
      <c r="P670" s="22"/>
      <c r="Q670" s="30"/>
      <c r="R670" s="30"/>
      <c r="S670" s="30"/>
      <c r="T670" s="30"/>
      <c r="U670" s="30"/>
      <c r="V670" s="30"/>
      <c r="W670" s="30"/>
      <c r="X670" s="30"/>
      <c r="Y670" s="30"/>
      <c r="Z670" s="22"/>
      <c r="AA670" s="32"/>
    </row>
    <row r="671" ht="15.75" customHeight="1">
      <c r="O671" s="33"/>
      <c r="P671" s="22"/>
      <c r="Q671" s="30"/>
      <c r="R671" s="30"/>
      <c r="S671" s="30"/>
      <c r="T671" s="30"/>
      <c r="U671" s="30"/>
      <c r="V671" s="30"/>
      <c r="W671" s="30"/>
      <c r="X671" s="30"/>
      <c r="Y671" s="30"/>
      <c r="Z671" s="22"/>
      <c r="AA671" s="32"/>
    </row>
    <row r="672" ht="15.75" customHeight="1">
      <c r="O672" s="33"/>
      <c r="P672" s="22"/>
      <c r="Q672" s="30"/>
      <c r="R672" s="30"/>
      <c r="S672" s="30"/>
      <c r="T672" s="30"/>
      <c r="U672" s="30"/>
      <c r="V672" s="30"/>
      <c r="W672" s="30"/>
      <c r="X672" s="30"/>
      <c r="Y672" s="30"/>
      <c r="Z672" s="22"/>
      <c r="AA672" s="32"/>
    </row>
    <row r="673" ht="15.75" customHeight="1">
      <c r="O673" s="33"/>
      <c r="P673" s="22"/>
      <c r="Q673" s="30"/>
      <c r="R673" s="30"/>
      <c r="S673" s="30"/>
      <c r="T673" s="30"/>
      <c r="U673" s="30"/>
      <c r="V673" s="30"/>
      <c r="W673" s="30"/>
      <c r="X673" s="30"/>
      <c r="Y673" s="30"/>
      <c r="Z673" s="22"/>
      <c r="AA673" s="32"/>
    </row>
    <row r="674" ht="15.75" customHeight="1">
      <c r="O674" s="33"/>
      <c r="P674" s="22"/>
      <c r="Q674" s="30"/>
      <c r="R674" s="30"/>
      <c r="S674" s="30"/>
      <c r="T674" s="30"/>
      <c r="U674" s="30"/>
      <c r="V674" s="30"/>
      <c r="W674" s="30"/>
      <c r="X674" s="30"/>
      <c r="Y674" s="30"/>
      <c r="Z674" s="22"/>
      <c r="AA674" s="32"/>
    </row>
    <row r="675" ht="15.75" customHeight="1">
      <c r="O675" s="33"/>
      <c r="P675" s="22"/>
      <c r="Q675" s="30"/>
      <c r="R675" s="30"/>
      <c r="S675" s="30"/>
      <c r="T675" s="30"/>
      <c r="U675" s="30"/>
      <c r="V675" s="30"/>
      <c r="W675" s="30"/>
      <c r="X675" s="30"/>
      <c r="Y675" s="30"/>
      <c r="Z675" s="22"/>
      <c r="AA675" s="32"/>
    </row>
    <row r="676" ht="15.75" customHeight="1">
      <c r="O676" s="33"/>
      <c r="P676" s="22"/>
      <c r="Q676" s="30"/>
      <c r="R676" s="30"/>
      <c r="S676" s="30"/>
      <c r="T676" s="30"/>
      <c r="U676" s="30"/>
      <c r="V676" s="30"/>
      <c r="W676" s="30"/>
      <c r="X676" s="30"/>
      <c r="Y676" s="30"/>
      <c r="Z676" s="22"/>
      <c r="AA676" s="32"/>
    </row>
    <row r="677" ht="15.75" customHeight="1">
      <c r="O677" s="33"/>
      <c r="P677" s="22"/>
      <c r="Q677" s="30"/>
      <c r="R677" s="30"/>
      <c r="S677" s="30"/>
      <c r="T677" s="30"/>
      <c r="U677" s="30"/>
      <c r="V677" s="30"/>
      <c r="W677" s="30"/>
      <c r="X677" s="30"/>
      <c r="Y677" s="30"/>
      <c r="Z677" s="22"/>
      <c r="AA677" s="32"/>
    </row>
    <row r="678" ht="15.75" customHeight="1">
      <c r="O678" s="33"/>
      <c r="P678" s="22"/>
      <c r="Q678" s="30"/>
      <c r="R678" s="30"/>
      <c r="S678" s="30"/>
      <c r="T678" s="30"/>
      <c r="U678" s="30"/>
      <c r="V678" s="30"/>
      <c r="W678" s="30"/>
      <c r="X678" s="30"/>
      <c r="Y678" s="30"/>
      <c r="Z678" s="22"/>
      <c r="AA678" s="32"/>
    </row>
    <row r="679" ht="15.75" customHeight="1">
      <c r="O679" s="33"/>
      <c r="P679" s="22"/>
      <c r="Q679" s="30"/>
      <c r="R679" s="30"/>
      <c r="S679" s="30"/>
      <c r="T679" s="30"/>
      <c r="U679" s="30"/>
      <c r="V679" s="30"/>
      <c r="W679" s="30"/>
      <c r="X679" s="30"/>
      <c r="Y679" s="30"/>
      <c r="Z679" s="22"/>
      <c r="AA679" s="32"/>
    </row>
    <row r="680" ht="15.75" customHeight="1">
      <c r="O680" s="33"/>
      <c r="P680" s="22"/>
      <c r="Q680" s="30"/>
      <c r="R680" s="30"/>
      <c r="S680" s="30"/>
      <c r="T680" s="30"/>
      <c r="U680" s="30"/>
      <c r="V680" s="30"/>
      <c r="W680" s="30"/>
      <c r="X680" s="30"/>
      <c r="Y680" s="30"/>
      <c r="Z680" s="22"/>
      <c r="AA680" s="32"/>
    </row>
    <row r="681" ht="15.75" customHeight="1">
      <c r="O681" s="33"/>
      <c r="P681" s="22"/>
      <c r="Q681" s="30"/>
      <c r="R681" s="30"/>
      <c r="S681" s="30"/>
      <c r="T681" s="30"/>
      <c r="U681" s="30"/>
      <c r="V681" s="30"/>
      <c r="W681" s="30"/>
      <c r="X681" s="30"/>
      <c r="Y681" s="30"/>
      <c r="Z681" s="22"/>
      <c r="AA681" s="32"/>
    </row>
    <row r="682" ht="15.75" customHeight="1">
      <c r="O682" s="33"/>
      <c r="P682" s="22"/>
      <c r="Q682" s="30"/>
      <c r="R682" s="30"/>
      <c r="S682" s="30"/>
      <c r="T682" s="30"/>
      <c r="U682" s="30"/>
      <c r="V682" s="30"/>
      <c r="W682" s="30"/>
      <c r="X682" s="30"/>
      <c r="Y682" s="30"/>
      <c r="Z682" s="22"/>
      <c r="AA682" s="32"/>
    </row>
    <row r="683" ht="15.75" customHeight="1">
      <c r="O683" s="33"/>
      <c r="P683" s="22"/>
      <c r="Q683" s="30"/>
      <c r="R683" s="30"/>
      <c r="S683" s="30"/>
      <c r="T683" s="30"/>
      <c r="U683" s="30"/>
      <c r="V683" s="30"/>
      <c r="W683" s="30"/>
      <c r="X683" s="30"/>
      <c r="Y683" s="30"/>
      <c r="Z683" s="22"/>
      <c r="AA683" s="32"/>
    </row>
    <row r="684" ht="15.75" customHeight="1">
      <c r="O684" s="33"/>
      <c r="P684" s="22"/>
      <c r="Q684" s="30"/>
      <c r="R684" s="30"/>
      <c r="S684" s="30"/>
      <c r="T684" s="30"/>
      <c r="U684" s="30"/>
      <c r="V684" s="30"/>
      <c r="W684" s="30"/>
      <c r="X684" s="30"/>
      <c r="Y684" s="30"/>
      <c r="Z684" s="22"/>
      <c r="AA684" s="32"/>
    </row>
    <row r="685" ht="15.75" customHeight="1">
      <c r="O685" s="33"/>
      <c r="P685" s="22"/>
      <c r="Q685" s="30"/>
      <c r="R685" s="30"/>
      <c r="S685" s="30"/>
      <c r="T685" s="30"/>
      <c r="U685" s="30"/>
      <c r="V685" s="30"/>
      <c r="W685" s="30"/>
      <c r="X685" s="30"/>
      <c r="Y685" s="30"/>
      <c r="Z685" s="22"/>
      <c r="AA685" s="32"/>
    </row>
    <row r="686" ht="15.75" customHeight="1">
      <c r="O686" s="33"/>
      <c r="P686" s="22"/>
      <c r="Q686" s="30"/>
      <c r="R686" s="30"/>
      <c r="S686" s="30"/>
      <c r="T686" s="30"/>
      <c r="U686" s="30"/>
      <c r="V686" s="30"/>
      <c r="W686" s="30"/>
      <c r="X686" s="30"/>
      <c r="Y686" s="30"/>
      <c r="Z686" s="22"/>
      <c r="AA686" s="32"/>
    </row>
    <row r="687" ht="15.75" customHeight="1">
      <c r="O687" s="33"/>
      <c r="P687" s="22"/>
      <c r="Q687" s="30"/>
      <c r="R687" s="30"/>
      <c r="S687" s="30"/>
      <c r="T687" s="30"/>
      <c r="U687" s="30"/>
      <c r="V687" s="30"/>
      <c r="W687" s="30"/>
      <c r="X687" s="30"/>
      <c r="Y687" s="30"/>
      <c r="Z687" s="22"/>
      <c r="AA687" s="32"/>
    </row>
    <row r="688" ht="15.75" customHeight="1">
      <c r="O688" s="33"/>
      <c r="P688" s="22"/>
      <c r="Q688" s="30"/>
      <c r="R688" s="30"/>
      <c r="S688" s="30"/>
      <c r="T688" s="30"/>
      <c r="U688" s="30"/>
      <c r="V688" s="30"/>
      <c r="W688" s="30"/>
      <c r="X688" s="30"/>
      <c r="Y688" s="30"/>
      <c r="Z688" s="22"/>
      <c r="AA688" s="32"/>
    </row>
    <row r="689" ht="15.75" customHeight="1">
      <c r="O689" s="33"/>
      <c r="P689" s="22"/>
      <c r="Q689" s="30"/>
      <c r="R689" s="30"/>
      <c r="S689" s="30"/>
      <c r="T689" s="30"/>
      <c r="U689" s="30"/>
      <c r="V689" s="30"/>
      <c r="W689" s="30"/>
      <c r="X689" s="30"/>
      <c r="Y689" s="30"/>
      <c r="Z689" s="22"/>
      <c r="AA689" s="32"/>
    </row>
    <row r="690" ht="15.75" customHeight="1">
      <c r="O690" s="33"/>
      <c r="P690" s="22"/>
      <c r="Q690" s="30"/>
      <c r="R690" s="30"/>
      <c r="S690" s="30"/>
      <c r="T690" s="30"/>
      <c r="U690" s="30"/>
      <c r="V690" s="30"/>
      <c r="W690" s="30"/>
      <c r="X690" s="30"/>
      <c r="Y690" s="30"/>
      <c r="Z690" s="22"/>
      <c r="AA690" s="32"/>
    </row>
    <row r="691" ht="15.75" customHeight="1">
      <c r="O691" s="33"/>
      <c r="P691" s="22"/>
      <c r="Q691" s="30"/>
      <c r="R691" s="30"/>
      <c r="S691" s="30"/>
      <c r="T691" s="30"/>
      <c r="U691" s="30"/>
      <c r="V691" s="30"/>
      <c r="W691" s="30"/>
      <c r="X691" s="30"/>
      <c r="Y691" s="30"/>
      <c r="Z691" s="22"/>
      <c r="AA691" s="32"/>
    </row>
    <row r="692" ht="15.75" customHeight="1">
      <c r="O692" s="33"/>
      <c r="P692" s="22"/>
      <c r="Q692" s="30"/>
      <c r="R692" s="30"/>
      <c r="S692" s="30"/>
      <c r="T692" s="30"/>
      <c r="U692" s="30"/>
      <c r="V692" s="30"/>
      <c r="W692" s="30"/>
      <c r="X692" s="30"/>
      <c r="Y692" s="30"/>
      <c r="Z692" s="22"/>
      <c r="AA692" s="32"/>
    </row>
    <row r="693" ht="15.75" customHeight="1">
      <c r="O693" s="33"/>
      <c r="P693" s="22"/>
      <c r="Q693" s="30"/>
      <c r="R693" s="30"/>
      <c r="S693" s="30"/>
      <c r="T693" s="30"/>
      <c r="U693" s="30"/>
      <c r="V693" s="30"/>
      <c r="W693" s="30"/>
      <c r="X693" s="30"/>
      <c r="Y693" s="30"/>
      <c r="Z693" s="22"/>
      <c r="AA693" s="32"/>
    </row>
    <row r="694" ht="15.75" customHeight="1">
      <c r="O694" s="33"/>
      <c r="P694" s="22"/>
      <c r="Q694" s="30"/>
      <c r="R694" s="30"/>
      <c r="S694" s="30"/>
      <c r="T694" s="30"/>
      <c r="U694" s="30"/>
      <c r="V694" s="30"/>
      <c r="W694" s="30"/>
      <c r="X694" s="30"/>
      <c r="Y694" s="30"/>
      <c r="Z694" s="22"/>
      <c r="AA694" s="32"/>
    </row>
    <row r="695" ht="15.75" customHeight="1">
      <c r="O695" s="33"/>
      <c r="P695" s="22"/>
      <c r="Q695" s="30"/>
      <c r="R695" s="30"/>
      <c r="S695" s="30"/>
      <c r="T695" s="30"/>
      <c r="U695" s="30"/>
      <c r="V695" s="30"/>
      <c r="W695" s="30"/>
      <c r="X695" s="30"/>
      <c r="Y695" s="30"/>
      <c r="Z695" s="22"/>
      <c r="AA695" s="32"/>
    </row>
    <row r="696" ht="15.75" customHeight="1">
      <c r="O696" s="33"/>
      <c r="P696" s="22"/>
      <c r="Q696" s="30"/>
      <c r="R696" s="30"/>
      <c r="S696" s="30"/>
      <c r="T696" s="30"/>
      <c r="U696" s="30"/>
      <c r="V696" s="30"/>
      <c r="W696" s="30"/>
      <c r="X696" s="30"/>
      <c r="Y696" s="30"/>
      <c r="Z696" s="22"/>
      <c r="AA696" s="32"/>
    </row>
    <row r="697" ht="15.75" customHeight="1">
      <c r="O697" s="33"/>
      <c r="P697" s="22"/>
      <c r="Q697" s="30"/>
      <c r="R697" s="30"/>
      <c r="S697" s="30"/>
      <c r="T697" s="30"/>
      <c r="U697" s="30"/>
      <c r="V697" s="30"/>
      <c r="W697" s="30"/>
      <c r="X697" s="30"/>
      <c r="Y697" s="30"/>
      <c r="Z697" s="22"/>
      <c r="AA697" s="32"/>
    </row>
    <row r="698" ht="15.75" customHeight="1">
      <c r="O698" s="33"/>
      <c r="P698" s="22"/>
      <c r="Q698" s="30"/>
      <c r="R698" s="30"/>
      <c r="S698" s="30"/>
      <c r="T698" s="30"/>
      <c r="U698" s="30"/>
      <c r="V698" s="30"/>
      <c r="W698" s="30"/>
      <c r="X698" s="30"/>
      <c r="Y698" s="30"/>
      <c r="Z698" s="22"/>
      <c r="AA698" s="32"/>
    </row>
    <row r="699" ht="15.75" customHeight="1">
      <c r="O699" s="33"/>
      <c r="P699" s="22"/>
      <c r="Q699" s="30"/>
      <c r="R699" s="30"/>
      <c r="S699" s="30"/>
      <c r="T699" s="30"/>
      <c r="U699" s="30"/>
      <c r="V699" s="30"/>
      <c r="W699" s="30"/>
      <c r="X699" s="30"/>
      <c r="Y699" s="30"/>
      <c r="Z699" s="22"/>
      <c r="AA699" s="32"/>
    </row>
    <row r="700" ht="15.75" customHeight="1">
      <c r="O700" s="33"/>
      <c r="P700" s="22"/>
      <c r="Q700" s="30"/>
      <c r="R700" s="30"/>
      <c r="S700" s="30"/>
      <c r="T700" s="30"/>
      <c r="U700" s="30"/>
      <c r="V700" s="30"/>
      <c r="W700" s="30"/>
      <c r="X700" s="30"/>
      <c r="Y700" s="30"/>
      <c r="Z700" s="22"/>
      <c r="AA700" s="32"/>
    </row>
    <row r="701" ht="15.75" customHeight="1">
      <c r="O701" s="33"/>
      <c r="P701" s="22"/>
      <c r="Q701" s="30"/>
      <c r="R701" s="30"/>
      <c r="S701" s="30"/>
      <c r="T701" s="30"/>
      <c r="U701" s="30"/>
      <c r="V701" s="30"/>
      <c r="W701" s="30"/>
      <c r="X701" s="30"/>
      <c r="Y701" s="30"/>
      <c r="Z701" s="22"/>
      <c r="AA701" s="32"/>
    </row>
    <row r="702" ht="15.75" customHeight="1">
      <c r="O702" s="33"/>
      <c r="P702" s="22"/>
      <c r="Q702" s="30"/>
      <c r="R702" s="30"/>
      <c r="S702" s="30"/>
      <c r="T702" s="30"/>
      <c r="U702" s="30"/>
      <c r="V702" s="30"/>
      <c r="W702" s="30"/>
      <c r="X702" s="30"/>
      <c r="Y702" s="30"/>
      <c r="Z702" s="22"/>
      <c r="AA702" s="32"/>
    </row>
    <row r="703" ht="15.75" customHeight="1">
      <c r="O703" s="33"/>
      <c r="P703" s="22"/>
      <c r="Q703" s="30"/>
      <c r="R703" s="30"/>
      <c r="S703" s="30"/>
      <c r="T703" s="30"/>
      <c r="U703" s="30"/>
      <c r="V703" s="30"/>
      <c r="W703" s="30"/>
      <c r="X703" s="30"/>
      <c r="Y703" s="30"/>
      <c r="Z703" s="22"/>
      <c r="AA703" s="32"/>
    </row>
    <row r="704" ht="15.75" customHeight="1">
      <c r="O704" s="33"/>
      <c r="P704" s="22"/>
      <c r="Q704" s="30"/>
      <c r="R704" s="30"/>
      <c r="S704" s="30"/>
      <c r="T704" s="30"/>
      <c r="U704" s="30"/>
      <c r="V704" s="30"/>
      <c r="W704" s="30"/>
      <c r="X704" s="30"/>
      <c r="Y704" s="30"/>
      <c r="Z704" s="22"/>
      <c r="AA704" s="32"/>
    </row>
    <row r="705" ht="15.75" customHeight="1">
      <c r="O705" s="33"/>
      <c r="P705" s="22"/>
      <c r="Q705" s="30"/>
      <c r="R705" s="30"/>
      <c r="S705" s="30"/>
      <c r="T705" s="30"/>
      <c r="U705" s="30"/>
      <c r="V705" s="30"/>
      <c r="W705" s="30"/>
      <c r="X705" s="30"/>
      <c r="Y705" s="30"/>
      <c r="Z705" s="22"/>
      <c r="AA705" s="32"/>
    </row>
    <row r="706" ht="15.75" customHeight="1">
      <c r="O706" s="33"/>
      <c r="P706" s="22"/>
      <c r="Q706" s="30"/>
      <c r="R706" s="30"/>
      <c r="S706" s="30"/>
      <c r="T706" s="30"/>
      <c r="U706" s="30"/>
      <c r="V706" s="30"/>
      <c r="W706" s="30"/>
      <c r="X706" s="30"/>
      <c r="Y706" s="30"/>
      <c r="Z706" s="22"/>
      <c r="AA706" s="32"/>
    </row>
    <row r="707" ht="15.75" customHeight="1">
      <c r="O707" s="33"/>
      <c r="P707" s="22"/>
      <c r="Q707" s="30"/>
      <c r="R707" s="30"/>
      <c r="S707" s="30"/>
      <c r="T707" s="30"/>
      <c r="U707" s="30"/>
      <c r="V707" s="30"/>
      <c r="W707" s="30"/>
      <c r="X707" s="30"/>
      <c r="Y707" s="30"/>
      <c r="Z707" s="22"/>
      <c r="AA707" s="32"/>
    </row>
    <row r="708" ht="15.75" customHeight="1">
      <c r="O708" s="33"/>
      <c r="P708" s="22"/>
      <c r="Q708" s="30"/>
      <c r="R708" s="30"/>
      <c r="S708" s="30"/>
      <c r="T708" s="30"/>
      <c r="U708" s="30"/>
      <c r="V708" s="30"/>
      <c r="W708" s="30"/>
      <c r="X708" s="30"/>
      <c r="Y708" s="30"/>
      <c r="Z708" s="22"/>
      <c r="AA708" s="32"/>
    </row>
    <row r="709" ht="15.75" customHeight="1">
      <c r="O709" s="33"/>
      <c r="P709" s="22"/>
      <c r="Q709" s="30"/>
      <c r="R709" s="30"/>
      <c r="S709" s="30"/>
      <c r="T709" s="30"/>
      <c r="U709" s="30"/>
      <c r="V709" s="30"/>
      <c r="W709" s="30"/>
      <c r="X709" s="30"/>
      <c r="Y709" s="30"/>
      <c r="Z709" s="22"/>
      <c r="AA709" s="32"/>
    </row>
    <row r="710" ht="15.75" customHeight="1">
      <c r="O710" s="33"/>
      <c r="P710" s="22"/>
      <c r="Q710" s="30"/>
      <c r="R710" s="30"/>
      <c r="S710" s="30"/>
      <c r="T710" s="30"/>
      <c r="U710" s="30"/>
      <c r="V710" s="30"/>
      <c r="W710" s="30"/>
      <c r="X710" s="30"/>
      <c r="Y710" s="30"/>
      <c r="Z710" s="22"/>
      <c r="AA710" s="32"/>
    </row>
    <row r="711" ht="15.75" customHeight="1">
      <c r="O711" s="33"/>
      <c r="P711" s="22"/>
      <c r="Q711" s="30"/>
      <c r="R711" s="30"/>
      <c r="S711" s="30"/>
      <c r="T711" s="30"/>
      <c r="U711" s="30"/>
      <c r="V711" s="30"/>
      <c r="W711" s="30"/>
      <c r="X711" s="30"/>
      <c r="Y711" s="30"/>
      <c r="Z711" s="22"/>
      <c r="AA711" s="32"/>
    </row>
    <row r="712" ht="15.75" customHeight="1">
      <c r="O712" s="33"/>
      <c r="P712" s="22"/>
      <c r="Q712" s="30"/>
      <c r="R712" s="30"/>
      <c r="S712" s="30"/>
      <c r="T712" s="30"/>
      <c r="U712" s="30"/>
      <c r="V712" s="30"/>
      <c r="W712" s="30"/>
      <c r="X712" s="30"/>
      <c r="Y712" s="30"/>
      <c r="Z712" s="22"/>
      <c r="AA712" s="32"/>
    </row>
    <row r="713" ht="15.75" customHeight="1">
      <c r="O713" s="33"/>
      <c r="P713" s="22"/>
      <c r="Q713" s="30"/>
      <c r="R713" s="30"/>
      <c r="S713" s="30"/>
      <c r="T713" s="30"/>
      <c r="U713" s="30"/>
      <c r="V713" s="30"/>
      <c r="W713" s="30"/>
      <c r="X713" s="30"/>
      <c r="Y713" s="30"/>
      <c r="Z713" s="22"/>
      <c r="AA713" s="32"/>
    </row>
    <row r="714" ht="15.75" customHeight="1">
      <c r="O714" s="33"/>
      <c r="P714" s="22"/>
      <c r="Q714" s="30"/>
      <c r="R714" s="30"/>
      <c r="S714" s="30"/>
      <c r="T714" s="30"/>
      <c r="U714" s="30"/>
      <c r="V714" s="30"/>
      <c r="W714" s="30"/>
      <c r="X714" s="30"/>
      <c r="Y714" s="30"/>
      <c r="Z714" s="22"/>
      <c r="AA714" s="32"/>
    </row>
    <row r="715" ht="15.75" customHeight="1">
      <c r="O715" s="33"/>
      <c r="P715" s="22"/>
      <c r="Q715" s="30"/>
      <c r="R715" s="30"/>
      <c r="S715" s="30"/>
      <c r="T715" s="30"/>
      <c r="U715" s="30"/>
      <c r="V715" s="30"/>
      <c r="W715" s="30"/>
      <c r="X715" s="30"/>
      <c r="Y715" s="30"/>
      <c r="Z715" s="22"/>
      <c r="AA715" s="32"/>
    </row>
    <row r="716" ht="15.75" customHeight="1">
      <c r="O716" s="33"/>
      <c r="P716" s="22"/>
      <c r="Q716" s="30"/>
      <c r="R716" s="30"/>
      <c r="S716" s="30"/>
      <c r="T716" s="30"/>
      <c r="U716" s="30"/>
      <c r="V716" s="30"/>
      <c r="W716" s="30"/>
      <c r="X716" s="30"/>
      <c r="Y716" s="30"/>
      <c r="Z716" s="22"/>
      <c r="AA716" s="32"/>
    </row>
    <row r="717" ht="15.75" customHeight="1">
      <c r="O717" s="33"/>
      <c r="P717" s="22"/>
      <c r="Q717" s="30"/>
      <c r="R717" s="30"/>
      <c r="S717" s="30"/>
      <c r="T717" s="30"/>
      <c r="U717" s="30"/>
      <c r="V717" s="30"/>
      <c r="W717" s="30"/>
      <c r="X717" s="30"/>
      <c r="Y717" s="30"/>
      <c r="Z717" s="22"/>
      <c r="AA717" s="32"/>
    </row>
    <row r="718" ht="15.75" customHeight="1">
      <c r="O718" s="33"/>
      <c r="P718" s="22"/>
      <c r="Q718" s="30"/>
      <c r="R718" s="30"/>
      <c r="S718" s="30"/>
      <c r="T718" s="30"/>
      <c r="U718" s="30"/>
      <c r="V718" s="30"/>
      <c r="W718" s="30"/>
      <c r="X718" s="30"/>
      <c r="Y718" s="30"/>
      <c r="Z718" s="22"/>
      <c r="AA718" s="32"/>
    </row>
    <row r="719" ht="15.75" customHeight="1">
      <c r="O719" s="33"/>
      <c r="P719" s="22"/>
      <c r="Q719" s="30"/>
      <c r="R719" s="30"/>
      <c r="S719" s="30"/>
      <c r="T719" s="30"/>
      <c r="U719" s="30"/>
      <c r="V719" s="30"/>
      <c r="W719" s="30"/>
      <c r="X719" s="30"/>
      <c r="Y719" s="30"/>
      <c r="Z719" s="22"/>
      <c r="AA719" s="32"/>
    </row>
    <row r="720" ht="15.75" customHeight="1">
      <c r="O720" s="33"/>
      <c r="P720" s="22"/>
      <c r="Q720" s="30"/>
      <c r="R720" s="30"/>
      <c r="S720" s="30"/>
      <c r="T720" s="30"/>
      <c r="U720" s="30"/>
      <c r="V720" s="30"/>
      <c r="W720" s="30"/>
      <c r="X720" s="30"/>
      <c r="Y720" s="30"/>
      <c r="Z720" s="22"/>
      <c r="AA720" s="32"/>
    </row>
    <row r="721" ht="15.75" customHeight="1">
      <c r="O721" s="33"/>
      <c r="P721" s="22"/>
      <c r="Q721" s="30"/>
      <c r="R721" s="30"/>
      <c r="S721" s="30"/>
      <c r="T721" s="30"/>
      <c r="U721" s="30"/>
      <c r="V721" s="30"/>
      <c r="W721" s="30"/>
      <c r="X721" s="30"/>
      <c r="Y721" s="30"/>
      <c r="Z721" s="22"/>
      <c r="AA721" s="32"/>
    </row>
    <row r="722" ht="15.75" customHeight="1">
      <c r="O722" s="33"/>
      <c r="P722" s="22"/>
      <c r="Q722" s="30"/>
      <c r="R722" s="30"/>
      <c r="S722" s="30"/>
      <c r="T722" s="30"/>
      <c r="U722" s="30"/>
      <c r="V722" s="30"/>
      <c r="W722" s="30"/>
      <c r="X722" s="30"/>
      <c r="Y722" s="30"/>
      <c r="Z722" s="22"/>
      <c r="AA722" s="32"/>
    </row>
    <row r="723" ht="15.75" customHeight="1">
      <c r="O723" s="33"/>
      <c r="P723" s="22"/>
      <c r="Q723" s="30"/>
      <c r="R723" s="30"/>
      <c r="S723" s="30"/>
      <c r="T723" s="30"/>
      <c r="U723" s="30"/>
      <c r="V723" s="30"/>
      <c r="W723" s="30"/>
      <c r="X723" s="30"/>
      <c r="Y723" s="30"/>
      <c r="Z723" s="22"/>
      <c r="AA723" s="32"/>
    </row>
    <row r="724" ht="15.75" customHeight="1">
      <c r="O724" s="33"/>
      <c r="P724" s="22"/>
      <c r="Q724" s="30"/>
      <c r="R724" s="30"/>
      <c r="S724" s="30"/>
      <c r="T724" s="30"/>
      <c r="U724" s="30"/>
      <c r="V724" s="30"/>
      <c r="W724" s="30"/>
      <c r="X724" s="30"/>
      <c r="Y724" s="30"/>
      <c r="Z724" s="22"/>
      <c r="AA724" s="32"/>
    </row>
    <row r="725" ht="15.75" customHeight="1">
      <c r="O725" s="33"/>
      <c r="P725" s="22"/>
      <c r="Q725" s="30"/>
      <c r="R725" s="30"/>
      <c r="S725" s="30"/>
      <c r="T725" s="30"/>
      <c r="U725" s="30"/>
      <c r="V725" s="30"/>
      <c r="W725" s="30"/>
      <c r="X725" s="30"/>
      <c r="Y725" s="30"/>
      <c r="Z725" s="22"/>
      <c r="AA725" s="32"/>
    </row>
    <row r="726" ht="15.75" customHeight="1">
      <c r="O726" s="33"/>
      <c r="P726" s="22"/>
      <c r="Q726" s="30"/>
      <c r="R726" s="30"/>
      <c r="S726" s="30"/>
      <c r="T726" s="30"/>
      <c r="U726" s="30"/>
      <c r="V726" s="30"/>
      <c r="W726" s="30"/>
      <c r="X726" s="30"/>
      <c r="Y726" s="30"/>
      <c r="Z726" s="22"/>
      <c r="AA726" s="32"/>
    </row>
    <row r="727" ht="15.75" customHeight="1">
      <c r="O727" s="33"/>
      <c r="P727" s="22"/>
      <c r="Q727" s="30"/>
      <c r="R727" s="30"/>
      <c r="S727" s="30"/>
      <c r="T727" s="30"/>
      <c r="U727" s="30"/>
      <c r="V727" s="30"/>
      <c r="W727" s="30"/>
      <c r="X727" s="30"/>
      <c r="Y727" s="30"/>
      <c r="Z727" s="22"/>
      <c r="AA727" s="32"/>
    </row>
    <row r="728" ht="15.75" customHeight="1">
      <c r="O728" s="33"/>
      <c r="P728" s="22"/>
      <c r="Q728" s="30"/>
      <c r="R728" s="30"/>
      <c r="S728" s="30"/>
      <c r="T728" s="30"/>
      <c r="U728" s="30"/>
      <c r="V728" s="30"/>
      <c r="W728" s="30"/>
      <c r="X728" s="30"/>
      <c r="Y728" s="30"/>
      <c r="Z728" s="22"/>
      <c r="AA728" s="32"/>
    </row>
    <row r="729" ht="15.75" customHeight="1">
      <c r="O729" s="33"/>
      <c r="P729" s="22"/>
      <c r="Q729" s="30"/>
      <c r="R729" s="30"/>
      <c r="S729" s="30"/>
      <c r="T729" s="30"/>
      <c r="U729" s="30"/>
      <c r="V729" s="30"/>
      <c r="W729" s="30"/>
      <c r="X729" s="30"/>
      <c r="Y729" s="30"/>
      <c r="Z729" s="22"/>
      <c r="AA729" s="32"/>
    </row>
    <row r="730" ht="15.75" customHeight="1">
      <c r="O730" s="33"/>
      <c r="P730" s="22"/>
      <c r="Q730" s="30"/>
      <c r="R730" s="30"/>
      <c r="S730" s="30"/>
      <c r="T730" s="30"/>
      <c r="U730" s="30"/>
      <c r="V730" s="30"/>
      <c r="W730" s="30"/>
      <c r="X730" s="30"/>
      <c r="Y730" s="30"/>
      <c r="Z730" s="22"/>
      <c r="AA730" s="32"/>
    </row>
    <row r="731" ht="15.75" customHeight="1">
      <c r="O731" s="33"/>
      <c r="P731" s="22"/>
      <c r="Q731" s="30"/>
      <c r="R731" s="30"/>
      <c r="S731" s="30"/>
      <c r="T731" s="30"/>
      <c r="U731" s="30"/>
      <c r="V731" s="30"/>
      <c r="W731" s="30"/>
      <c r="X731" s="30"/>
      <c r="Y731" s="30"/>
      <c r="Z731" s="22"/>
      <c r="AA731" s="32"/>
    </row>
    <row r="732" ht="15.75" customHeight="1">
      <c r="O732" s="33"/>
      <c r="P732" s="22"/>
      <c r="Q732" s="30"/>
      <c r="R732" s="30"/>
      <c r="S732" s="30"/>
      <c r="T732" s="30"/>
      <c r="U732" s="30"/>
      <c r="V732" s="30"/>
      <c r="W732" s="30"/>
      <c r="X732" s="30"/>
      <c r="Y732" s="30"/>
      <c r="Z732" s="22"/>
      <c r="AA732" s="32"/>
    </row>
    <row r="733" ht="15.75" customHeight="1">
      <c r="O733" s="33"/>
      <c r="P733" s="22"/>
      <c r="Q733" s="30"/>
      <c r="R733" s="30"/>
      <c r="S733" s="30"/>
      <c r="T733" s="30"/>
      <c r="U733" s="30"/>
      <c r="V733" s="30"/>
      <c r="W733" s="30"/>
      <c r="X733" s="30"/>
      <c r="Y733" s="30"/>
      <c r="Z733" s="22"/>
      <c r="AA733" s="32"/>
    </row>
    <row r="734" ht="15.75" customHeight="1">
      <c r="O734" s="33"/>
      <c r="P734" s="22"/>
      <c r="Q734" s="30"/>
      <c r="R734" s="30"/>
      <c r="S734" s="30"/>
      <c r="T734" s="30"/>
      <c r="U734" s="30"/>
      <c r="V734" s="30"/>
      <c r="W734" s="30"/>
      <c r="X734" s="30"/>
      <c r="Y734" s="30"/>
      <c r="Z734" s="22"/>
      <c r="AA734" s="32"/>
    </row>
    <row r="735" ht="15.75" customHeight="1">
      <c r="O735" s="33"/>
      <c r="P735" s="22"/>
      <c r="Q735" s="30"/>
      <c r="R735" s="30"/>
      <c r="S735" s="30"/>
      <c r="T735" s="30"/>
      <c r="U735" s="30"/>
      <c r="V735" s="30"/>
      <c r="W735" s="30"/>
      <c r="X735" s="30"/>
      <c r="Y735" s="30"/>
      <c r="Z735" s="22"/>
      <c r="AA735" s="32"/>
    </row>
    <row r="736" ht="15.75" customHeight="1">
      <c r="O736" s="33"/>
      <c r="P736" s="22"/>
      <c r="Q736" s="30"/>
      <c r="R736" s="30"/>
      <c r="S736" s="30"/>
      <c r="T736" s="30"/>
      <c r="U736" s="30"/>
      <c r="V736" s="30"/>
      <c r="W736" s="30"/>
      <c r="X736" s="30"/>
      <c r="Y736" s="30"/>
      <c r="Z736" s="22"/>
      <c r="AA736" s="32"/>
    </row>
    <row r="737" ht="15.75" customHeight="1">
      <c r="O737" s="33"/>
      <c r="P737" s="22"/>
      <c r="Q737" s="30"/>
      <c r="R737" s="30"/>
      <c r="S737" s="30"/>
      <c r="T737" s="30"/>
      <c r="U737" s="30"/>
      <c r="V737" s="30"/>
      <c r="W737" s="30"/>
      <c r="X737" s="30"/>
      <c r="Y737" s="30"/>
      <c r="Z737" s="22"/>
      <c r="AA737" s="32"/>
    </row>
    <row r="738" ht="15.75" customHeight="1">
      <c r="O738" s="33"/>
      <c r="P738" s="22"/>
      <c r="Q738" s="30"/>
      <c r="R738" s="30"/>
      <c r="S738" s="30"/>
      <c r="T738" s="30"/>
      <c r="U738" s="30"/>
      <c r="V738" s="30"/>
      <c r="W738" s="30"/>
      <c r="X738" s="30"/>
      <c r="Y738" s="30"/>
      <c r="Z738" s="22"/>
      <c r="AA738" s="32"/>
    </row>
    <row r="739" ht="15.75" customHeight="1">
      <c r="O739" s="33"/>
      <c r="P739" s="22"/>
      <c r="Q739" s="30"/>
      <c r="R739" s="30"/>
      <c r="S739" s="30"/>
      <c r="T739" s="30"/>
      <c r="U739" s="30"/>
      <c r="V739" s="30"/>
      <c r="W739" s="30"/>
      <c r="X739" s="30"/>
      <c r="Y739" s="30"/>
      <c r="Z739" s="22"/>
      <c r="AA739" s="32"/>
    </row>
    <row r="740" ht="15.75" customHeight="1">
      <c r="O740" s="33"/>
      <c r="P740" s="22"/>
      <c r="Q740" s="30"/>
      <c r="R740" s="30"/>
      <c r="S740" s="30"/>
      <c r="T740" s="30"/>
      <c r="U740" s="30"/>
      <c r="V740" s="30"/>
      <c r="W740" s="30"/>
      <c r="X740" s="30"/>
      <c r="Y740" s="30"/>
      <c r="Z740" s="22"/>
      <c r="AA740" s="32"/>
    </row>
    <row r="741" ht="15.75" customHeight="1">
      <c r="O741" s="33"/>
      <c r="P741" s="22"/>
      <c r="Q741" s="30"/>
      <c r="R741" s="30"/>
      <c r="S741" s="30"/>
      <c r="T741" s="30"/>
      <c r="U741" s="30"/>
      <c r="V741" s="30"/>
      <c r="W741" s="30"/>
      <c r="X741" s="30"/>
      <c r="Y741" s="30"/>
      <c r="Z741" s="22"/>
      <c r="AA741" s="32"/>
    </row>
    <row r="742" ht="15.75" customHeight="1">
      <c r="O742" s="33"/>
      <c r="P742" s="22"/>
      <c r="Q742" s="30"/>
      <c r="R742" s="30"/>
      <c r="S742" s="30"/>
      <c r="T742" s="30"/>
      <c r="U742" s="30"/>
      <c r="V742" s="30"/>
      <c r="W742" s="30"/>
      <c r="X742" s="30"/>
      <c r="Y742" s="30"/>
      <c r="Z742" s="22"/>
      <c r="AA742" s="32"/>
    </row>
    <row r="743" ht="15.75" customHeight="1">
      <c r="O743" s="33"/>
      <c r="P743" s="22"/>
      <c r="Q743" s="30"/>
      <c r="R743" s="30"/>
      <c r="S743" s="30"/>
      <c r="T743" s="30"/>
      <c r="U743" s="30"/>
      <c r="V743" s="30"/>
      <c r="W743" s="30"/>
      <c r="X743" s="30"/>
      <c r="Y743" s="30"/>
      <c r="Z743" s="22"/>
      <c r="AA743" s="32"/>
    </row>
    <row r="744" ht="15.75" customHeight="1">
      <c r="O744" s="33"/>
      <c r="P744" s="22"/>
      <c r="Q744" s="30"/>
      <c r="R744" s="30"/>
      <c r="S744" s="30"/>
      <c r="T744" s="30"/>
      <c r="U744" s="30"/>
      <c r="V744" s="30"/>
      <c r="W744" s="30"/>
      <c r="X744" s="30"/>
      <c r="Y744" s="30"/>
      <c r="Z744" s="22"/>
      <c r="AA744" s="32"/>
    </row>
    <row r="745" ht="15.75" customHeight="1">
      <c r="O745" s="33"/>
      <c r="P745" s="22"/>
      <c r="Q745" s="30"/>
      <c r="R745" s="30"/>
      <c r="S745" s="30"/>
      <c r="T745" s="30"/>
      <c r="U745" s="30"/>
      <c r="V745" s="30"/>
      <c r="W745" s="30"/>
      <c r="X745" s="30"/>
      <c r="Y745" s="30"/>
      <c r="Z745" s="22"/>
      <c r="AA745" s="32"/>
    </row>
    <row r="746" ht="15.75" customHeight="1">
      <c r="O746" s="33"/>
      <c r="P746" s="22"/>
      <c r="Q746" s="30"/>
      <c r="R746" s="30"/>
      <c r="S746" s="30"/>
      <c r="T746" s="30"/>
      <c r="U746" s="30"/>
      <c r="V746" s="30"/>
      <c r="W746" s="30"/>
      <c r="X746" s="30"/>
      <c r="Y746" s="30"/>
      <c r="Z746" s="22"/>
      <c r="AA746" s="32"/>
    </row>
    <row r="747" ht="15.75" customHeight="1">
      <c r="O747" s="33"/>
      <c r="P747" s="22"/>
      <c r="Q747" s="30"/>
      <c r="R747" s="30"/>
      <c r="S747" s="30"/>
      <c r="T747" s="30"/>
      <c r="U747" s="30"/>
      <c r="V747" s="30"/>
      <c r="W747" s="30"/>
      <c r="X747" s="30"/>
      <c r="Y747" s="30"/>
      <c r="Z747" s="22"/>
      <c r="AA747" s="32"/>
    </row>
    <row r="748" ht="15.75" customHeight="1">
      <c r="O748" s="33"/>
      <c r="P748" s="22"/>
      <c r="Q748" s="30"/>
      <c r="R748" s="30"/>
      <c r="S748" s="30"/>
      <c r="T748" s="30"/>
      <c r="U748" s="30"/>
      <c r="V748" s="30"/>
      <c r="W748" s="30"/>
      <c r="X748" s="30"/>
      <c r="Y748" s="30"/>
      <c r="Z748" s="22"/>
      <c r="AA748" s="32"/>
    </row>
    <row r="749" ht="15.75" customHeight="1">
      <c r="O749" s="33"/>
      <c r="P749" s="22"/>
      <c r="Q749" s="30"/>
      <c r="R749" s="30"/>
      <c r="S749" s="30"/>
      <c r="T749" s="30"/>
      <c r="U749" s="30"/>
      <c r="V749" s="30"/>
      <c r="W749" s="30"/>
      <c r="X749" s="30"/>
      <c r="Y749" s="30"/>
      <c r="Z749" s="22"/>
      <c r="AA749" s="32"/>
    </row>
    <row r="750" ht="15.75" customHeight="1">
      <c r="O750" s="33"/>
      <c r="P750" s="22"/>
      <c r="Q750" s="30"/>
      <c r="R750" s="30"/>
      <c r="S750" s="30"/>
      <c r="T750" s="30"/>
      <c r="U750" s="30"/>
      <c r="V750" s="30"/>
      <c r="W750" s="30"/>
      <c r="X750" s="30"/>
      <c r="Y750" s="30"/>
      <c r="Z750" s="22"/>
      <c r="AA750" s="32"/>
    </row>
    <row r="751" ht="15.75" customHeight="1">
      <c r="O751" s="33"/>
      <c r="P751" s="22"/>
      <c r="Q751" s="30"/>
      <c r="R751" s="30"/>
      <c r="S751" s="30"/>
      <c r="T751" s="30"/>
      <c r="U751" s="30"/>
      <c r="V751" s="30"/>
      <c r="W751" s="30"/>
      <c r="X751" s="30"/>
      <c r="Y751" s="30"/>
      <c r="Z751" s="22"/>
      <c r="AA751" s="32"/>
    </row>
    <row r="752" ht="15.75" customHeight="1">
      <c r="O752" s="33"/>
      <c r="P752" s="22"/>
      <c r="Q752" s="30"/>
      <c r="R752" s="30"/>
      <c r="S752" s="30"/>
      <c r="T752" s="30"/>
      <c r="U752" s="30"/>
      <c r="V752" s="30"/>
      <c r="W752" s="30"/>
      <c r="X752" s="30"/>
      <c r="Y752" s="30"/>
      <c r="Z752" s="22"/>
      <c r="AA752" s="32"/>
    </row>
    <row r="753" ht="15.75" customHeight="1">
      <c r="O753" s="33"/>
      <c r="P753" s="22"/>
      <c r="Q753" s="30"/>
      <c r="R753" s="30"/>
      <c r="S753" s="30"/>
      <c r="T753" s="30"/>
      <c r="U753" s="30"/>
      <c r="V753" s="30"/>
      <c r="W753" s="30"/>
      <c r="X753" s="30"/>
      <c r="Y753" s="30"/>
      <c r="Z753" s="22"/>
      <c r="AA753" s="32"/>
    </row>
    <row r="754" ht="15.75" customHeight="1">
      <c r="O754" s="33"/>
      <c r="P754" s="22"/>
      <c r="Q754" s="30"/>
      <c r="R754" s="30"/>
      <c r="S754" s="30"/>
      <c r="T754" s="30"/>
      <c r="U754" s="30"/>
      <c r="V754" s="30"/>
      <c r="W754" s="30"/>
      <c r="X754" s="30"/>
      <c r="Y754" s="30"/>
      <c r="Z754" s="22"/>
      <c r="AA754" s="32"/>
    </row>
    <row r="755" ht="15.75" customHeight="1">
      <c r="O755" s="33"/>
      <c r="P755" s="22"/>
      <c r="Q755" s="30"/>
      <c r="R755" s="30"/>
      <c r="S755" s="30"/>
      <c r="T755" s="30"/>
      <c r="U755" s="30"/>
      <c r="V755" s="30"/>
      <c r="W755" s="30"/>
      <c r="X755" s="30"/>
      <c r="Y755" s="30"/>
      <c r="Z755" s="22"/>
      <c r="AA755" s="32"/>
    </row>
    <row r="756" ht="15.75" customHeight="1">
      <c r="O756" s="33"/>
      <c r="P756" s="22"/>
      <c r="Q756" s="30"/>
      <c r="R756" s="30"/>
      <c r="S756" s="30"/>
      <c r="T756" s="30"/>
      <c r="U756" s="30"/>
      <c r="V756" s="30"/>
      <c r="W756" s="30"/>
      <c r="X756" s="30"/>
      <c r="Y756" s="30"/>
      <c r="Z756" s="22"/>
      <c r="AA756" s="32"/>
    </row>
    <row r="757" ht="15.75" customHeight="1">
      <c r="O757" s="33"/>
      <c r="P757" s="22"/>
      <c r="Q757" s="30"/>
      <c r="R757" s="30"/>
      <c r="S757" s="30"/>
      <c r="T757" s="30"/>
      <c r="U757" s="30"/>
      <c r="V757" s="30"/>
      <c r="W757" s="30"/>
      <c r="X757" s="30"/>
      <c r="Y757" s="30"/>
      <c r="Z757" s="22"/>
      <c r="AA757" s="32"/>
    </row>
    <row r="758" ht="15.75" customHeight="1">
      <c r="O758" s="33"/>
      <c r="P758" s="22"/>
      <c r="Q758" s="30"/>
      <c r="R758" s="30"/>
      <c r="S758" s="30"/>
      <c r="T758" s="30"/>
      <c r="U758" s="30"/>
      <c r="V758" s="30"/>
      <c r="W758" s="30"/>
      <c r="X758" s="30"/>
      <c r="Y758" s="30"/>
      <c r="Z758" s="22"/>
      <c r="AA758" s="32"/>
    </row>
    <row r="759" ht="15.75" customHeight="1">
      <c r="O759" s="33"/>
      <c r="P759" s="22"/>
      <c r="Q759" s="30"/>
      <c r="R759" s="30"/>
      <c r="S759" s="30"/>
      <c r="T759" s="30"/>
      <c r="U759" s="30"/>
      <c r="V759" s="30"/>
      <c r="W759" s="30"/>
      <c r="X759" s="30"/>
      <c r="Y759" s="30"/>
      <c r="Z759" s="22"/>
      <c r="AA759" s="32"/>
    </row>
    <row r="760" ht="15.75" customHeight="1">
      <c r="O760" s="33"/>
      <c r="P760" s="22"/>
      <c r="Q760" s="30"/>
      <c r="R760" s="30"/>
      <c r="S760" s="30"/>
      <c r="T760" s="30"/>
      <c r="U760" s="30"/>
      <c r="V760" s="30"/>
      <c r="W760" s="30"/>
      <c r="X760" s="30"/>
      <c r="Y760" s="30"/>
      <c r="Z760" s="22"/>
      <c r="AA760" s="32"/>
    </row>
    <row r="761" ht="15.75" customHeight="1">
      <c r="O761" s="33"/>
      <c r="P761" s="22"/>
      <c r="Q761" s="30"/>
      <c r="R761" s="30"/>
      <c r="S761" s="30"/>
      <c r="T761" s="30"/>
      <c r="U761" s="30"/>
      <c r="V761" s="30"/>
      <c r="W761" s="30"/>
      <c r="X761" s="30"/>
      <c r="Y761" s="30"/>
      <c r="Z761" s="22"/>
      <c r="AA761" s="32"/>
    </row>
    <row r="762" ht="15.75" customHeight="1">
      <c r="O762" s="33"/>
      <c r="P762" s="22"/>
      <c r="Q762" s="30"/>
      <c r="R762" s="30"/>
      <c r="S762" s="30"/>
      <c r="T762" s="30"/>
      <c r="U762" s="30"/>
      <c r="V762" s="30"/>
      <c r="W762" s="30"/>
      <c r="X762" s="30"/>
      <c r="Y762" s="30"/>
      <c r="Z762" s="22"/>
      <c r="AA762" s="32"/>
    </row>
    <row r="763" ht="15.75" customHeight="1">
      <c r="O763" s="33"/>
      <c r="P763" s="22"/>
      <c r="Q763" s="30"/>
      <c r="R763" s="30"/>
      <c r="S763" s="30"/>
      <c r="T763" s="30"/>
      <c r="U763" s="30"/>
      <c r="V763" s="30"/>
      <c r="W763" s="30"/>
      <c r="X763" s="30"/>
      <c r="Y763" s="30"/>
      <c r="Z763" s="22"/>
      <c r="AA763" s="32"/>
    </row>
    <row r="764" ht="15.75" customHeight="1">
      <c r="O764" s="33"/>
      <c r="P764" s="22"/>
      <c r="Q764" s="30"/>
      <c r="R764" s="30"/>
      <c r="S764" s="30"/>
      <c r="T764" s="30"/>
      <c r="U764" s="30"/>
      <c r="V764" s="30"/>
      <c r="W764" s="30"/>
      <c r="X764" s="30"/>
      <c r="Y764" s="30"/>
      <c r="Z764" s="22"/>
      <c r="AA764" s="32"/>
    </row>
    <row r="765" ht="15.75" customHeight="1">
      <c r="O765" s="33"/>
      <c r="P765" s="22"/>
      <c r="Q765" s="30"/>
      <c r="R765" s="30"/>
      <c r="S765" s="30"/>
      <c r="T765" s="30"/>
      <c r="U765" s="30"/>
      <c r="V765" s="30"/>
      <c r="W765" s="30"/>
      <c r="X765" s="30"/>
      <c r="Y765" s="30"/>
      <c r="Z765" s="22"/>
      <c r="AA765" s="32"/>
    </row>
    <row r="766" ht="15.75" customHeight="1">
      <c r="O766" s="33"/>
      <c r="P766" s="22"/>
      <c r="Q766" s="30"/>
      <c r="R766" s="30"/>
      <c r="S766" s="30"/>
      <c r="T766" s="30"/>
      <c r="U766" s="30"/>
      <c r="V766" s="30"/>
      <c r="W766" s="30"/>
      <c r="X766" s="30"/>
      <c r="Y766" s="30"/>
      <c r="Z766" s="22"/>
      <c r="AA766" s="32"/>
    </row>
    <row r="767" ht="15.75" customHeight="1">
      <c r="O767" s="33"/>
      <c r="P767" s="22"/>
      <c r="Q767" s="30"/>
      <c r="R767" s="30"/>
      <c r="S767" s="30"/>
      <c r="T767" s="30"/>
      <c r="U767" s="30"/>
      <c r="V767" s="30"/>
      <c r="W767" s="30"/>
      <c r="X767" s="30"/>
      <c r="Y767" s="30"/>
      <c r="Z767" s="22"/>
      <c r="AA767" s="32"/>
    </row>
    <row r="768" ht="15.75" customHeight="1">
      <c r="O768" s="33"/>
      <c r="P768" s="22"/>
      <c r="Q768" s="30"/>
      <c r="R768" s="30"/>
      <c r="S768" s="30"/>
      <c r="T768" s="30"/>
      <c r="U768" s="30"/>
      <c r="V768" s="30"/>
      <c r="W768" s="30"/>
      <c r="X768" s="30"/>
      <c r="Y768" s="30"/>
      <c r="Z768" s="22"/>
      <c r="AA768" s="32"/>
    </row>
    <row r="769" ht="15.75" customHeight="1">
      <c r="O769" s="33"/>
      <c r="P769" s="22"/>
      <c r="Q769" s="30"/>
      <c r="R769" s="30"/>
      <c r="S769" s="30"/>
      <c r="T769" s="30"/>
      <c r="U769" s="30"/>
      <c r="V769" s="30"/>
      <c r="W769" s="30"/>
      <c r="X769" s="30"/>
      <c r="Y769" s="30"/>
      <c r="Z769" s="22"/>
      <c r="AA769" s="32"/>
    </row>
    <row r="770" ht="15.75" customHeight="1">
      <c r="O770" s="33"/>
      <c r="P770" s="22"/>
      <c r="Q770" s="30"/>
      <c r="R770" s="30"/>
      <c r="S770" s="30"/>
      <c r="T770" s="30"/>
      <c r="U770" s="30"/>
      <c r="V770" s="30"/>
      <c r="W770" s="30"/>
      <c r="X770" s="30"/>
      <c r="Y770" s="30"/>
      <c r="Z770" s="22"/>
      <c r="AA770" s="32"/>
    </row>
    <row r="771" ht="15.75" customHeight="1">
      <c r="O771" s="33"/>
      <c r="P771" s="22"/>
      <c r="Q771" s="30"/>
      <c r="R771" s="30"/>
      <c r="S771" s="30"/>
      <c r="T771" s="30"/>
      <c r="U771" s="30"/>
      <c r="V771" s="30"/>
      <c r="W771" s="30"/>
      <c r="X771" s="30"/>
      <c r="Y771" s="30"/>
      <c r="Z771" s="22"/>
      <c r="AA771" s="32"/>
    </row>
    <row r="772" ht="15.75" customHeight="1">
      <c r="O772" s="33"/>
      <c r="P772" s="22"/>
      <c r="Q772" s="30"/>
      <c r="R772" s="30"/>
      <c r="S772" s="30"/>
      <c r="T772" s="30"/>
      <c r="U772" s="30"/>
      <c r="V772" s="30"/>
      <c r="W772" s="30"/>
      <c r="X772" s="30"/>
      <c r="Y772" s="30"/>
      <c r="Z772" s="22"/>
      <c r="AA772" s="32"/>
    </row>
    <row r="773" ht="15.75" customHeight="1">
      <c r="O773" s="33"/>
      <c r="P773" s="22"/>
      <c r="Q773" s="30"/>
      <c r="R773" s="30"/>
      <c r="S773" s="30"/>
      <c r="T773" s="30"/>
      <c r="U773" s="30"/>
      <c r="V773" s="30"/>
      <c r="W773" s="30"/>
      <c r="X773" s="30"/>
      <c r="Y773" s="30"/>
      <c r="Z773" s="22"/>
      <c r="AA773" s="32"/>
    </row>
    <row r="774" ht="15.75" customHeight="1">
      <c r="O774" s="33"/>
      <c r="P774" s="22"/>
      <c r="Q774" s="30"/>
      <c r="R774" s="30"/>
      <c r="S774" s="30"/>
      <c r="T774" s="30"/>
      <c r="U774" s="30"/>
      <c r="V774" s="30"/>
      <c r="W774" s="30"/>
      <c r="X774" s="30"/>
      <c r="Y774" s="30"/>
      <c r="Z774" s="22"/>
      <c r="AA774" s="32"/>
    </row>
    <row r="775" ht="15.75" customHeight="1">
      <c r="O775" s="33"/>
      <c r="P775" s="22"/>
      <c r="Q775" s="30"/>
      <c r="R775" s="30"/>
      <c r="S775" s="30"/>
      <c r="T775" s="30"/>
      <c r="U775" s="30"/>
      <c r="V775" s="30"/>
      <c r="W775" s="30"/>
      <c r="X775" s="30"/>
      <c r="Y775" s="30"/>
      <c r="Z775" s="22"/>
      <c r="AA775" s="32"/>
    </row>
    <row r="776" ht="15.75" customHeight="1">
      <c r="O776" s="33"/>
      <c r="P776" s="22"/>
      <c r="Q776" s="30"/>
      <c r="R776" s="30"/>
      <c r="S776" s="30"/>
      <c r="T776" s="30"/>
      <c r="U776" s="30"/>
      <c r="V776" s="30"/>
      <c r="W776" s="30"/>
      <c r="X776" s="30"/>
      <c r="Y776" s="30"/>
      <c r="Z776" s="22"/>
      <c r="AA776" s="32"/>
    </row>
    <row r="777" ht="15.75" customHeight="1">
      <c r="O777" s="33"/>
      <c r="P777" s="22"/>
      <c r="Q777" s="30"/>
      <c r="R777" s="30"/>
      <c r="S777" s="30"/>
      <c r="T777" s="30"/>
      <c r="U777" s="30"/>
      <c r="V777" s="30"/>
      <c r="W777" s="30"/>
      <c r="X777" s="30"/>
      <c r="Y777" s="30"/>
      <c r="Z777" s="22"/>
      <c r="AA777" s="32"/>
    </row>
    <row r="778" ht="15.75" customHeight="1">
      <c r="O778" s="33"/>
      <c r="P778" s="22"/>
      <c r="Q778" s="30"/>
      <c r="R778" s="30"/>
      <c r="S778" s="30"/>
      <c r="T778" s="30"/>
      <c r="U778" s="30"/>
      <c r="V778" s="30"/>
      <c r="W778" s="30"/>
      <c r="X778" s="30"/>
      <c r="Y778" s="30"/>
      <c r="Z778" s="22"/>
      <c r="AA778" s="32"/>
    </row>
    <row r="779" ht="15.75" customHeight="1">
      <c r="O779" s="33"/>
      <c r="P779" s="22"/>
      <c r="Q779" s="30"/>
      <c r="R779" s="30"/>
      <c r="S779" s="30"/>
      <c r="T779" s="30"/>
      <c r="U779" s="30"/>
      <c r="V779" s="30"/>
      <c r="W779" s="30"/>
      <c r="X779" s="30"/>
      <c r="Y779" s="30"/>
      <c r="Z779" s="22"/>
      <c r="AA779" s="32"/>
    </row>
    <row r="780" ht="15.75" customHeight="1">
      <c r="O780" s="33"/>
      <c r="P780" s="22"/>
      <c r="Q780" s="30"/>
      <c r="R780" s="30"/>
      <c r="S780" s="30"/>
      <c r="T780" s="30"/>
      <c r="U780" s="30"/>
      <c r="V780" s="30"/>
      <c r="W780" s="30"/>
      <c r="X780" s="30"/>
      <c r="Y780" s="30"/>
      <c r="Z780" s="22"/>
      <c r="AA780" s="32"/>
    </row>
    <row r="781" ht="15.75" customHeight="1">
      <c r="O781" s="33"/>
      <c r="P781" s="22"/>
      <c r="Q781" s="30"/>
      <c r="R781" s="30"/>
      <c r="S781" s="30"/>
      <c r="T781" s="30"/>
      <c r="U781" s="30"/>
      <c r="V781" s="30"/>
      <c r="W781" s="30"/>
      <c r="X781" s="30"/>
      <c r="Y781" s="30"/>
      <c r="Z781" s="22"/>
      <c r="AA781" s="32"/>
    </row>
    <row r="782" ht="15.75" customHeight="1">
      <c r="O782" s="33"/>
      <c r="P782" s="22"/>
      <c r="Q782" s="30"/>
      <c r="R782" s="30"/>
      <c r="S782" s="30"/>
      <c r="T782" s="30"/>
      <c r="U782" s="30"/>
      <c r="V782" s="30"/>
      <c r="W782" s="30"/>
      <c r="X782" s="30"/>
      <c r="Y782" s="30"/>
      <c r="Z782" s="22"/>
      <c r="AA782" s="32"/>
    </row>
    <row r="783" ht="15.75" customHeight="1">
      <c r="O783" s="33"/>
      <c r="P783" s="22"/>
      <c r="Q783" s="30"/>
      <c r="R783" s="30"/>
      <c r="S783" s="30"/>
      <c r="T783" s="30"/>
      <c r="U783" s="30"/>
      <c r="V783" s="30"/>
      <c r="W783" s="30"/>
      <c r="X783" s="30"/>
      <c r="Y783" s="30"/>
      <c r="Z783" s="22"/>
      <c r="AA783" s="32"/>
    </row>
    <row r="784" ht="15.75" customHeight="1">
      <c r="O784" s="33"/>
      <c r="P784" s="22"/>
      <c r="Q784" s="30"/>
      <c r="R784" s="30"/>
      <c r="S784" s="30"/>
      <c r="T784" s="30"/>
      <c r="U784" s="30"/>
      <c r="V784" s="30"/>
      <c r="W784" s="30"/>
      <c r="X784" s="30"/>
      <c r="Y784" s="30"/>
      <c r="Z784" s="22"/>
      <c r="AA784" s="32"/>
    </row>
    <row r="785" ht="15.75" customHeight="1">
      <c r="O785" s="33"/>
      <c r="P785" s="22"/>
      <c r="Q785" s="30"/>
      <c r="R785" s="30"/>
      <c r="S785" s="30"/>
      <c r="T785" s="30"/>
      <c r="U785" s="30"/>
      <c r="V785" s="30"/>
      <c r="W785" s="30"/>
      <c r="X785" s="30"/>
      <c r="Y785" s="30"/>
      <c r="Z785" s="22"/>
      <c r="AA785" s="32"/>
    </row>
    <row r="786" ht="15.75" customHeight="1">
      <c r="O786" s="33"/>
      <c r="P786" s="22"/>
      <c r="Q786" s="30"/>
      <c r="R786" s="30"/>
      <c r="S786" s="30"/>
      <c r="T786" s="30"/>
      <c r="U786" s="30"/>
      <c r="V786" s="30"/>
      <c r="W786" s="30"/>
      <c r="X786" s="30"/>
      <c r="Y786" s="30"/>
      <c r="Z786" s="22"/>
      <c r="AA786" s="32"/>
    </row>
    <row r="787" ht="15.75" customHeight="1">
      <c r="O787" s="33"/>
      <c r="P787" s="22"/>
      <c r="Q787" s="30"/>
      <c r="R787" s="30"/>
      <c r="S787" s="30"/>
      <c r="T787" s="30"/>
      <c r="U787" s="30"/>
      <c r="V787" s="30"/>
      <c r="W787" s="30"/>
      <c r="X787" s="30"/>
      <c r="Y787" s="30"/>
      <c r="Z787" s="22"/>
      <c r="AA787" s="32"/>
    </row>
    <row r="788" ht="15.75" customHeight="1">
      <c r="O788" s="33"/>
      <c r="P788" s="22"/>
      <c r="Q788" s="30"/>
      <c r="R788" s="30"/>
      <c r="S788" s="30"/>
      <c r="T788" s="30"/>
      <c r="U788" s="30"/>
      <c r="V788" s="30"/>
      <c r="W788" s="30"/>
      <c r="X788" s="30"/>
      <c r="Y788" s="30"/>
      <c r="Z788" s="22"/>
      <c r="AA788" s="32"/>
    </row>
    <row r="789" ht="15.75" customHeight="1">
      <c r="O789" s="33"/>
      <c r="P789" s="22"/>
      <c r="Q789" s="30"/>
      <c r="R789" s="30"/>
      <c r="S789" s="30"/>
      <c r="T789" s="30"/>
      <c r="U789" s="30"/>
      <c r="V789" s="30"/>
      <c r="W789" s="30"/>
      <c r="X789" s="30"/>
      <c r="Y789" s="30"/>
      <c r="Z789" s="22"/>
      <c r="AA789" s="32"/>
    </row>
    <row r="790" ht="15.75" customHeight="1">
      <c r="O790" s="33"/>
      <c r="P790" s="22"/>
      <c r="Q790" s="30"/>
      <c r="R790" s="30"/>
      <c r="S790" s="30"/>
      <c r="T790" s="30"/>
      <c r="U790" s="30"/>
      <c r="V790" s="30"/>
      <c r="W790" s="30"/>
      <c r="X790" s="30"/>
      <c r="Y790" s="30"/>
      <c r="Z790" s="22"/>
      <c r="AA790" s="32"/>
    </row>
    <row r="791" ht="15.75" customHeight="1">
      <c r="O791" s="33"/>
      <c r="P791" s="22"/>
      <c r="Q791" s="30"/>
      <c r="R791" s="30"/>
      <c r="S791" s="30"/>
      <c r="T791" s="30"/>
      <c r="U791" s="30"/>
      <c r="V791" s="30"/>
      <c r="W791" s="30"/>
      <c r="X791" s="30"/>
      <c r="Y791" s="30"/>
      <c r="Z791" s="22"/>
      <c r="AA791" s="32"/>
    </row>
    <row r="792" ht="15.75" customHeight="1">
      <c r="O792" s="33"/>
      <c r="P792" s="22"/>
      <c r="Q792" s="30"/>
      <c r="R792" s="30"/>
      <c r="S792" s="30"/>
      <c r="T792" s="30"/>
      <c r="U792" s="30"/>
      <c r="V792" s="30"/>
      <c r="W792" s="30"/>
      <c r="X792" s="30"/>
      <c r="Y792" s="30"/>
      <c r="Z792" s="22"/>
      <c r="AA792" s="32"/>
    </row>
    <row r="793" ht="15.75" customHeight="1">
      <c r="O793" s="33"/>
      <c r="P793" s="22"/>
      <c r="Q793" s="30"/>
      <c r="R793" s="30"/>
      <c r="S793" s="30"/>
      <c r="T793" s="30"/>
      <c r="U793" s="30"/>
      <c r="V793" s="30"/>
      <c r="W793" s="30"/>
      <c r="X793" s="30"/>
      <c r="Y793" s="30"/>
      <c r="Z793" s="22"/>
      <c r="AA793" s="32"/>
    </row>
    <row r="794" ht="15.75" customHeight="1">
      <c r="O794" s="33"/>
      <c r="P794" s="22"/>
      <c r="Q794" s="30"/>
      <c r="R794" s="30"/>
      <c r="S794" s="30"/>
      <c r="T794" s="30"/>
      <c r="U794" s="30"/>
      <c r="V794" s="30"/>
      <c r="W794" s="30"/>
      <c r="X794" s="30"/>
      <c r="Y794" s="30"/>
      <c r="Z794" s="22"/>
      <c r="AA794" s="32"/>
    </row>
    <row r="795" ht="15.75" customHeight="1">
      <c r="O795" s="33"/>
      <c r="P795" s="22"/>
      <c r="Q795" s="30"/>
      <c r="R795" s="30"/>
      <c r="S795" s="30"/>
      <c r="T795" s="30"/>
      <c r="U795" s="30"/>
      <c r="V795" s="30"/>
      <c r="W795" s="30"/>
      <c r="X795" s="30"/>
      <c r="Y795" s="30"/>
      <c r="Z795" s="22"/>
      <c r="AA795" s="32"/>
    </row>
    <row r="796" ht="15.75" customHeight="1">
      <c r="O796" s="33"/>
      <c r="P796" s="22"/>
      <c r="Q796" s="30"/>
      <c r="R796" s="30"/>
      <c r="S796" s="30"/>
      <c r="T796" s="30"/>
      <c r="U796" s="30"/>
      <c r="V796" s="30"/>
      <c r="W796" s="30"/>
      <c r="X796" s="30"/>
      <c r="Y796" s="30"/>
      <c r="Z796" s="22"/>
      <c r="AA796" s="32"/>
    </row>
    <row r="797" ht="15.75" customHeight="1">
      <c r="O797" s="33"/>
      <c r="P797" s="22"/>
      <c r="Q797" s="30"/>
      <c r="R797" s="30"/>
      <c r="S797" s="30"/>
      <c r="T797" s="30"/>
      <c r="U797" s="30"/>
      <c r="V797" s="30"/>
      <c r="W797" s="30"/>
      <c r="X797" s="30"/>
      <c r="Y797" s="30"/>
      <c r="Z797" s="22"/>
      <c r="AA797" s="32"/>
    </row>
    <row r="798" ht="15.75" customHeight="1">
      <c r="O798" s="33"/>
      <c r="P798" s="22"/>
      <c r="Q798" s="30"/>
      <c r="R798" s="30"/>
      <c r="S798" s="30"/>
      <c r="T798" s="30"/>
      <c r="U798" s="30"/>
      <c r="V798" s="30"/>
      <c r="W798" s="30"/>
      <c r="X798" s="30"/>
      <c r="Y798" s="30"/>
      <c r="Z798" s="22"/>
      <c r="AA798" s="32"/>
    </row>
    <row r="799" ht="15.75" customHeight="1">
      <c r="O799" s="33"/>
      <c r="P799" s="22"/>
      <c r="Q799" s="30"/>
      <c r="R799" s="30"/>
      <c r="S799" s="30"/>
      <c r="T799" s="30"/>
      <c r="U799" s="30"/>
      <c r="V799" s="30"/>
      <c r="W799" s="30"/>
      <c r="X799" s="30"/>
      <c r="Y799" s="30"/>
      <c r="Z799" s="22"/>
      <c r="AA799" s="32"/>
    </row>
    <row r="800" ht="15.75" customHeight="1">
      <c r="O800" s="33"/>
      <c r="P800" s="22"/>
      <c r="Q800" s="30"/>
      <c r="R800" s="30"/>
      <c r="S800" s="30"/>
      <c r="T800" s="30"/>
      <c r="U800" s="30"/>
      <c r="V800" s="30"/>
      <c r="W800" s="30"/>
      <c r="X800" s="30"/>
      <c r="Y800" s="30"/>
      <c r="Z800" s="22"/>
      <c r="AA800" s="32"/>
    </row>
    <row r="801" ht="15.75" customHeight="1">
      <c r="O801" s="33"/>
      <c r="P801" s="22"/>
      <c r="Q801" s="30"/>
      <c r="R801" s="30"/>
      <c r="S801" s="30"/>
      <c r="T801" s="30"/>
      <c r="U801" s="30"/>
      <c r="V801" s="30"/>
      <c r="W801" s="30"/>
      <c r="X801" s="30"/>
      <c r="Y801" s="30"/>
      <c r="Z801" s="22"/>
      <c r="AA801" s="32"/>
    </row>
    <row r="802" ht="15.75" customHeight="1">
      <c r="O802" s="33"/>
      <c r="P802" s="22"/>
      <c r="Q802" s="30"/>
      <c r="R802" s="30"/>
      <c r="S802" s="30"/>
      <c r="T802" s="30"/>
      <c r="U802" s="30"/>
      <c r="V802" s="30"/>
      <c r="W802" s="30"/>
      <c r="X802" s="30"/>
      <c r="Y802" s="30"/>
      <c r="Z802" s="22"/>
      <c r="AA802" s="32"/>
    </row>
    <row r="803" ht="15.75" customHeight="1">
      <c r="O803" s="33"/>
      <c r="P803" s="22"/>
      <c r="Q803" s="30"/>
      <c r="R803" s="30"/>
      <c r="S803" s="30"/>
      <c r="T803" s="30"/>
      <c r="U803" s="30"/>
      <c r="V803" s="30"/>
      <c r="W803" s="30"/>
      <c r="X803" s="30"/>
      <c r="Y803" s="30"/>
      <c r="Z803" s="22"/>
      <c r="AA803" s="32"/>
    </row>
    <row r="804" ht="15.75" customHeight="1">
      <c r="O804" s="33"/>
      <c r="P804" s="22"/>
      <c r="Q804" s="30"/>
      <c r="R804" s="30"/>
      <c r="S804" s="30"/>
      <c r="T804" s="30"/>
      <c r="U804" s="30"/>
      <c r="V804" s="30"/>
      <c r="W804" s="30"/>
      <c r="X804" s="30"/>
      <c r="Y804" s="30"/>
      <c r="Z804" s="22"/>
      <c r="AA804" s="32"/>
    </row>
    <row r="805" ht="15.75" customHeight="1">
      <c r="O805" s="33"/>
      <c r="P805" s="22"/>
      <c r="Q805" s="30"/>
      <c r="R805" s="30"/>
      <c r="S805" s="30"/>
      <c r="T805" s="30"/>
      <c r="U805" s="30"/>
      <c r="V805" s="30"/>
      <c r="W805" s="30"/>
      <c r="X805" s="30"/>
      <c r="Y805" s="30"/>
      <c r="Z805" s="22"/>
      <c r="AA805" s="32"/>
    </row>
    <row r="806" ht="15.75" customHeight="1">
      <c r="O806" s="33"/>
      <c r="P806" s="22"/>
      <c r="Q806" s="30"/>
      <c r="R806" s="30"/>
      <c r="S806" s="30"/>
      <c r="T806" s="30"/>
      <c r="U806" s="30"/>
      <c r="V806" s="30"/>
      <c r="W806" s="30"/>
      <c r="X806" s="30"/>
      <c r="Y806" s="30"/>
      <c r="Z806" s="22"/>
      <c r="AA806" s="32"/>
    </row>
    <row r="807" ht="15.75" customHeight="1">
      <c r="O807" s="33"/>
      <c r="P807" s="22"/>
      <c r="Q807" s="30"/>
      <c r="R807" s="30"/>
      <c r="S807" s="30"/>
      <c r="T807" s="30"/>
      <c r="U807" s="30"/>
      <c r="V807" s="30"/>
      <c r="W807" s="30"/>
      <c r="X807" s="30"/>
      <c r="Y807" s="30"/>
      <c r="Z807" s="22"/>
      <c r="AA807" s="32"/>
    </row>
    <row r="808" ht="15.75" customHeight="1">
      <c r="O808" s="33"/>
      <c r="P808" s="22"/>
      <c r="Q808" s="30"/>
      <c r="R808" s="30"/>
      <c r="S808" s="30"/>
      <c r="T808" s="30"/>
      <c r="U808" s="30"/>
      <c r="V808" s="30"/>
      <c r="W808" s="30"/>
      <c r="X808" s="30"/>
      <c r="Y808" s="30"/>
      <c r="Z808" s="22"/>
      <c r="AA808" s="32"/>
    </row>
    <row r="809" ht="15.75" customHeight="1">
      <c r="O809" s="33"/>
      <c r="P809" s="22"/>
      <c r="Q809" s="30"/>
      <c r="R809" s="30"/>
      <c r="S809" s="30"/>
      <c r="T809" s="30"/>
      <c r="U809" s="30"/>
      <c r="V809" s="30"/>
      <c r="W809" s="30"/>
      <c r="X809" s="30"/>
      <c r="Y809" s="30"/>
      <c r="Z809" s="22"/>
      <c r="AA809" s="32"/>
    </row>
    <row r="810" ht="15.75" customHeight="1">
      <c r="O810" s="33"/>
      <c r="P810" s="22"/>
      <c r="Q810" s="30"/>
      <c r="R810" s="30"/>
      <c r="S810" s="30"/>
      <c r="T810" s="30"/>
      <c r="U810" s="30"/>
      <c r="V810" s="30"/>
      <c r="W810" s="30"/>
      <c r="X810" s="30"/>
      <c r="Y810" s="30"/>
      <c r="Z810" s="22"/>
      <c r="AA810" s="32"/>
    </row>
    <row r="811" ht="15.75" customHeight="1">
      <c r="O811" s="33"/>
      <c r="P811" s="22"/>
      <c r="Q811" s="30"/>
      <c r="R811" s="30"/>
      <c r="S811" s="30"/>
      <c r="T811" s="30"/>
      <c r="U811" s="30"/>
      <c r="V811" s="30"/>
      <c r="W811" s="30"/>
      <c r="X811" s="30"/>
      <c r="Y811" s="30"/>
      <c r="Z811" s="22"/>
      <c r="AA811" s="32"/>
    </row>
    <row r="812" ht="15.75" customHeight="1">
      <c r="O812" s="33"/>
      <c r="P812" s="22"/>
      <c r="Q812" s="30"/>
      <c r="R812" s="30"/>
      <c r="S812" s="30"/>
      <c r="T812" s="30"/>
      <c r="U812" s="30"/>
      <c r="V812" s="30"/>
      <c r="W812" s="30"/>
      <c r="X812" s="30"/>
      <c r="Y812" s="30"/>
      <c r="Z812" s="22"/>
      <c r="AA812" s="32"/>
    </row>
    <row r="813" ht="15.75" customHeight="1">
      <c r="O813" s="33"/>
      <c r="P813" s="22"/>
      <c r="Q813" s="30"/>
      <c r="R813" s="30"/>
      <c r="S813" s="30"/>
      <c r="T813" s="30"/>
      <c r="U813" s="30"/>
      <c r="V813" s="30"/>
      <c r="W813" s="30"/>
      <c r="X813" s="30"/>
      <c r="Y813" s="30"/>
      <c r="Z813" s="22"/>
      <c r="AA813" s="32"/>
    </row>
    <row r="814" ht="15.75" customHeight="1">
      <c r="O814" s="33"/>
      <c r="P814" s="22"/>
      <c r="Q814" s="30"/>
      <c r="R814" s="30"/>
      <c r="S814" s="30"/>
      <c r="T814" s="30"/>
      <c r="U814" s="30"/>
      <c r="V814" s="30"/>
      <c r="W814" s="30"/>
      <c r="X814" s="30"/>
      <c r="Y814" s="30"/>
      <c r="Z814" s="22"/>
      <c r="AA814" s="32"/>
    </row>
    <row r="815" ht="15.75" customHeight="1">
      <c r="O815" s="33"/>
      <c r="P815" s="22"/>
      <c r="Q815" s="30"/>
      <c r="R815" s="30"/>
      <c r="S815" s="30"/>
      <c r="T815" s="30"/>
      <c r="U815" s="30"/>
      <c r="V815" s="30"/>
      <c r="W815" s="30"/>
      <c r="X815" s="30"/>
      <c r="Y815" s="30"/>
      <c r="Z815" s="22"/>
      <c r="AA815" s="32"/>
    </row>
    <row r="816" ht="15.75" customHeight="1">
      <c r="O816" s="33"/>
      <c r="P816" s="22"/>
      <c r="Q816" s="30"/>
      <c r="R816" s="30"/>
      <c r="S816" s="30"/>
      <c r="T816" s="30"/>
      <c r="U816" s="30"/>
      <c r="V816" s="30"/>
      <c r="W816" s="30"/>
      <c r="X816" s="30"/>
      <c r="Y816" s="30"/>
      <c r="Z816" s="22"/>
      <c r="AA816" s="32"/>
    </row>
    <row r="817" ht="15.75" customHeight="1">
      <c r="O817" s="33"/>
      <c r="P817" s="22"/>
      <c r="Q817" s="30"/>
      <c r="R817" s="30"/>
      <c r="S817" s="30"/>
      <c r="T817" s="30"/>
      <c r="U817" s="30"/>
      <c r="V817" s="30"/>
      <c r="W817" s="30"/>
      <c r="X817" s="30"/>
      <c r="Y817" s="30"/>
      <c r="Z817" s="22"/>
      <c r="AA817" s="32"/>
    </row>
    <row r="818" ht="15.75" customHeight="1">
      <c r="O818" s="33"/>
      <c r="P818" s="22"/>
      <c r="Q818" s="30"/>
      <c r="R818" s="30"/>
      <c r="S818" s="30"/>
      <c r="T818" s="30"/>
      <c r="U818" s="30"/>
      <c r="V818" s="30"/>
      <c r="W818" s="30"/>
      <c r="X818" s="30"/>
      <c r="Y818" s="30"/>
      <c r="Z818" s="22"/>
      <c r="AA818" s="32"/>
    </row>
    <row r="819" ht="15.75" customHeight="1">
      <c r="O819" s="33"/>
      <c r="P819" s="22"/>
      <c r="Q819" s="30"/>
      <c r="R819" s="30"/>
      <c r="S819" s="30"/>
      <c r="T819" s="30"/>
      <c r="U819" s="30"/>
      <c r="V819" s="30"/>
      <c r="W819" s="30"/>
      <c r="X819" s="30"/>
      <c r="Y819" s="30"/>
      <c r="Z819" s="22"/>
      <c r="AA819" s="32"/>
    </row>
    <row r="820" ht="15.75" customHeight="1">
      <c r="O820" s="33"/>
      <c r="P820" s="22"/>
      <c r="Q820" s="30"/>
      <c r="R820" s="30"/>
      <c r="S820" s="30"/>
      <c r="T820" s="30"/>
      <c r="U820" s="30"/>
      <c r="V820" s="30"/>
      <c r="W820" s="30"/>
      <c r="X820" s="30"/>
      <c r="Y820" s="30"/>
      <c r="Z820" s="22"/>
      <c r="AA820" s="32"/>
    </row>
    <row r="821" ht="15.75" customHeight="1">
      <c r="O821" s="33"/>
      <c r="P821" s="22"/>
      <c r="Q821" s="30"/>
      <c r="R821" s="30"/>
      <c r="S821" s="30"/>
      <c r="T821" s="30"/>
      <c r="U821" s="30"/>
      <c r="V821" s="30"/>
      <c r="W821" s="30"/>
      <c r="X821" s="30"/>
      <c r="Y821" s="30"/>
      <c r="Z821" s="22"/>
      <c r="AA821" s="32"/>
    </row>
    <row r="822" ht="15.75" customHeight="1">
      <c r="O822" s="33"/>
      <c r="P822" s="22"/>
      <c r="Q822" s="30"/>
      <c r="R822" s="30"/>
      <c r="S822" s="30"/>
      <c r="T822" s="30"/>
      <c r="U822" s="30"/>
      <c r="V822" s="30"/>
      <c r="W822" s="30"/>
      <c r="X822" s="30"/>
      <c r="Y822" s="30"/>
      <c r="Z822" s="22"/>
      <c r="AA822" s="32"/>
    </row>
    <row r="823" ht="15.75" customHeight="1">
      <c r="O823" s="33"/>
      <c r="P823" s="22"/>
      <c r="Q823" s="30"/>
      <c r="R823" s="30"/>
      <c r="S823" s="30"/>
      <c r="T823" s="30"/>
      <c r="U823" s="30"/>
      <c r="V823" s="30"/>
      <c r="W823" s="30"/>
      <c r="X823" s="30"/>
      <c r="Y823" s="30"/>
      <c r="Z823" s="22"/>
      <c r="AA823" s="32"/>
    </row>
    <row r="824" ht="15.75" customHeight="1">
      <c r="O824" s="33"/>
      <c r="P824" s="22"/>
      <c r="Q824" s="30"/>
      <c r="R824" s="30"/>
      <c r="S824" s="30"/>
      <c r="T824" s="30"/>
      <c r="U824" s="30"/>
      <c r="V824" s="30"/>
      <c r="W824" s="30"/>
      <c r="X824" s="30"/>
      <c r="Y824" s="30"/>
      <c r="Z824" s="22"/>
      <c r="AA824" s="32"/>
    </row>
    <row r="825" ht="15.75" customHeight="1">
      <c r="O825" s="33"/>
      <c r="P825" s="22"/>
      <c r="Q825" s="30"/>
      <c r="R825" s="30"/>
      <c r="S825" s="30"/>
      <c r="T825" s="30"/>
      <c r="U825" s="30"/>
      <c r="V825" s="30"/>
      <c r="W825" s="30"/>
      <c r="X825" s="30"/>
      <c r="Y825" s="30"/>
      <c r="Z825" s="22"/>
      <c r="AA825" s="32"/>
    </row>
    <row r="826" ht="15.75" customHeight="1">
      <c r="O826" s="33"/>
      <c r="P826" s="22"/>
      <c r="Q826" s="30"/>
      <c r="R826" s="30"/>
      <c r="S826" s="30"/>
      <c r="T826" s="30"/>
      <c r="U826" s="30"/>
      <c r="V826" s="30"/>
      <c r="W826" s="30"/>
      <c r="X826" s="30"/>
      <c r="Y826" s="30"/>
      <c r="Z826" s="22"/>
      <c r="AA826" s="32"/>
    </row>
    <row r="827" ht="15.75" customHeight="1">
      <c r="O827" s="33"/>
      <c r="P827" s="22"/>
      <c r="Q827" s="30"/>
      <c r="R827" s="30"/>
      <c r="S827" s="30"/>
      <c r="T827" s="30"/>
      <c r="U827" s="30"/>
      <c r="V827" s="30"/>
      <c r="W827" s="30"/>
      <c r="X827" s="30"/>
      <c r="Y827" s="30"/>
      <c r="Z827" s="22"/>
      <c r="AA827" s="32"/>
    </row>
    <row r="828" ht="15.75" customHeight="1">
      <c r="O828" s="33"/>
      <c r="P828" s="22"/>
      <c r="Q828" s="30"/>
      <c r="R828" s="30"/>
      <c r="S828" s="30"/>
      <c r="T828" s="30"/>
      <c r="U828" s="30"/>
      <c r="V828" s="30"/>
      <c r="W828" s="30"/>
      <c r="X828" s="30"/>
      <c r="Y828" s="30"/>
      <c r="Z828" s="22"/>
      <c r="AA828" s="32"/>
    </row>
    <row r="829" ht="15.75" customHeight="1">
      <c r="O829" s="33"/>
      <c r="P829" s="22"/>
      <c r="Q829" s="30"/>
      <c r="R829" s="30"/>
      <c r="S829" s="30"/>
      <c r="T829" s="30"/>
      <c r="U829" s="30"/>
      <c r="V829" s="30"/>
      <c r="W829" s="30"/>
      <c r="X829" s="30"/>
      <c r="Y829" s="30"/>
      <c r="Z829" s="22"/>
      <c r="AA829" s="32"/>
    </row>
    <row r="830" ht="15.75" customHeight="1">
      <c r="O830" s="33"/>
      <c r="P830" s="22"/>
      <c r="Q830" s="30"/>
      <c r="R830" s="30"/>
      <c r="S830" s="30"/>
      <c r="T830" s="30"/>
      <c r="U830" s="30"/>
      <c r="V830" s="30"/>
      <c r="W830" s="30"/>
      <c r="X830" s="30"/>
      <c r="Y830" s="30"/>
      <c r="Z830" s="22"/>
      <c r="AA830" s="32"/>
    </row>
    <row r="831" ht="15.75" customHeight="1">
      <c r="O831" s="33"/>
      <c r="P831" s="22"/>
      <c r="Q831" s="30"/>
      <c r="R831" s="30"/>
      <c r="S831" s="30"/>
      <c r="T831" s="30"/>
      <c r="U831" s="30"/>
      <c r="V831" s="30"/>
      <c r="W831" s="30"/>
      <c r="X831" s="30"/>
      <c r="Y831" s="30"/>
      <c r="Z831" s="22"/>
      <c r="AA831" s="32"/>
    </row>
    <row r="832" ht="15.75" customHeight="1">
      <c r="O832" s="33"/>
      <c r="P832" s="22"/>
      <c r="Q832" s="30"/>
      <c r="R832" s="30"/>
      <c r="S832" s="30"/>
      <c r="T832" s="30"/>
      <c r="U832" s="30"/>
      <c r="V832" s="30"/>
      <c r="W832" s="30"/>
      <c r="X832" s="30"/>
      <c r="Y832" s="30"/>
      <c r="Z832" s="22"/>
      <c r="AA832" s="32"/>
    </row>
    <row r="833" ht="15.75" customHeight="1">
      <c r="O833" s="33"/>
      <c r="P833" s="22"/>
      <c r="Q833" s="30"/>
      <c r="R833" s="30"/>
      <c r="S833" s="30"/>
      <c r="T833" s="30"/>
      <c r="U833" s="30"/>
      <c r="V833" s="30"/>
      <c r="W833" s="30"/>
      <c r="X833" s="30"/>
      <c r="Y833" s="30"/>
      <c r="Z833" s="22"/>
      <c r="AA833" s="32"/>
    </row>
    <row r="834" ht="15.75" customHeight="1">
      <c r="O834" s="33"/>
      <c r="P834" s="22"/>
      <c r="Q834" s="30"/>
      <c r="R834" s="30"/>
      <c r="S834" s="30"/>
      <c r="T834" s="30"/>
      <c r="U834" s="30"/>
      <c r="V834" s="30"/>
      <c r="W834" s="30"/>
      <c r="X834" s="30"/>
      <c r="Y834" s="30"/>
      <c r="Z834" s="22"/>
      <c r="AA834" s="32"/>
    </row>
    <row r="835" ht="15.75" customHeight="1">
      <c r="O835" s="33"/>
      <c r="P835" s="22"/>
      <c r="Q835" s="30"/>
      <c r="R835" s="30"/>
      <c r="S835" s="30"/>
      <c r="T835" s="30"/>
      <c r="U835" s="30"/>
      <c r="V835" s="30"/>
      <c r="W835" s="30"/>
      <c r="X835" s="30"/>
      <c r="Y835" s="30"/>
      <c r="Z835" s="22"/>
      <c r="AA835" s="32"/>
    </row>
    <row r="836" ht="15.75" customHeight="1">
      <c r="O836" s="33"/>
      <c r="P836" s="22"/>
      <c r="Q836" s="30"/>
      <c r="R836" s="30"/>
      <c r="S836" s="30"/>
      <c r="T836" s="30"/>
      <c r="U836" s="30"/>
      <c r="V836" s="30"/>
      <c r="W836" s="30"/>
      <c r="X836" s="30"/>
      <c r="Y836" s="30"/>
      <c r="Z836" s="22"/>
      <c r="AA836" s="32"/>
    </row>
    <row r="837" ht="15.75" customHeight="1">
      <c r="O837" s="33"/>
      <c r="P837" s="22"/>
      <c r="Q837" s="30"/>
      <c r="R837" s="30"/>
      <c r="S837" s="30"/>
      <c r="T837" s="30"/>
      <c r="U837" s="30"/>
      <c r="V837" s="30"/>
      <c r="W837" s="30"/>
      <c r="X837" s="30"/>
      <c r="Y837" s="30"/>
      <c r="Z837" s="22"/>
      <c r="AA837" s="32"/>
    </row>
    <row r="838" ht="15.75" customHeight="1">
      <c r="O838" s="33"/>
      <c r="P838" s="22"/>
      <c r="Q838" s="30"/>
      <c r="R838" s="30"/>
      <c r="S838" s="30"/>
      <c r="T838" s="30"/>
      <c r="U838" s="30"/>
      <c r="V838" s="30"/>
      <c r="W838" s="30"/>
      <c r="X838" s="30"/>
      <c r="Y838" s="30"/>
      <c r="Z838" s="22"/>
      <c r="AA838" s="32"/>
    </row>
    <row r="839" ht="15.75" customHeight="1">
      <c r="O839" s="33"/>
      <c r="P839" s="22"/>
      <c r="Q839" s="30"/>
      <c r="R839" s="30"/>
      <c r="S839" s="30"/>
      <c r="T839" s="30"/>
      <c r="U839" s="30"/>
      <c r="V839" s="30"/>
      <c r="W839" s="30"/>
      <c r="X839" s="30"/>
      <c r="Y839" s="30"/>
      <c r="Z839" s="22"/>
      <c r="AA839" s="32"/>
    </row>
    <row r="840" ht="15.75" customHeight="1">
      <c r="O840" s="33"/>
      <c r="P840" s="22"/>
      <c r="Q840" s="30"/>
      <c r="R840" s="30"/>
      <c r="S840" s="30"/>
      <c r="T840" s="30"/>
      <c r="U840" s="30"/>
      <c r="V840" s="30"/>
      <c r="W840" s="30"/>
      <c r="X840" s="30"/>
      <c r="Y840" s="30"/>
      <c r="Z840" s="22"/>
      <c r="AA840" s="32"/>
    </row>
    <row r="841" ht="15.75" customHeight="1">
      <c r="O841" s="33"/>
      <c r="P841" s="22"/>
      <c r="Q841" s="30"/>
      <c r="R841" s="30"/>
      <c r="S841" s="30"/>
      <c r="T841" s="30"/>
      <c r="U841" s="30"/>
      <c r="V841" s="30"/>
      <c r="W841" s="30"/>
      <c r="X841" s="30"/>
      <c r="Y841" s="30"/>
      <c r="Z841" s="22"/>
      <c r="AA841" s="32"/>
    </row>
    <row r="842" ht="15.75" customHeight="1">
      <c r="O842" s="33"/>
      <c r="P842" s="22"/>
      <c r="Q842" s="30"/>
      <c r="R842" s="30"/>
      <c r="S842" s="30"/>
      <c r="T842" s="30"/>
      <c r="U842" s="30"/>
      <c r="V842" s="30"/>
      <c r="W842" s="30"/>
      <c r="X842" s="30"/>
      <c r="Y842" s="30"/>
      <c r="Z842" s="22"/>
      <c r="AA842" s="32"/>
    </row>
    <row r="843" ht="15.75" customHeight="1">
      <c r="O843" s="33"/>
      <c r="P843" s="22"/>
      <c r="Q843" s="30"/>
      <c r="R843" s="30"/>
      <c r="S843" s="30"/>
      <c r="T843" s="30"/>
      <c r="U843" s="30"/>
      <c r="V843" s="30"/>
      <c r="W843" s="30"/>
      <c r="X843" s="30"/>
      <c r="Y843" s="30"/>
      <c r="Z843" s="22"/>
      <c r="AA843" s="32"/>
    </row>
    <row r="844" ht="15.75" customHeight="1">
      <c r="O844" s="33"/>
      <c r="P844" s="22"/>
      <c r="Q844" s="30"/>
      <c r="R844" s="30"/>
      <c r="S844" s="30"/>
      <c r="T844" s="30"/>
      <c r="U844" s="30"/>
      <c r="V844" s="30"/>
      <c r="W844" s="30"/>
      <c r="X844" s="30"/>
      <c r="Y844" s="30"/>
      <c r="Z844" s="22"/>
      <c r="AA844" s="32"/>
    </row>
    <row r="845" ht="15.75" customHeight="1">
      <c r="O845" s="33"/>
      <c r="P845" s="22"/>
      <c r="Q845" s="30"/>
      <c r="R845" s="30"/>
      <c r="S845" s="30"/>
      <c r="T845" s="30"/>
      <c r="U845" s="30"/>
      <c r="V845" s="30"/>
      <c r="W845" s="30"/>
      <c r="X845" s="30"/>
      <c r="Y845" s="30"/>
      <c r="Z845" s="22"/>
      <c r="AA845" s="32"/>
    </row>
    <row r="846" ht="15.75" customHeight="1">
      <c r="O846" s="33"/>
      <c r="P846" s="22"/>
      <c r="Q846" s="30"/>
      <c r="R846" s="30"/>
      <c r="S846" s="30"/>
      <c r="T846" s="30"/>
      <c r="U846" s="30"/>
      <c r="V846" s="30"/>
      <c r="W846" s="30"/>
      <c r="X846" s="30"/>
      <c r="Y846" s="30"/>
      <c r="Z846" s="22"/>
      <c r="AA846" s="32"/>
    </row>
    <row r="847" ht="15.75" customHeight="1">
      <c r="O847" s="33"/>
      <c r="P847" s="22"/>
      <c r="Q847" s="30"/>
      <c r="R847" s="30"/>
      <c r="S847" s="30"/>
      <c r="T847" s="30"/>
      <c r="U847" s="30"/>
      <c r="V847" s="30"/>
      <c r="W847" s="30"/>
      <c r="X847" s="30"/>
      <c r="Y847" s="30"/>
      <c r="Z847" s="22"/>
      <c r="AA847" s="32"/>
    </row>
    <row r="848" ht="15.75" customHeight="1">
      <c r="O848" s="33"/>
      <c r="P848" s="22"/>
      <c r="Q848" s="30"/>
      <c r="R848" s="30"/>
      <c r="S848" s="30"/>
      <c r="T848" s="30"/>
      <c r="U848" s="30"/>
      <c r="V848" s="30"/>
      <c r="W848" s="30"/>
      <c r="X848" s="30"/>
      <c r="Y848" s="30"/>
      <c r="Z848" s="22"/>
      <c r="AA848" s="32"/>
    </row>
    <row r="849" ht="15.75" customHeight="1">
      <c r="O849" s="33"/>
      <c r="P849" s="22"/>
      <c r="Q849" s="30"/>
      <c r="R849" s="30"/>
      <c r="S849" s="30"/>
      <c r="T849" s="30"/>
      <c r="U849" s="30"/>
      <c r="V849" s="30"/>
      <c r="W849" s="30"/>
      <c r="X849" s="30"/>
      <c r="Y849" s="30"/>
      <c r="Z849" s="22"/>
      <c r="AA849" s="32"/>
    </row>
    <row r="850" ht="15.75" customHeight="1">
      <c r="O850" s="33"/>
      <c r="P850" s="22"/>
      <c r="Q850" s="30"/>
      <c r="R850" s="30"/>
      <c r="S850" s="30"/>
      <c r="T850" s="30"/>
      <c r="U850" s="30"/>
      <c r="V850" s="30"/>
      <c r="W850" s="30"/>
      <c r="X850" s="30"/>
      <c r="Y850" s="30"/>
      <c r="Z850" s="22"/>
      <c r="AA850" s="32"/>
    </row>
    <row r="851" ht="15.75" customHeight="1">
      <c r="O851" s="33"/>
      <c r="P851" s="22"/>
      <c r="Q851" s="30"/>
      <c r="R851" s="30"/>
      <c r="S851" s="30"/>
      <c r="T851" s="30"/>
      <c r="U851" s="30"/>
      <c r="V851" s="30"/>
      <c r="W851" s="30"/>
      <c r="X851" s="30"/>
      <c r="Y851" s="30"/>
      <c r="Z851" s="22"/>
      <c r="AA851" s="32"/>
    </row>
    <row r="852" ht="15.75" customHeight="1">
      <c r="O852" s="33"/>
      <c r="P852" s="22"/>
      <c r="Q852" s="30"/>
      <c r="R852" s="30"/>
      <c r="S852" s="30"/>
      <c r="T852" s="30"/>
      <c r="U852" s="30"/>
      <c r="V852" s="30"/>
      <c r="W852" s="30"/>
      <c r="X852" s="30"/>
      <c r="Y852" s="30"/>
      <c r="Z852" s="22"/>
      <c r="AA852" s="32"/>
    </row>
    <row r="853" ht="15.75" customHeight="1">
      <c r="O853" s="33"/>
      <c r="P853" s="22"/>
      <c r="Q853" s="30"/>
      <c r="R853" s="30"/>
      <c r="S853" s="30"/>
      <c r="T853" s="30"/>
      <c r="U853" s="30"/>
      <c r="V853" s="30"/>
      <c r="W853" s="30"/>
      <c r="X853" s="30"/>
      <c r="Y853" s="30"/>
      <c r="Z853" s="22"/>
      <c r="AA853" s="32"/>
    </row>
    <row r="854" ht="15.75" customHeight="1">
      <c r="O854" s="33"/>
      <c r="P854" s="22"/>
      <c r="Q854" s="30"/>
      <c r="R854" s="30"/>
      <c r="S854" s="30"/>
      <c r="T854" s="30"/>
      <c r="U854" s="30"/>
      <c r="V854" s="30"/>
      <c r="W854" s="30"/>
      <c r="X854" s="30"/>
      <c r="Y854" s="30"/>
      <c r="Z854" s="22"/>
      <c r="AA854" s="32"/>
    </row>
    <row r="855" ht="15.75" customHeight="1">
      <c r="O855" s="33"/>
      <c r="P855" s="22"/>
      <c r="Q855" s="30"/>
      <c r="R855" s="30"/>
      <c r="S855" s="30"/>
      <c r="T855" s="30"/>
      <c r="U855" s="30"/>
      <c r="V855" s="30"/>
      <c r="W855" s="30"/>
      <c r="X855" s="30"/>
      <c r="Y855" s="30"/>
      <c r="Z855" s="22"/>
      <c r="AA855" s="32"/>
    </row>
    <row r="856" ht="15.75" customHeight="1">
      <c r="O856" s="33"/>
      <c r="P856" s="22"/>
      <c r="Q856" s="30"/>
      <c r="R856" s="30"/>
      <c r="S856" s="30"/>
      <c r="T856" s="30"/>
      <c r="U856" s="30"/>
      <c r="V856" s="30"/>
      <c r="W856" s="30"/>
      <c r="X856" s="30"/>
      <c r="Y856" s="30"/>
      <c r="Z856" s="22"/>
      <c r="AA856" s="32"/>
    </row>
    <row r="857" ht="15.75" customHeight="1">
      <c r="O857" s="33"/>
      <c r="P857" s="22"/>
      <c r="Q857" s="30"/>
      <c r="R857" s="30"/>
      <c r="S857" s="30"/>
      <c r="T857" s="30"/>
      <c r="U857" s="30"/>
      <c r="V857" s="30"/>
      <c r="W857" s="30"/>
      <c r="X857" s="30"/>
      <c r="Y857" s="30"/>
      <c r="Z857" s="22"/>
      <c r="AA857" s="32"/>
    </row>
    <row r="858" ht="15.75" customHeight="1">
      <c r="O858" s="33"/>
      <c r="P858" s="22"/>
      <c r="Q858" s="30"/>
      <c r="R858" s="30"/>
      <c r="S858" s="30"/>
      <c r="T858" s="30"/>
      <c r="U858" s="30"/>
      <c r="V858" s="30"/>
      <c r="W858" s="30"/>
      <c r="X858" s="30"/>
      <c r="Y858" s="30"/>
      <c r="Z858" s="22"/>
      <c r="AA858" s="32"/>
    </row>
    <row r="859" ht="15.75" customHeight="1">
      <c r="O859" s="33"/>
      <c r="P859" s="22"/>
      <c r="Q859" s="30"/>
      <c r="R859" s="30"/>
      <c r="S859" s="30"/>
      <c r="T859" s="30"/>
      <c r="U859" s="30"/>
      <c r="V859" s="30"/>
      <c r="W859" s="30"/>
      <c r="X859" s="30"/>
      <c r="Y859" s="30"/>
      <c r="Z859" s="22"/>
      <c r="AA859" s="32"/>
    </row>
    <row r="860" ht="15.75" customHeight="1">
      <c r="O860" s="33"/>
      <c r="P860" s="22"/>
      <c r="Q860" s="30"/>
      <c r="R860" s="30"/>
      <c r="S860" s="30"/>
      <c r="T860" s="30"/>
      <c r="U860" s="30"/>
      <c r="V860" s="30"/>
      <c r="W860" s="30"/>
      <c r="X860" s="30"/>
      <c r="Y860" s="30"/>
      <c r="Z860" s="22"/>
      <c r="AA860" s="32"/>
    </row>
    <row r="861" ht="15.75" customHeight="1">
      <c r="O861" s="33"/>
      <c r="P861" s="22"/>
      <c r="Q861" s="30"/>
      <c r="R861" s="30"/>
      <c r="S861" s="30"/>
      <c r="T861" s="30"/>
      <c r="U861" s="30"/>
      <c r="V861" s="30"/>
      <c r="W861" s="30"/>
      <c r="X861" s="30"/>
      <c r="Y861" s="30"/>
      <c r="Z861" s="22"/>
      <c r="AA861" s="32"/>
    </row>
    <row r="862" ht="15.75" customHeight="1">
      <c r="O862" s="33"/>
      <c r="P862" s="22"/>
      <c r="Q862" s="30"/>
      <c r="R862" s="30"/>
      <c r="S862" s="30"/>
      <c r="T862" s="30"/>
      <c r="U862" s="30"/>
      <c r="V862" s="30"/>
      <c r="W862" s="30"/>
      <c r="X862" s="30"/>
      <c r="Y862" s="30"/>
      <c r="Z862" s="22"/>
      <c r="AA862" s="32"/>
    </row>
    <row r="863" ht="15.75" customHeight="1">
      <c r="O863" s="33"/>
      <c r="P863" s="22"/>
      <c r="Q863" s="30"/>
      <c r="R863" s="30"/>
      <c r="S863" s="30"/>
      <c r="T863" s="30"/>
      <c r="U863" s="30"/>
      <c r="V863" s="30"/>
      <c r="W863" s="30"/>
      <c r="X863" s="30"/>
      <c r="Y863" s="30"/>
      <c r="Z863" s="22"/>
      <c r="AA863" s="32"/>
    </row>
    <row r="864" ht="15.75" customHeight="1">
      <c r="O864" s="33"/>
      <c r="P864" s="22"/>
      <c r="Q864" s="30"/>
      <c r="R864" s="30"/>
      <c r="S864" s="30"/>
      <c r="T864" s="30"/>
      <c r="U864" s="30"/>
      <c r="V864" s="30"/>
      <c r="W864" s="30"/>
      <c r="X864" s="30"/>
      <c r="Y864" s="30"/>
      <c r="Z864" s="22"/>
      <c r="AA864" s="32"/>
    </row>
    <row r="865" ht="15.75" customHeight="1">
      <c r="O865" s="33"/>
      <c r="P865" s="22"/>
      <c r="Q865" s="30"/>
      <c r="R865" s="30"/>
      <c r="S865" s="30"/>
      <c r="T865" s="30"/>
      <c r="U865" s="30"/>
      <c r="V865" s="30"/>
      <c r="W865" s="30"/>
      <c r="X865" s="30"/>
      <c r="Y865" s="30"/>
      <c r="Z865" s="22"/>
      <c r="AA865" s="32"/>
    </row>
    <row r="866" ht="15.75" customHeight="1">
      <c r="O866" s="33"/>
      <c r="P866" s="22"/>
      <c r="Q866" s="30"/>
      <c r="R866" s="30"/>
      <c r="S866" s="30"/>
      <c r="T866" s="30"/>
      <c r="U866" s="30"/>
      <c r="V866" s="30"/>
      <c r="W866" s="30"/>
      <c r="X866" s="30"/>
      <c r="Y866" s="30"/>
      <c r="Z866" s="22"/>
      <c r="AA866" s="32"/>
    </row>
    <row r="867" ht="15.75" customHeight="1">
      <c r="O867" s="33"/>
      <c r="P867" s="22"/>
      <c r="Q867" s="30"/>
      <c r="R867" s="30"/>
      <c r="S867" s="30"/>
      <c r="T867" s="30"/>
      <c r="U867" s="30"/>
      <c r="V867" s="30"/>
      <c r="W867" s="30"/>
      <c r="X867" s="30"/>
      <c r="Y867" s="30"/>
      <c r="Z867" s="22"/>
      <c r="AA867" s="32"/>
    </row>
    <row r="868" ht="15.75" customHeight="1">
      <c r="O868" s="33"/>
      <c r="P868" s="22"/>
      <c r="Q868" s="30"/>
      <c r="R868" s="30"/>
      <c r="S868" s="30"/>
      <c r="T868" s="30"/>
      <c r="U868" s="30"/>
      <c r="V868" s="30"/>
      <c r="W868" s="30"/>
      <c r="X868" s="30"/>
      <c r="Y868" s="30"/>
      <c r="Z868" s="22"/>
      <c r="AA868" s="32"/>
    </row>
    <row r="869" ht="15.75" customHeight="1">
      <c r="O869" s="33"/>
      <c r="P869" s="22"/>
      <c r="Q869" s="30"/>
      <c r="R869" s="30"/>
      <c r="S869" s="30"/>
      <c r="T869" s="30"/>
      <c r="U869" s="30"/>
      <c r="V869" s="30"/>
      <c r="W869" s="30"/>
      <c r="X869" s="30"/>
      <c r="Y869" s="30"/>
      <c r="Z869" s="22"/>
      <c r="AA869" s="32"/>
    </row>
    <row r="870" ht="15.75" customHeight="1">
      <c r="O870" s="33"/>
      <c r="P870" s="22"/>
      <c r="Q870" s="30"/>
      <c r="R870" s="30"/>
      <c r="S870" s="30"/>
      <c r="T870" s="30"/>
      <c r="U870" s="30"/>
      <c r="V870" s="30"/>
      <c r="W870" s="30"/>
      <c r="X870" s="30"/>
      <c r="Y870" s="30"/>
      <c r="Z870" s="22"/>
      <c r="AA870" s="32"/>
    </row>
    <row r="871" ht="15.75" customHeight="1">
      <c r="O871" s="33"/>
      <c r="P871" s="22"/>
      <c r="Q871" s="30"/>
      <c r="R871" s="30"/>
      <c r="S871" s="30"/>
      <c r="T871" s="30"/>
      <c r="U871" s="30"/>
      <c r="V871" s="30"/>
      <c r="W871" s="30"/>
      <c r="X871" s="30"/>
      <c r="Y871" s="30"/>
      <c r="Z871" s="22"/>
      <c r="AA871" s="32"/>
    </row>
    <row r="872" ht="15.75" customHeight="1">
      <c r="O872" s="33"/>
      <c r="P872" s="22"/>
      <c r="Q872" s="30"/>
      <c r="R872" s="30"/>
      <c r="S872" s="30"/>
      <c r="T872" s="30"/>
      <c r="U872" s="30"/>
      <c r="V872" s="30"/>
      <c r="W872" s="30"/>
      <c r="X872" s="30"/>
      <c r="Y872" s="30"/>
      <c r="Z872" s="22"/>
      <c r="AA872" s="32"/>
    </row>
    <row r="873" ht="15.75" customHeight="1">
      <c r="O873" s="33"/>
      <c r="P873" s="22"/>
      <c r="Q873" s="30"/>
      <c r="R873" s="30"/>
      <c r="S873" s="30"/>
      <c r="T873" s="30"/>
      <c r="U873" s="30"/>
      <c r="V873" s="30"/>
      <c r="W873" s="30"/>
      <c r="X873" s="30"/>
      <c r="Y873" s="30"/>
      <c r="Z873" s="22"/>
      <c r="AA873" s="32"/>
    </row>
    <row r="874" ht="15.75" customHeight="1">
      <c r="O874" s="33"/>
      <c r="P874" s="22"/>
      <c r="Q874" s="30"/>
      <c r="R874" s="30"/>
      <c r="S874" s="30"/>
      <c r="T874" s="30"/>
      <c r="U874" s="30"/>
      <c r="V874" s="30"/>
      <c r="W874" s="30"/>
      <c r="X874" s="30"/>
      <c r="Y874" s="30"/>
      <c r="Z874" s="22"/>
      <c r="AA874" s="32"/>
    </row>
    <row r="875" ht="15.75" customHeight="1">
      <c r="O875" s="33"/>
      <c r="P875" s="22"/>
      <c r="Q875" s="30"/>
      <c r="R875" s="30"/>
      <c r="S875" s="30"/>
      <c r="T875" s="30"/>
      <c r="U875" s="30"/>
      <c r="V875" s="30"/>
      <c r="W875" s="30"/>
      <c r="X875" s="30"/>
      <c r="Y875" s="30"/>
      <c r="Z875" s="22"/>
      <c r="AA875" s="32"/>
    </row>
    <row r="876" ht="15.75" customHeight="1">
      <c r="O876" s="33"/>
      <c r="P876" s="22"/>
      <c r="Q876" s="30"/>
      <c r="R876" s="30"/>
      <c r="S876" s="30"/>
      <c r="T876" s="30"/>
      <c r="U876" s="30"/>
      <c r="V876" s="30"/>
      <c r="W876" s="30"/>
      <c r="X876" s="30"/>
      <c r="Y876" s="30"/>
      <c r="Z876" s="22"/>
      <c r="AA876" s="32"/>
    </row>
    <row r="877" ht="15.75" customHeight="1">
      <c r="O877" s="33"/>
      <c r="P877" s="22"/>
      <c r="Q877" s="30"/>
      <c r="R877" s="30"/>
      <c r="S877" s="30"/>
      <c r="T877" s="30"/>
      <c r="U877" s="30"/>
      <c r="V877" s="30"/>
      <c r="W877" s="30"/>
      <c r="X877" s="30"/>
      <c r="Y877" s="30"/>
      <c r="Z877" s="22"/>
      <c r="AA877" s="32"/>
    </row>
    <row r="878" ht="15.75" customHeight="1">
      <c r="O878" s="33"/>
      <c r="P878" s="22"/>
      <c r="Q878" s="30"/>
      <c r="R878" s="30"/>
      <c r="S878" s="30"/>
      <c r="T878" s="30"/>
      <c r="U878" s="30"/>
      <c r="V878" s="30"/>
      <c r="W878" s="30"/>
      <c r="X878" s="30"/>
      <c r="Y878" s="30"/>
      <c r="Z878" s="22"/>
      <c r="AA878" s="32"/>
    </row>
    <row r="879" ht="15.75" customHeight="1">
      <c r="O879" s="33"/>
      <c r="P879" s="22"/>
      <c r="Q879" s="30"/>
      <c r="R879" s="30"/>
      <c r="S879" s="30"/>
      <c r="T879" s="30"/>
      <c r="U879" s="30"/>
      <c r="V879" s="30"/>
      <c r="W879" s="30"/>
      <c r="X879" s="30"/>
      <c r="Y879" s="30"/>
      <c r="Z879" s="22"/>
      <c r="AA879" s="32"/>
    </row>
    <row r="880" ht="15.75" customHeight="1">
      <c r="O880" s="33"/>
      <c r="P880" s="22"/>
      <c r="Q880" s="30"/>
      <c r="R880" s="30"/>
      <c r="S880" s="30"/>
      <c r="T880" s="30"/>
      <c r="U880" s="30"/>
      <c r="V880" s="30"/>
      <c r="W880" s="30"/>
      <c r="X880" s="30"/>
      <c r="Y880" s="30"/>
      <c r="Z880" s="22"/>
      <c r="AA880" s="32"/>
    </row>
    <row r="881" ht="15.75" customHeight="1">
      <c r="O881" s="33"/>
      <c r="P881" s="22"/>
      <c r="Q881" s="30"/>
      <c r="R881" s="30"/>
      <c r="S881" s="30"/>
      <c r="T881" s="30"/>
      <c r="U881" s="30"/>
      <c r="V881" s="30"/>
      <c r="W881" s="30"/>
      <c r="X881" s="30"/>
      <c r="Y881" s="30"/>
      <c r="Z881" s="22"/>
      <c r="AA881" s="32"/>
    </row>
    <row r="882" ht="15.75" customHeight="1">
      <c r="O882" s="33"/>
      <c r="P882" s="22"/>
      <c r="Q882" s="30"/>
      <c r="R882" s="30"/>
      <c r="S882" s="30"/>
      <c r="T882" s="30"/>
      <c r="U882" s="30"/>
      <c r="V882" s="30"/>
      <c r="W882" s="30"/>
      <c r="X882" s="30"/>
      <c r="Y882" s="30"/>
      <c r="Z882" s="22"/>
      <c r="AA882" s="32"/>
    </row>
    <row r="883" ht="15.75" customHeight="1">
      <c r="O883" s="33"/>
      <c r="P883" s="22"/>
      <c r="Q883" s="30"/>
      <c r="R883" s="30"/>
      <c r="S883" s="30"/>
      <c r="T883" s="30"/>
      <c r="U883" s="30"/>
      <c r="V883" s="30"/>
      <c r="W883" s="30"/>
      <c r="X883" s="30"/>
      <c r="Y883" s="30"/>
      <c r="Z883" s="22"/>
      <c r="AA883" s="32"/>
    </row>
    <row r="884" ht="15.75" customHeight="1">
      <c r="O884" s="33"/>
      <c r="P884" s="22"/>
      <c r="Q884" s="30"/>
      <c r="R884" s="30"/>
      <c r="S884" s="30"/>
      <c r="T884" s="30"/>
      <c r="U884" s="30"/>
      <c r="V884" s="30"/>
      <c r="W884" s="30"/>
      <c r="X884" s="30"/>
      <c r="Y884" s="30"/>
      <c r="Z884" s="22"/>
      <c r="AA884" s="32"/>
    </row>
    <row r="885" ht="15.75" customHeight="1">
      <c r="O885" s="33"/>
      <c r="P885" s="22"/>
      <c r="Q885" s="30"/>
      <c r="R885" s="30"/>
      <c r="S885" s="30"/>
      <c r="T885" s="30"/>
      <c r="U885" s="30"/>
      <c r="V885" s="30"/>
      <c r="W885" s="30"/>
      <c r="X885" s="30"/>
      <c r="Y885" s="30"/>
      <c r="Z885" s="22"/>
      <c r="AA885" s="32"/>
    </row>
    <row r="886" ht="15.75" customHeight="1">
      <c r="O886" s="33"/>
      <c r="P886" s="22"/>
      <c r="Q886" s="30"/>
      <c r="R886" s="30"/>
      <c r="S886" s="30"/>
      <c r="T886" s="30"/>
      <c r="U886" s="30"/>
      <c r="V886" s="30"/>
      <c r="W886" s="30"/>
      <c r="X886" s="30"/>
      <c r="Y886" s="30"/>
      <c r="Z886" s="22"/>
      <c r="AA886" s="32"/>
    </row>
    <row r="887" ht="15.75" customHeight="1">
      <c r="O887" s="33"/>
      <c r="P887" s="22"/>
      <c r="Q887" s="30"/>
      <c r="R887" s="30"/>
      <c r="S887" s="30"/>
      <c r="T887" s="30"/>
      <c r="U887" s="30"/>
      <c r="V887" s="30"/>
      <c r="W887" s="30"/>
      <c r="X887" s="30"/>
      <c r="Y887" s="30"/>
      <c r="Z887" s="22"/>
      <c r="AA887" s="32"/>
    </row>
    <row r="888" ht="15.75" customHeight="1">
      <c r="O888" s="33"/>
      <c r="P888" s="22"/>
      <c r="Q888" s="30"/>
      <c r="R888" s="30"/>
      <c r="S888" s="30"/>
      <c r="T888" s="30"/>
      <c r="U888" s="30"/>
      <c r="V888" s="30"/>
      <c r="W888" s="30"/>
      <c r="X888" s="30"/>
      <c r="Y888" s="30"/>
      <c r="Z888" s="22"/>
      <c r="AA888" s="32"/>
    </row>
    <row r="889" ht="15.75" customHeight="1">
      <c r="O889" s="33"/>
      <c r="P889" s="22"/>
      <c r="Q889" s="30"/>
      <c r="R889" s="30"/>
      <c r="S889" s="30"/>
      <c r="T889" s="30"/>
      <c r="U889" s="30"/>
      <c r="V889" s="30"/>
      <c r="W889" s="30"/>
      <c r="X889" s="30"/>
      <c r="Y889" s="30"/>
      <c r="Z889" s="22"/>
      <c r="AA889" s="32"/>
    </row>
    <row r="890" ht="15.75" customHeight="1">
      <c r="O890" s="33"/>
      <c r="P890" s="22"/>
      <c r="Q890" s="30"/>
      <c r="R890" s="30"/>
      <c r="S890" s="30"/>
      <c r="T890" s="30"/>
      <c r="U890" s="30"/>
      <c r="V890" s="30"/>
      <c r="W890" s="30"/>
      <c r="X890" s="30"/>
      <c r="Y890" s="30"/>
      <c r="Z890" s="22"/>
      <c r="AA890" s="32"/>
    </row>
    <row r="891" ht="15.75" customHeight="1">
      <c r="O891" s="33"/>
      <c r="P891" s="22"/>
      <c r="Q891" s="30"/>
      <c r="R891" s="30"/>
      <c r="S891" s="30"/>
      <c r="T891" s="30"/>
      <c r="U891" s="30"/>
      <c r="V891" s="30"/>
      <c r="W891" s="30"/>
      <c r="X891" s="30"/>
      <c r="Y891" s="30"/>
      <c r="Z891" s="22"/>
      <c r="AA891" s="32"/>
    </row>
    <row r="892" ht="15.75" customHeight="1">
      <c r="O892" s="33"/>
      <c r="P892" s="22"/>
      <c r="Q892" s="30"/>
      <c r="R892" s="30"/>
      <c r="S892" s="30"/>
      <c r="T892" s="30"/>
      <c r="U892" s="30"/>
      <c r="V892" s="30"/>
      <c r="W892" s="30"/>
      <c r="X892" s="30"/>
      <c r="Y892" s="30"/>
      <c r="Z892" s="22"/>
      <c r="AA892" s="32"/>
    </row>
    <row r="893" ht="15.75" customHeight="1">
      <c r="O893" s="33"/>
      <c r="P893" s="22"/>
      <c r="Q893" s="30"/>
      <c r="R893" s="30"/>
      <c r="S893" s="30"/>
      <c r="T893" s="30"/>
      <c r="U893" s="30"/>
      <c r="V893" s="30"/>
      <c r="W893" s="30"/>
      <c r="X893" s="30"/>
      <c r="Y893" s="30"/>
      <c r="Z893" s="22"/>
      <c r="AA893" s="32"/>
    </row>
    <row r="894" ht="15.75" customHeight="1">
      <c r="O894" s="33"/>
      <c r="P894" s="22"/>
      <c r="Q894" s="30"/>
      <c r="R894" s="30"/>
      <c r="S894" s="30"/>
      <c r="T894" s="30"/>
      <c r="U894" s="30"/>
      <c r="V894" s="30"/>
      <c r="W894" s="30"/>
      <c r="X894" s="30"/>
      <c r="Y894" s="30"/>
      <c r="Z894" s="22"/>
      <c r="AA894" s="32"/>
    </row>
    <row r="895" ht="15.75" customHeight="1">
      <c r="O895" s="33"/>
      <c r="P895" s="22"/>
      <c r="Q895" s="30"/>
      <c r="R895" s="30"/>
      <c r="S895" s="30"/>
      <c r="T895" s="30"/>
      <c r="U895" s="30"/>
      <c r="V895" s="30"/>
      <c r="W895" s="30"/>
      <c r="X895" s="30"/>
      <c r="Y895" s="30"/>
      <c r="Z895" s="22"/>
      <c r="AA895" s="32"/>
    </row>
    <row r="896" ht="15.75" customHeight="1">
      <c r="O896" s="33"/>
      <c r="P896" s="22"/>
      <c r="Q896" s="30"/>
      <c r="R896" s="30"/>
      <c r="S896" s="30"/>
      <c r="T896" s="30"/>
      <c r="U896" s="30"/>
      <c r="V896" s="30"/>
      <c r="W896" s="30"/>
      <c r="X896" s="30"/>
      <c r="Y896" s="30"/>
      <c r="Z896" s="22"/>
      <c r="AA896" s="32"/>
    </row>
    <row r="897" ht="15.75" customHeight="1">
      <c r="O897" s="33"/>
      <c r="P897" s="22"/>
      <c r="Q897" s="30"/>
      <c r="R897" s="30"/>
      <c r="S897" s="30"/>
      <c r="T897" s="30"/>
      <c r="U897" s="30"/>
      <c r="V897" s="30"/>
      <c r="W897" s="30"/>
      <c r="X897" s="30"/>
      <c r="Y897" s="30"/>
      <c r="Z897" s="22"/>
      <c r="AA897" s="32"/>
    </row>
    <row r="898" ht="15.75" customHeight="1">
      <c r="O898" s="33"/>
      <c r="P898" s="22"/>
      <c r="Q898" s="30"/>
      <c r="R898" s="30"/>
      <c r="S898" s="30"/>
      <c r="T898" s="30"/>
      <c r="U898" s="30"/>
      <c r="V898" s="30"/>
      <c r="W898" s="30"/>
      <c r="X898" s="30"/>
      <c r="Y898" s="30"/>
      <c r="Z898" s="22"/>
      <c r="AA898" s="32"/>
    </row>
    <row r="899" ht="15.75" customHeight="1">
      <c r="O899" s="33"/>
      <c r="P899" s="22"/>
      <c r="Q899" s="30"/>
      <c r="R899" s="30"/>
      <c r="S899" s="30"/>
      <c r="T899" s="30"/>
      <c r="U899" s="30"/>
      <c r="V899" s="30"/>
      <c r="W899" s="30"/>
      <c r="X899" s="30"/>
      <c r="Y899" s="30"/>
      <c r="Z899" s="22"/>
      <c r="AA899" s="32"/>
    </row>
    <row r="900" ht="15.75" customHeight="1">
      <c r="O900" s="33"/>
      <c r="P900" s="22"/>
      <c r="Q900" s="30"/>
      <c r="R900" s="30"/>
      <c r="S900" s="30"/>
      <c r="T900" s="30"/>
      <c r="U900" s="30"/>
      <c r="V900" s="30"/>
      <c r="W900" s="30"/>
      <c r="X900" s="30"/>
      <c r="Y900" s="30"/>
      <c r="Z900" s="22"/>
      <c r="AA900" s="32"/>
    </row>
    <row r="901" ht="15.75" customHeight="1">
      <c r="O901" s="33"/>
      <c r="P901" s="22"/>
      <c r="Q901" s="30"/>
      <c r="R901" s="30"/>
      <c r="S901" s="30"/>
      <c r="T901" s="30"/>
      <c r="U901" s="30"/>
      <c r="V901" s="30"/>
      <c r="W901" s="30"/>
      <c r="X901" s="30"/>
      <c r="Y901" s="30"/>
      <c r="Z901" s="22"/>
      <c r="AA901" s="32"/>
    </row>
    <row r="902" ht="15.75" customHeight="1">
      <c r="O902" s="33"/>
      <c r="P902" s="22"/>
      <c r="Q902" s="30"/>
      <c r="R902" s="30"/>
      <c r="S902" s="30"/>
      <c r="T902" s="30"/>
      <c r="U902" s="30"/>
      <c r="V902" s="30"/>
      <c r="W902" s="30"/>
      <c r="X902" s="30"/>
      <c r="Y902" s="30"/>
      <c r="Z902" s="22"/>
      <c r="AA902" s="32"/>
    </row>
    <row r="903" ht="15.75" customHeight="1">
      <c r="O903" s="33"/>
      <c r="P903" s="22"/>
      <c r="Q903" s="30"/>
      <c r="R903" s="30"/>
      <c r="S903" s="30"/>
      <c r="T903" s="30"/>
      <c r="U903" s="30"/>
      <c r="V903" s="30"/>
      <c r="W903" s="30"/>
      <c r="X903" s="30"/>
      <c r="Y903" s="30"/>
      <c r="Z903" s="22"/>
      <c r="AA903" s="32"/>
    </row>
    <row r="904" ht="15.75" customHeight="1">
      <c r="O904" s="33"/>
      <c r="P904" s="22"/>
      <c r="Q904" s="30"/>
      <c r="R904" s="30"/>
      <c r="S904" s="30"/>
      <c r="T904" s="30"/>
      <c r="U904" s="30"/>
      <c r="V904" s="30"/>
      <c r="W904" s="30"/>
      <c r="X904" s="30"/>
      <c r="Y904" s="30"/>
      <c r="Z904" s="22"/>
      <c r="AA904" s="32"/>
    </row>
    <row r="905" ht="15.75" customHeight="1">
      <c r="O905" s="33"/>
      <c r="P905" s="22"/>
      <c r="Q905" s="30"/>
      <c r="R905" s="30"/>
      <c r="S905" s="30"/>
      <c r="T905" s="30"/>
      <c r="U905" s="30"/>
      <c r="V905" s="30"/>
      <c r="W905" s="30"/>
      <c r="X905" s="30"/>
      <c r="Y905" s="30"/>
      <c r="Z905" s="22"/>
      <c r="AA905" s="32"/>
    </row>
    <row r="906" ht="15.75" customHeight="1">
      <c r="O906" s="33"/>
      <c r="P906" s="22"/>
      <c r="Q906" s="30"/>
      <c r="R906" s="30"/>
      <c r="S906" s="30"/>
      <c r="T906" s="30"/>
      <c r="U906" s="30"/>
      <c r="V906" s="30"/>
      <c r="W906" s="30"/>
      <c r="X906" s="30"/>
      <c r="Y906" s="30"/>
      <c r="Z906" s="22"/>
      <c r="AA906" s="32"/>
    </row>
    <row r="907" ht="15.75" customHeight="1">
      <c r="O907" s="33"/>
      <c r="P907" s="22"/>
      <c r="Q907" s="30"/>
      <c r="R907" s="30"/>
      <c r="S907" s="30"/>
      <c r="T907" s="30"/>
      <c r="U907" s="30"/>
      <c r="V907" s="30"/>
      <c r="W907" s="30"/>
      <c r="X907" s="30"/>
      <c r="Y907" s="30"/>
      <c r="Z907" s="22"/>
      <c r="AA907" s="32"/>
    </row>
    <row r="908" ht="15.75" customHeight="1">
      <c r="O908" s="33"/>
      <c r="P908" s="22"/>
      <c r="Q908" s="30"/>
      <c r="R908" s="30"/>
      <c r="S908" s="30"/>
      <c r="T908" s="30"/>
      <c r="U908" s="30"/>
      <c r="V908" s="30"/>
      <c r="W908" s="30"/>
      <c r="X908" s="30"/>
      <c r="Y908" s="30"/>
      <c r="Z908" s="22"/>
      <c r="AA908" s="32"/>
    </row>
    <row r="909" ht="15.75" customHeight="1">
      <c r="O909" s="33"/>
      <c r="P909" s="22"/>
      <c r="Q909" s="30"/>
      <c r="R909" s="30"/>
      <c r="S909" s="30"/>
      <c r="T909" s="30"/>
      <c r="U909" s="30"/>
      <c r="V909" s="30"/>
      <c r="W909" s="30"/>
      <c r="X909" s="30"/>
      <c r="Y909" s="30"/>
      <c r="Z909" s="22"/>
      <c r="AA909" s="32"/>
    </row>
    <row r="910" ht="15.75" customHeight="1">
      <c r="O910" s="33"/>
      <c r="P910" s="22"/>
      <c r="Q910" s="30"/>
      <c r="R910" s="30"/>
      <c r="S910" s="30"/>
      <c r="T910" s="30"/>
      <c r="U910" s="30"/>
      <c r="V910" s="30"/>
      <c r="W910" s="30"/>
      <c r="X910" s="30"/>
      <c r="Y910" s="30"/>
      <c r="Z910" s="22"/>
      <c r="AA910" s="32"/>
    </row>
    <row r="911" ht="15.75" customHeight="1">
      <c r="O911" s="33"/>
      <c r="P911" s="22"/>
      <c r="Q911" s="30"/>
      <c r="R911" s="30"/>
      <c r="S911" s="30"/>
      <c r="T911" s="30"/>
      <c r="U911" s="30"/>
      <c r="V911" s="30"/>
      <c r="W911" s="30"/>
      <c r="X911" s="30"/>
      <c r="Y911" s="30"/>
      <c r="Z911" s="22"/>
      <c r="AA911" s="32"/>
    </row>
    <row r="912" ht="15.75" customHeight="1">
      <c r="O912" s="33"/>
      <c r="P912" s="22"/>
      <c r="Q912" s="30"/>
      <c r="R912" s="30"/>
      <c r="S912" s="30"/>
      <c r="T912" s="30"/>
      <c r="U912" s="30"/>
      <c r="V912" s="30"/>
      <c r="W912" s="30"/>
      <c r="X912" s="30"/>
      <c r="Y912" s="30"/>
      <c r="Z912" s="22"/>
      <c r="AA912" s="32"/>
    </row>
    <row r="913" ht="15.75" customHeight="1">
      <c r="O913" s="33"/>
      <c r="P913" s="22"/>
      <c r="Q913" s="30"/>
      <c r="R913" s="30"/>
      <c r="S913" s="30"/>
      <c r="T913" s="30"/>
      <c r="U913" s="30"/>
      <c r="V913" s="30"/>
      <c r="W913" s="30"/>
      <c r="X913" s="30"/>
      <c r="Y913" s="30"/>
      <c r="Z913" s="22"/>
      <c r="AA913" s="32"/>
    </row>
    <row r="914" ht="15.75" customHeight="1">
      <c r="O914" s="33"/>
      <c r="P914" s="22"/>
      <c r="Q914" s="30"/>
      <c r="R914" s="30"/>
      <c r="S914" s="30"/>
      <c r="T914" s="30"/>
      <c r="U914" s="30"/>
      <c r="V914" s="30"/>
      <c r="W914" s="30"/>
      <c r="X914" s="30"/>
      <c r="Y914" s="30"/>
      <c r="Z914" s="22"/>
      <c r="AA914" s="32"/>
    </row>
    <row r="915" ht="15.75" customHeight="1">
      <c r="O915" s="33"/>
      <c r="P915" s="22"/>
      <c r="Q915" s="30"/>
      <c r="R915" s="30"/>
      <c r="S915" s="30"/>
      <c r="T915" s="30"/>
      <c r="U915" s="30"/>
      <c r="V915" s="30"/>
      <c r="W915" s="30"/>
      <c r="X915" s="30"/>
      <c r="Y915" s="30"/>
      <c r="Z915" s="22"/>
      <c r="AA915" s="32"/>
    </row>
    <row r="916" ht="15.75" customHeight="1">
      <c r="O916" s="33"/>
      <c r="P916" s="22"/>
      <c r="Q916" s="30"/>
      <c r="R916" s="30"/>
      <c r="S916" s="30"/>
      <c r="T916" s="30"/>
      <c r="U916" s="30"/>
      <c r="V916" s="30"/>
      <c r="W916" s="30"/>
      <c r="X916" s="30"/>
      <c r="Y916" s="30"/>
      <c r="Z916" s="22"/>
      <c r="AA916" s="32"/>
    </row>
    <row r="917" ht="15.75" customHeight="1">
      <c r="O917" s="33"/>
      <c r="P917" s="22"/>
      <c r="Q917" s="30"/>
      <c r="R917" s="30"/>
      <c r="S917" s="30"/>
      <c r="T917" s="30"/>
      <c r="U917" s="30"/>
      <c r="V917" s="30"/>
      <c r="W917" s="30"/>
      <c r="X917" s="30"/>
      <c r="Y917" s="30"/>
      <c r="Z917" s="22"/>
      <c r="AA917" s="32"/>
    </row>
    <row r="918" ht="15.75" customHeight="1">
      <c r="O918" s="33"/>
      <c r="P918" s="22"/>
      <c r="Q918" s="30"/>
      <c r="R918" s="30"/>
      <c r="S918" s="30"/>
      <c r="T918" s="30"/>
      <c r="U918" s="30"/>
      <c r="V918" s="30"/>
      <c r="W918" s="30"/>
      <c r="X918" s="30"/>
      <c r="Y918" s="30"/>
      <c r="Z918" s="22"/>
      <c r="AA918" s="32"/>
    </row>
    <row r="919" ht="15.75" customHeight="1">
      <c r="O919" s="33"/>
      <c r="P919" s="22"/>
      <c r="Q919" s="30"/>
      <c r="R919" s="30"/>
      <c r="S919" s="30"/>
      <c r="T919" s="30"/>
      <c r="U919" s="30"/>
      <c r="V919" s="30"/>
      <c r="W919" s="30"/>
      <c r="X919" s="30"/>
      <c r="Y919" s="30"/>
      <c r="Z919" s="22"/>
      <c r="AA919" s="32"/>
    </row>
    <row r="920" ht="15.75" customHeight="1">
      <c r="O920" s="33"/>
      <c r="P920" s="22"/>
      <c r="Q920" s="30"/>
      <c r="R920" s="30"/>
      <c r="S920" s="30"/>
      <c r="T920" s="30"/>
      <c r="U920" s="30"/>
      <c r="V920" s="30"/>
      <c r="W920" s="30"/>
      <c r="X920" s="30"/>
      <c r="Y920" s="30"/>
      <c r="Z920" s="22"/>
      <c r="AA920" s="32"/>
    </row>
    <row r="921" ht="15.75" customHeight="1">
      <c r="O921" s="33"/>
      <c r="P921" s="22"/>
      <c r="Q921" s="30"/>
      <c r="R921" s="30"/>
      <c r="S921" s="30"/>
      <c r="T921" s="30"/>
      <c r="U921" s="30"/>
      <c r="V921" s="30"/>
      <c r="W921" s="30"/>
      <c r="X921" s="30"/>
      <c r="Y921" s="30"/>
      <c r="Z921" s="22"/>
      <c r="AA921" s="32"/>
    </row>
    <row r="922" ht="15.75" customHeight="1">
      <c r="O922" s="33"/>
      <c r="P922" s="22"/>
      <c r="Q922" s="30"/>
      <c r="R922" s="30"/>
      <c r="S922" s="30"/>
      <c r="T922" s="30"/>
      <c r="U922" s="30"/>
      <c r="V922" s="30"/>
      <c r="W922" s="30"/>
      <c r="X922" s="30"/>
      <c r="Y922" s="30"/>
      <c r="Z922" s="22"/>
      <c r="AA922" s="32"/>
    </row>
    <row r="923" ht="15.75" customHeight="1">
      <c r="O923" s="33"/>
      <c r="P923" s="22"/>
      <c r="Q923" s="30"/>
      <c r="R923" s="30"/>
      <c r="S923" s="30"/>
      <c r="T923" s="30"/>
      <c r="U923" s="30"/>
      <c r="V923" s="30"/>
      <c r="W923" s="30"/>
      <c r="X923" s="30"/>
      <c r="Y923" s="30"/>
      <c r="Z923" s="22"/>
      <c r="AA923" s="32"/>
    </row>
    <row r="924" ht="15.75" customHeight="1">
      <c r="O924" s="33"/>
      <c r="P924" s="22"/>
      <c r="Q924" s="30"/>
      <c r="R924" s="30"/>
      <c r="S924" s="30"/>
      <c r="T924" s="30"/>
      <c r="U924" s="30"/>
      <c r="V924" s="30"/>
      <c r="W924" s="30"/>
      <c r="X924" s="30"/>
      <c r="Y924" s="30"/>
      <c r="Z924" s="22"/>
      <c r="AA924" s="32"/>
    </row>
    <row r="925" ht="15.75" customHeight="1">
      <c r="O925" s="33"/>
      <c r="P925" s="22"/>
      <c r="Q925" s="30"/>
      <c r="R925" s="30"/>
      <c r="S925" s="30"/>
      <c r="T925" s="30"/>
      <c r="U925" s="30"/>
      <c r="V925" s="30"/>
      <c r="W925" s="30"/>
      <c r="X925" s="30"/>
      <c r="Y925" s="30"/>
      <c r="Z925" s="22"/>
      <c r="AA925" s="32"/>
    </row>
    <row r="926" ht="15.75" customHeight="1">
      <c r="O926" s="33"/>
      <c r="P926" s="22"/>
      <c r="Q926" s="30"/>
      <c r="R926" s="30"/>
      <c r="S926" s="30"/>
      <c r="T926" s="30"/>
      <c r="U926" s="30"/>
      <c r="V926" s="30"/>
      <c r="W926" s="30"/>
      <c r="X926" s="30"/>
      <c r="Y926" s="30"/>
      <c r="Z926" s="22"/>
      <c r="AA926" s="32"/>
    </row>
    <row r="927" ht="15.75" customHeight="1">
      <c r="O927" s="33"/>
      <c r="P927" s="22"/>
      <c r="Q927" s="30"/>
      <c r="R927" s="30"/>
      <c r="S927" s="30"/>
      <c r="T927" s="30"/>
      <c r="U927" s="30"/>
      <c r="V927" s="30"/>
      <c r="W927" s="30"/>
      <c r="X927" s="30"/>
      <c r="Y927" s="30"/>
      <c r="Z927" s="22"/>
      <c r="AA927" s="32"/>
    </row>
    <row r="928" ht="15.75" customHeight="1">
      <c r="O928" s="33"/>
      <c r="P928" s="22"/>
      <c r="Q928" s="30"/>
      <c r="R928" s="30"/>
      <c r="S928" s="30"/>
      <c r="T928" s="30"/>
      <c r="U928" s="30"/>
      <c r="V928" s="30"/>
      <c r="W928" s="30"/>
      <c r="X928" s="30"/>
      <c r="Y928" s="30"/>
      <c r="Z928" s="22"/>
      <c r="AA928" s="32"/>
    </row>
    <row r="929" ht="15.75" customHeight="1">
      <c r="O929" s="33"/>
      <c r="P929" s="22"/>
      <c r="Q929" s="30"/>
      <c r="R929" s="30"/>
      <c r="S929" s="30"/>
      <c r="T929" s="30"/>
      <c r="U929" s="30"/>
      <c r="V929" s="30"/>
      <c r="W929" s="30"/>
      <c r="X929" s="30"/>
      <c r="Y929" s="30"/>
      <c r="Z929" s="22"/>
      <c r="AA929" s="32"/>
    </row>
    <row r="930" ht="15.75" customHeight="1">
      <c r="O930" s="33"/>
      <c r="P930" s="22"/>
      <c r="Q930" s="30"/>
      <c r="R930" s="30"/>
      <c r="S930" s="30"/>
      <c r="T930" s="30"/>
      <c r="U930" s="30"/>
      <c r="V930" s="30"/>
      <c r="W930" s="30"/>
      <c r="X930" s="30"/>
      <c r="Y930" s="30"/>
      <c r="Z930" s="22"/>
      <c r="AA930" s="32"/>
    </row>
    <row r="931" ht="15.75" customHeight="1">
      <c r="O931" s="33"/>
      <c r="P931" s="22"/>
      <c r="Q931" s="30"/>
      <c r="R931" s="30"/>
      <c r="S931" s="30"/>
      <c r="T931" s="30"/>
      <c r="U931" s="30"/>
      <c r="V931" s="30"/>
      <c r="W931" s="30"/>
      <c r="X931" s="30"/>
      <c r="Y931" s="30"/>
      <c r="Z931" s="22"/>
      <c r="AA931" s="32"/>
    </row>
    <row r="932" ht="15.75" customHeight="1">
      <c r="O932" s="33"/>
      <c r="P932" s="22"/>
      <c r="Q932" s="30"/>
      <c r="R932" s="30"/>
      <c r="S932" s="30"/>
      <c r="T932" s="30"/>
      <c r="U932" s="30"/>
      <c r="V932" s="30"/>
      <c r="W932" s="30"/>
      <c r="X932" s="30"/>
      <c r="Y932" s="30"/>
      <c r="Z932" s="22"/>
      <c r="AA932" s="32"/>
    </row>
    <row r="933" ht="15.75" customHeight="1">
      <c r="O933" s="33"/>
      <c r="P933" s="22"/>
      <c r="Q933" s="30"/>
      <c r="R933" s="30"/>
      <c r="S933" s="30"/>
      <c r="T933" s="30"/>
      <c r="U933" s="30"/>
      <c r="V933" s="30"/>
      <c r="W933" s="30"/>
      <c r="X933" s="30"/>
      <c r="Y933" s="30"/>
      <c r="Z933" s="22"/>
      <c r="AA933" s="32"/>
    </row>
    <row r="934" ht="15.75" customHeight="1">
      <c r="O934" s="33"/>
      <c r="P934" s="22"/>
      <c r="Q934" s="30"/>
      <c r="R934" s="30"/>
      <c r="S934" s="30"/>
      <c r="T934" s="30"/>
      <c r="U934" s="30"/>
      <c r="V934" s="30"/>
      <c r="W934" s="30"/>
      <c r="X934" s="30"/>
      <c r="Y934" s="30"/>
      <c r="Z934" s="22"/>
      <c r="AA934" s="32"/>
    </row>
    <row r="935" ht="15.75" customHeight="1">
      <c r="O935" s="33"/>
      <c r="P935" s="22"/>
      <c r="Q935" s="30"/>
      <c r="R935" s="30"/>
      <c r="S935" s="30"/>
      <c r="T935" s="30"/>
      <c r="U935" s="30"/>
      <c r="V935" s="30"/>
      <c r="W935" s="30"/>
      <c r="X935" s="30"/>
      <c r="Y935" s="30"/>
      <c r="Z935" s="22"/>
      <c r="AA935" s="32"/>
    </row>
    <row r="936" ht="15.75" customHeight="1">
      <c r="O936" s="33"/>
      <c r="P936" s="22"/>
      <c r="Q936" s="30"/>
      <c r="R936" s="30"/>
      <c r="S936" s="30"/>
      <c r="T936" s="30"/>
      <c r="U936" s="30"/>
      <c r="V936" s="30"/>
      <c r="W936" s="30"/>
      <c r="X936" s="30"/>
      <c r="Y936" s="30"/>
      <c r="Z936" s="22"/>
      <c r="AA936" s="32"/>
    </row>
    <row r="937" ht="15.75" customHeight="1">
      <c r="O937" s="33"/>
      <c r="P937" s="22"/>
      <c r="Q937" s="30"/>
      <c r="R937" s="30"/>
      <c r="S937" s="30"/>
      <c r="T937" s="30"/>
      <c r="U937" s="30"/>
      <c r="V937" s="30"/>
      <c r="W937" s="30"/>
      <c r="X937" s="30"/>
      <c r="Y937" s="30"/>
      <c r="Z937" s="22"/>
      <c r="AA937" s="32"/>
    </row>
    <row r="938" ht="15.75" customHeight="1">
      <c r="O938" s="33"/>
      <c r="P938" s="22"/>
      <c r="Q938" s="30"/>
      <c r="R938" s="30"/>
      <c r="S938" s="30"/>
      <c r="T938" s="30"/>
      <c r="U938" s="30"/>
      <c r="V938" s="30"/>
      <c r="W938" s="30"/>
      <c r="X938" s="30"/>
      <c r="Y938" s="30"/>
      <c r="Z938" s="22"/>
      <c r="AA938" s="32"/>
    </row>
    <row r="939" ht="15.75" customHeight="1">
      <c r="O939" s="33"/>
      <c r="P939" s="22"/>
      <c r="Q939" s="30"/>
      <c r="R939" s="30"/>
      <c r="S939" s="30"/>
      <c r="T939" s="30"/>
      <c r="U939" s="30"/>
      <c r="V939" s="30"/>
      <c r="W939" s="30"/>
      <c r="X939" s="30"/>
      <c r="Y939" s="30"/>
      <c r="Z939" s="22"/>
      <c r="AA939" s="32"/>
    </row>
    <row r="940" ht="15.75" customHeight="1">
      <c r="O940" s="33"/>
      <c r="P940" s="22"/>
      <c r="Q940" s="30"/>
      <c r="R940" s="30"/>
      <c r="S940" s="30"/>
      <c r="T940" s="30"/>
      <c r="U940" s="30"/>
      <c r="V940" s="30"/>
      <c r="W940" s="30"/>
      <c r="X940" s="30"/>
      <c r="Y940" s="30"/>
      <c r="Z940" s="22"/>
      <c r="AA940" s="32"/>
    </row>
    <row r="941" ht="15.75" customHeight="1">
      <c r="P941" s="22"/>
      <c r="Q941" s="30"/>
      <c r="R941" s="30"/>
      <c r="S941" s="30"/>
      <c r="T941" s="30"/>
      <c r="U941" s="30"/>
      <c r="V941" s="30"/>
      <c r="W941" s="30"/>
      <c r="X941" s="30"/>
      <c r="Y941" s="30"/>
      <c r="Z941" s="22"/>
      <c r="AA941" s="32"/>
    </row>
    <row r="942" ht="15.75" customHeight="1">
      <c r="P942" s="22"/>
      <c r="Q942" s="30"/>
      <c r="R942" s="30"/>
      <c r="S942" s="30"/>
      <c r="T942" s="30"/>
      <c r="U942" s="30"/>
      <c r="V942" s="30"/>
      <c r="W942" s="30"/>
      <c r="X942" s="30"/>
      <c r="Y942" s="30"/>
      <c r="Z942" s="22"/>
      <c r="AA942" s="32"/>
    </row>
    <row r="943" ht="15.75" customHeight="1">
      <c r="P943" s="22"/>
      <c r="Q943" s="30"/>
      <c r="R943" s="30"/>
      <c r="S943" s="30"/>
      <c r="T943" s="30"/>
      <c r="U943" s="30"/>
      <c r="V943" s="30"/>
      <c r="W943" s="30"/>
      <c r="X943" s="30"/>
      <c r="Y943" s="30"/>
      <c r="Z943" s="22"/>
      <c r="AA943" s="32"/>
    </row>
    <row r="944" ht="15.75" customHeight="1">
      <c r="P944" s="22"/>
      <c r="Q944" s="30"/>
      <c r="R944" s="30"/>
      <c r="S944" s="30"/>
      <c r="T944" s="30"/>
      <c r="U944" s="30"/>
      <c r="V944" s="30"/>
      <c r="W944" s="30"/>
      <c r="X944" s="30"/>
      <c r="Y944" s="30"/>
      <c r="Z944" s="22"/>
      <c r="AA944" s="32"/>
    </row>
    <row r="945" ht="15.75" customHeight="1">
      <c r="P945" s="22"/>
      <c r="Q945" s="30"/>
      <c r="R945" s="30"/>
      <c r="S945" s="30"/>
      <c r="T945" s="30"/>
      <c r="U945" s="30"/>
      <c r="V945" s="30"/>
      <c r="W945" s="30"/>
      <c r="X945" s="30"/>
      <c r="Y945" s="30"/>
      <c r="Z945" s="22"/>
      <c r="AA945" s="32"/>
    </row>
    <row r="946" ht="15.75" customHeight="1">
      <c r="P946" s="22"/>
      <c r="Q946" s="30"/>
      <c r="R946" s="30"/>
      <c r="S946" s="30"/>
      <c r="T946" s="30"/>
      <c r="U946" s="30"/>
      <c r="V946" s="30"/>
      <c r="W946" s="30"/>
      <c r="X946" s="30"/>
      <c r="Y946" s="30"/>
      <c r="Z946" s="22"/>
      <c r="AA946" s="32"/>
    </row>
    <row r="947" ht="15.75" customHeight="1">
      <c r="P947" s="22"/>
      <c r="Q947" s="30"/>
      <c r="R947" s="30"/>
      <c r="S947" s="30"/>
      <c r="T947" s="30"/>
      <c r="U947" s="30"/>
      <c r="V947" s="30"/>
      <c r="W947" s="30"/>
      <c r="X947" s="30"/>
      <c r="Y947" s="30"/>
      <c r="Z947" s="22"/>
      <c r="AA947" s="32"/>
    </row>
    <row r="948" ht="15.75" customHeight="1">
      <c r="P948" s="22"/>
      <c r="Q948" s="30"/>
      <c r="R948" s="30"/>
      <c r="S948" s="30"/>
      <c r="T948" s="30"/>
      <c r="U948" s="30"/>
      <c r="V948" s="30"/>
      <c r="W948" s="30"/>
      <c r="X948" s="30"/>
      <c r="Y948" s="30"/>
      <c r="Z948" s="22"/>
      <c r="AA948" s="32"/>
    </row>
    <row r="949" ht="15.75" customHeight="1">
      <c r="P949" s="22"/>
      <c r="Q949" s="30"/>
      <c r="R949" s="30"/>
      <c r="S949" s="30"/>
      <c r="T949" s="30"/>
      <c r="U949" s="30"/>
      <c r="V949" s="30"/>
      <c r="W949" s="30"/>
      <c r="X949" s="30"/>
      <c r="Y949" s="30"/>
      <c r="Z949" s="22"/>
      <c r="AA949" s="32"/>
    </row>
    <row r="950" ht="15.75" customHeight="1">
      <c r="P950" s="22"/>
      <c r="Q950" s="30"/>
      <c r="R950" s="30"/>
      <c r="S950" s="30"/>
      <c r="T950" s="30"/>
      <c r="U950" s="30"/>
      <c r="V950" s="30"/>
      <c r="W950" s="30"/>
      <c r="X950" s="30"/>
      <c r="Y950" s="30"/>
      <c r="Z950" s="22"/>
      <c r="AA950" s="32"/>
    </row>
    <row r="951" ht="15.75" customHeight="1">
      <c r="P951" s="22"/>
      <c r="Q951" s="30"/>
      <c r="R951" s="30"/>
      <c r="S951" s="30"/>
      <c r="T951" s="30"/>
      <c r="U951" s="30"/>
      <c r="V951" s="30"/>
      <c r="W951" s="30"/>
      <c r="X951" s="30"/>
      <c r="Y951" s="30"/>
      <c r="Z951" s="22"/>
      <c r="AA951" s="32"/>
    </row>
    <row r="952" ht="15.75" customHeight="1">
      <c r="P952" s="22"/>
      <c r="Q952" s="30"/>
      <c r="R952" s="30"/>
      <c r="S952" s="30"/>
      <c r="T952" s="30"/>
      <c r="U952" s="30"/>
      <c r="V952" s="30"/>
      <c r="W952" s="30"/>
      <c r="X952" s="30"/>
      <c r="Y952" s="30"/>
      <c r="Z952" s="22"/>
      <c r="AA952" s="32"/>
    </row>
    <row r="953" ht="15.75" customHeight="1">
      <c r="P953" s="22"/>
      <c r="Q953" s="30"/>
      <c r="R953" s="30"/>
      <c r="S953" s="30"/>
      <c r="T953" s="30"/>
      <c r="U953" s="30"/>
      <c r="V953" s="30"/>
      <c r="W953" s="30"/>
      <c r="X953" s="30"/>
      <c r="Y953" s="30"/>
      <c r="Z953" s="22"/>
      <c r="AA953" s="32"/>
    </row>
    <row r="954" ht="15.75" customHeight="1">
      <c r="P954" s="22"/>
      <c r="Q954" s="30"/>
      <c r="R954" s="30"/>
      <c r="S954" s="30"/>
      <c r="T954" s="30"/>
      <c r="U954" s="30"/>
      <c r="V954" s="30"/>
      <c r="W954" s="30"/>
      <c r="X954" s="30"/>
      <c r="Y954" s="30"/>
      <c r="Z954" s="22"/>
      <c r="AA954" s="32"/>
    </row>
    <row r="955" ht="15.75" customHeight="1">
      <c r="P955" s="22"/>
      <c r="Q955" s="30"/>
      <c r="R955" s="30"/>
      <c r="S955" s="30"/>
      <c r="T955" s="30"/>
      <c r="U955" s="30"/>
      <c r="V955" s="30"/>
      <c r="W955" s="30"/>
      <c r="X955" s="30"/>
      <c r="Y955" s="30"/>
      <c r="Z955" s="22"/>
      <c r="AA955" s="32"/>
    </row>
    <row r="956" ht="15.75" customHeight="1">
      <c r="P956" s="22"/>
      <c r="Q956" s="30"/>
      <c r="R956" s="30"/>
      <c r="S956" s="30"/>
      <c r="T956" s="30"/>
      <c r="U956" s="30"/>
      <c r="V956" s="30"/>
      <c r="W956" s="30"/>
      <c r="X956" s="30"/>
      <c r="Y956" s="30"/>
      <c r="Z956" s="22"/>
      <c r="AA956" s="32"/>
    </row>
    <row r="957" ht="15.75" customHeight="1">
      <c r="P957" s="22"/>
      <c r="Q957" s="30"/>
      <c r="R957" s="30"/>
      <c r="S957" s="30"/>
      <c r="T957" s="30"/>
      <c r="U957" s="30"/>
      <c r="V957" s="30"/>
      <c r="W957" s="30"/>
      <c r="X957" s="30"/>
      <c r="Y957" s="30"/>
      <c r="Z957" s="22"/>
      <c r="AA957" s="32"/>
    </row>
    <row r="958" ht="15.75" customHeight="1">
      <c r="P958" s="22"/>
      <c r="Q958" s="30"/>
      <c r="R958" s="30"/>
      <c r="S958" s="30"/>
      <c r="T958" s="30"/>
      <c r="U958" s="30"/>
      <c r="V958" s="30"/>
      <c r="W958" s="30"/>
      <c r="X958" s="30"/>
      <c r="Y958" s="30"/>
      <c r="Z958" s="22"/>
      <c r="AA958" s="32"/>
    </row>
    <row r="959" ht="15.75" customHeight="1">
      <c r="P959" s="22"/>
      <c r="Q959" s="30"/>
      <c r="R959" s="30"/>
      <c r="S959" s="30"/>
      <c r="T959" s="30"/>
      <c r="U959" s="30"/>
      <c r="V959" s="30"/>
      <c r="W959" s="30"/>
      <c r="X959" s="30"/>
      <c r="Y959" s="30"/>
      <c r="Z959" s="22"/>
      <c r="AA959" s="32"/>
    </row>
    <row r="960" ht="15.75" customHeight="1">
      <c r="P960" s="22"/>
      <c r="Q960" s="30"/>
      <c r="R960" s="30"/>
      <c r="S960" s="30"/>
      <c r="T960" s="30"/>
      <c r="U960" s="30"/>
      <c r="V960" s="30"/>
      <c r="W960" s="30"/>
      <c r="X960" s="30"/>
      <c r="Y960" s="30"/>
      <c r="Z960" s="22"/>
      <c r="AA960" s="32"/>
    </row>
    <row r="961" ht="15.75" customHeight="1">
      <c r="P961" s="22"/>
      <c r="Q961" s="30"/>
      <c r="R961" s="30"/>
      <c r="S961" s="30"/>
      <c r="T961" s="30"/>
      <c r="U961" s="30"/>
      <c r="V961" s="30"/>
      <c r="W961" s="30"/>
      <c r="X961" s="30"/>
      <c r="Y961" s="30"/>
      <c r="Z961" s="22"/>
      <c r="AA961" s="32"/>
    </row>
    <row r="962" ht="15.75" customHeight="1">
      <c r="P962" s="22"/>
      <c r="Q962" s="30"/>
      <c r="R962" s="30"/>
      <c r="S962" s="30"/>
      <c r="T962" s="30"/>
      <c r="U962" s="30"/>
      <c r="V962" s="30"/>
      <c r="W962" s="30"/>
      <c r="X962" s="30"/>
      <c r="Y962" s="30"/>
      <c r="Z962" s="22"/>
      <c r="AA962" s="32"/>
    </row>
    <row r="963" ht="15.75" customHeight="1">
      <c r="P963" s="22"/>
      <c r="Q963" s="30"/>
      <c r="R963" s="30"/>
      <c r="S963" s="30"/>
      <c r="T963" s="30"/>
      <c r="U963" s="30"/>
      <c r="V963" s="30"/>
      <c r="W963" s="30"/>
      <c r="X963" s="30"/>
      <c r="Y963" s="30"/>
      <c r="Z963" s="22"/>
      <c r="AA963" s="32"/>
    </row>
    <row r="964" ht="15.75" customHeight="1">
      <c r="P964" s="22"/>
      <c r="Q964" s="30"/>
      <c r="R964" s="30"/>
      <c r="S964" s="30"/>
      <c r="T964" s="30"/>
      <c r="U964" s="30"/>
      <c r="V964" s="30"/>
      <c r="W964" s="30"/>
      <c r="X964" s="30"/>
      <c r="Y964" s="30"/>
      <c r="Z964" s="22"/>
      <c r="AA964" s="32"/>
    </row>
    <row r="965" ht="15.75" customHeight="1">
      <c r="P965" s="22"/>
      <c r="Q965" s="30"/>
      <c r="R965" s="30"/>
      <c r="S965" s="30"/>
      <c r="T965" s="30"/>
      <c r="U965" s="30"/>
      <c r="V965" s="30"/>
      <c r="W965" s="30"/>
      <c r="X965" s="30"/>
      <c r="Y965" s="30"/>
      <c r="Z965" s="22"/>
      <c r="AA965" s="32"/>
    </row>
    <row r="966" ht="15.75" customHeight="1">
      <c r="P966" s="22"/>
      <c r="Q966" s="30"/>
      <c r="R966" s="30"/>
      <c r="S966" s="30"/>
      <c r="T966" s="30"/>
      <c r="U966" s="30"/>
      <c r="V966" s="30"/>
      <c r="W966" s="30"/>
      <c r="X966" s="30"/>
      <c r="Y966" s="30"/>
      <c r="Z966" s="22"/>
      <c r="AA966" s="32"/>
    </row>
    <row r="967" ht="15.75" customHeight="1">
      <c r="P967" s="22"/>
      <c r="Q967" s="30"/>
      <c r="R967" s="30"/>
      <c r="S967" s="30"/>
      <c r="T967" s="30"/>
      <c r="U967" s="30"/>
      <c r="V967" s="30"/>
      <c r="W967" s="30"/>
      <c r="X967" s="30"/>
      <c r="Y967" s="30"/>
      <c r="Z967" s="22"/>
      <c r="AA967" s="32"/>
    </row>
    <row r="968" ht="15.75" customHeight="1">
      <c r="P968" s="22"/>
      <c r="Q968" s="30"/>
      <c r="R968" s="30"/>
      <c r="S968" s="30"/>
      <c r="T968" s="30"/>
      <c r="U968" s="30"/>
      <c r="V968" s="30"/>
      <c r="W968" s="30"/>
      <c r="X968" s="30"/>
      <c r="Y968" s="30"/>
      <c r="Z968" s="22"/>
      <c r="AA968" s="32"/>
    </row>
    <row r="969" ht="15.75" customHeight="1">
      <c r="P969" s="22"/>
      <c r="Q969" s="30"/>
      <c r="R969" s="30"/>
      <c r="S969" s="30"/>
      <c r="T969" s="30"/>
      <c r="U969" s="30"/>
      <c r="V969" s="30"/>
      <c r="W969" s="30"/>
      <c r="X969" s="30"/>
      <c r="Y969" s="30"/>
      <c r="Z969" s="22"/>
      <c r="AA969" s="32"/>
    </row>
    <row r="970" ht="15.75" customHeight="1">
      <c r="P970" s="22"/>
      <c r="Q970" s="30"/>
      <c r="R970" s="30"/>
      <c r="S970" s="30"/>
      <c r="T970" s="30"/>
      <c r="U970" s="30"/>
      <c r="V970" s="30"/>
      <c r="W970" s="30"/>
      <c r="X970" s="30"/>
      <c r="Y970" s="30"/>
      <c r="Z970" s="22"/>
      <c r="AA970" s="32"/>
    </row>
    <row r="971" ht="15.75" customHeight="1">
      <c r="P971" s="22"/>
      <c r="Q971" s="30"/>
      <c r="R971" s="30"/>
      <c r="S971" s="30"/>
      <c r="T971" s="30"/>
      <c r="U971" s="30"/>
      <c r="V971" s="30"/>
      <c r="W971" s="30"/>
      <c r="X971" s="30"/>
      <c r="Y971" s="30"/>
      <c r="Z971" s="22"/>
      <c r="AA971" s="32"/>
    </row>
    <row r="972" ht="15.75" customHeight="1">
      <c r="P972" s="22"/>
      <c r="Q972" s="30"/>
      <c r="R972" s="30"/>
      <c r="S972" s="30"/>
      <c r="T972" s="30"/>
      <c r="U972" s="30"/>
      <c r="V972" s="30"/>
      <c r="W972" s="30"/>
      <c r="X972" s="30"/>
      <c r="Y972" s="30"/>
      <c r="Z972" s="22"/>
      <c r="AA972" s="32"/>
    </row>
    <row r="973" ht="15.75" customHeight="1">
      <c r="P973" s="22"/>
      <c r="Q973" s="30"/>
      <c r="R973" s="30"/>
      <c r="S973" s="30"/>
      <c r="T973" s="30"/>
      <c r="U973" s="30"/>
      <c r="V973" s="30"/>
      <c r="W973" s="30"/>
      <c r="X973" s="30"/>
      <c r="Y973" s="30"/>
      <c r="Z973" s="22"/>
      <c r="AA973" s="32"/>
    </row>
    <row r="974" ht="15.75" customHeight="1">
      <c r="P974" s="22"/>
      <c r="Q974" s="30"/>
      <c r="R974" s="30"/>
      <c r="S974" s="30"/>
      <c r="T974" s="30"/>
      <c r="U974" s="30"/>
      <c r="V974" s="30"/>
      <c r="W974" s="30"/>
      <c r="X974" s="30"/>
      <c r="Y974" s="30"/>
      <c r="Z974" s="22"/>
      <c r="AA974" s="32"/>
    </row>
    <row r="975" ht="15.75" customHeight="1">
      <c r="P975" s="22"/>
      <c r="Q975" s="30"/>
      <c r="R975" s="30"/>
      <c r="S975" s="30"/>
      <c r="T975" s="30"/>
      <c r="U975" s="30"/>
      <c r="V975" s="30"/>
      <c r="W975" s="30"/>
      <c r="X975" s="30"/>
      <c r="Y975" s="30"/>
      <c r="Z975" s="22"/>
      <c r="AA975" s="32"/>
    </row>
    <row r="976" ht="15.75" customHeight="1">
      <c r="P976" s="22"/>
      <c r="Q976" s="30"/>
      <c r="R976" s="30"/>
      <c r="S976" s="30"/>
      <c r="T976" s="30"/>
      <c r="U976" s="30"/>
      <c r="V976" s="30"/>
      <c r="W976" s="30"/>
      <c r="X976" s="30"/>
      <c r="Y976" s="30"/>
      <c r="Z976" s="22"/>
      <c r="AA976" s="32"/>
    </row>
    <row r="977" ht="15.75" customHeight="1">
      <c r="P977" s="22"/>
      <c r="Q977" s="30"/>
      <c r="R977" s="30"/>
      <c r="S977" s="30"/>
      <c r="T977" s="30"/>
      <c r="U977" s="30"/>
      <c r="V977" s="30"/>
      <c r="W977" s="30"/>
      <c r="X977" s="30"/>
      <c r="Y977" s="30"/>
      <c r="Z977" s="22"/>
      <c r="AA977" s="32"/>
    </row>
    <row r="978" ht="15.75" customHeight="1">
      <c r="P978" s="22"/>
      <c r="Q978" s="30"/>
      <c r="R978" s="30"/>
      <c r="S978" s="30"/>
      <c r="T978" s="30"/>
      <c r="U978" s="30"/>
      <c r="V978" s="30"/>
      <c r="W978" s="30"/>
      <c r="X978" s="30"/>
      <c r="Y978" s="30"/>
      <c r="Z978" s="22"/>
      <c r="AA978" s="32"/>
    </row>
    <row r="979" ht="15.75" customHeight="1">
      <c r="P979" s="22"/>
      <c r="Q979" s="30"/>
      <c r="R979" s="30"/>
      <c r="S979" s="30"/>
      <c r="T979" s="30"/>
      <c r="U979" s="30"/>
      <c r="V979" s="30"/>
      <c r="W979" s="30"/>
      <c r="X979" s="30"/>
      <c r="Y979" s="30"/>
      <c r="Z979" s="22"/>
      <c r="AA979" s="32"/>
    </row>
    <row r="980" ht="15.75" customHeight="1">
      <c r="P980" s="22"/>
      <c r="Q980" s="30"/>
      <c r="R980" s="30"/>
      <c r="S980" s="30"/>
      <c r="T980" s="30"/>
      <c r="U980" s="30"/>
      <c r="V980" s="30"/>
      <c r="W980" s="30"/>
      <c r="X980" s="30"/>
      <c r="Y980" s="30"/>
      <c r="Z980" s="22"/>
      <c r="AA980" s="32"/>
    </row>
    <row r="981" ht="15.75" customHeight="1">
      <c r="P981" s="22"/>
      <c r="Q981" s="30"/>
      <c r="R981" s="30"/>
      <c r="S981" s="30"/>
      <c r="T981" s="30"/>
      <c r="U981" s="30"/>
      <c r="V981" s="30"/>
      <c r="W981" s="30"/>
      <c r="X981" s="30"/>
      <c r="Y981" s="30"/>
      <c r="Z981" s="22"/>
      <c r="AA981" s="32"/>
    </row>
    <row r="982" ht="15.75" customHeight="1">
      <c r="P982" s="22"/>
      <c r="Q982" s="30"/>
      <c r="R982" s="30"/>
      <c r="S982" s="30"/>
      <c r="T982" s="30"/>
      <c r="U982" s="30"/>
      <c r="V982" s="30"/>
      <c r="W982" s="30"/>
      <c r="X982" s="30"/>
      <c r="Y982" s="30"/>
      <c r="Z982" s="22"/>
      <c r="AA982" s="32"/>
    </row>
    <row r="983" ht="15.75" customHeight="1">
      <c r="P983" s="22"/>
      <c r="Q983" s="30"/>
      <c r="R983" s="30"/>
      <c r="S983" s="30"/>
      <c r="T983" s="30"/>
      <c r="U983" s="30"/>
      <c r="V983" s="30"/>
      <c r="W983" s="30"/>
      <c r="X983" s="30"/>
      <c r="Y983" s="30"/>
      <c r="Z983" s="22"/>
      <c r="AA983" s="32"/>
    </row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M3"/>
    <mergeCell ref="Q18:R18"/>
    <mergeCell ref="Q19:R19"/>
    <mergeCell ref="Q20:R20"/>
    <mergeCell ref="Q21:R21"/>
    <mergeCell ref="Q22:R22"/>
    <mergeCell ref="Q23:R23"/>
    <mergeCell ref="Q31:R31"/>
    <mergeCell ref="Q32:R32"/>
    <mergeCell ref="Q33:R33"/>
    <mergeCell ref="Q34:R34"/>
    <mergeCell ref="Q35:R35"/>
    <mergeCell ref="Q36:R36"/>
    <mergeCell ref="Q37:R37"/>
    <mergeCell ref="Q38:R38"/>
    <mergeCell ref="Q24:R24"/>
    <mergeCell ref="Q25:R25"/>
    <mergeCell ref="Q26:R26"/>
    <mergeCell ref="Q27:R27"/>
    <mergeCell ref="Q28:R28"/>
    <mergeCell ref="Q29:R29"/>
    <mergeCell ref="Q30:R30"/>
  </mergeCells>
  <conditionalFormatting sqref="C5:M43">
    <cfRule type="expression" dxfId="0" priority="1">
      <formula>$L5=1</formula>
    </cfRule>
  </conditionalFormatting>
  <dataValidations>
    <dataValidation type="list" allowBlank="1" sqref="F5:J43">
      <formula1>"1"</formula1>
    </dataValidation>
    <dataValidation type="list" allowBlank="1" sqref="D5:D43">
      <formula1>Masters!$B$6:$B$29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21.75"/>
    <col customWidth="1" min="3" max="6" width="12.63"/>
  </cols>
  <sheetData>
    <row r="1" ht="15.75" customHeight="1"/>
    <row r="2" ht="15.75" customHeight="1">
      <c r="B2" s="47" t="s">
        <v>136</v>
      </c>
      <c r="C2" s="48">
        <v>4.0</v>
      </c>
      <c r="D2" s="48">
        <v>4.0</v>
      </c>
      <c r="E2" s="48">
        <v>4.0</v>
      </c>
      <c r="F2" s="48">
        <v>4.0</v>
      </c>
      <c r="G2" s="48">
        <v>4.0</v>
      </c>
      <c r="H2" s="48">
        <v>4.0</v>
      </c>
    </row>
    <row r="3" ht="15.75" customHeight="1">
      <c r="B3" s="47" t="s">
        <v>137</v>
      </c>
      <c r="C3" s="48">
        <v>13.0</v>
      </c>
      <c r="D3" s="48">
        <v>20.0</v>
      </c>
      <c r="E3" s="48">
        <v>4.0</v>
      </c>
      <c r="F3" s="48">
        <v>8.0</v>
      </c>
      <c r="G3" s="48">
        <v>11.0</v>
      </c>
      <c r="H3" s="48">
        <v>17.0</v>
      </c>
    </row>
    <row r="4" ht="15.75" customHeight="1">
      <c r="B4" s="47" t="s">
        <v>138</v>
      </c>
      <c r="C4" s="48">
        <f t="shared" ref="C4:I4" si="1">C2* 4- (C3-C2)</f>
        <v>7</v>
      </c>
      <c r="D4" s="48">
        <f t="shared" si="1"/>
        <v>0</v>
      </c>
      <c r="E4" s="48">
        <f t="shared" si="1"/>
        <v>16</v>
      </c>
      <c r="F4" s="48">
        <f t="shared" si="1"/>
        <v>12</v>
      </c>
      <c r="G4" s="48">
        <f t="shared" si="1"/>
        <v>9</v>
      </c>
      <c r="H4" s="48">
        <f t="shared" si="1"/>
        <v>3</v>
      </c>
      <c r="I4" s="48">
        <f t="shared" si="1"/>
        <v>0</v>
      </c>
    </row>
    <row r="5" ht="15.75" customHeight="1">
      <c r="A5" s="49"/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51" t="s">
        <v>139</v>
      </c>
      <c r="B6" s="51" t="s">
        <v>140</v>
      </c>
      <c r="C6" s="41">
        <f t="shared" ref="C6:H6" si="2">(6-C3/C2)</f>
        <v>2.75</v>
      </c>
      <c r="D6" s="41">
        <f t="shared" si="2"/>
        <v>1</v>
      </c>
      <c r="E6" s="41">
        <f t="shared" si="2"/>
        <v>5</v>
      </c>
      <c r="F6" s="41">
        <f t="shared" si="2"/>
        <v>4</v>
      </c>
      <c r="G6" s="41">
        <f t="shared" si="2"/>
        <v>3.25</v>
      </c>
      <c r="H6" s="41">
        <f t="shared" si="2"/>
        <v>1.75</v>
      </c>
    </row>
    <row r="7" ht="15.75" customHeight="1">
      <c r="B7" s="51" t="s">
        <v>141</v>
      </c>
      <c r="C7" s="52">
        <f t="shared" ref="C7:H7" si="3">(C6-1)/4</f>
        <v>0.4375</v>
      </c>
      <c r="D7" s="52">
        <f t="shared" si="3"/>
        <v>0</v>
      </c>
      <c r="E7" s="52">
        <f t="shared" si="3"/>
        <v>1</v>
      </c>
      <c r="F7" s="52">
        <f t="shared" si="3"/>
        <v>0.75</v>
      </c>
      <c r="G7" s="52">
        <f t="shared" si="3"/>
        <v>0.5625</v>
      </c>
      <c r="H7" s="52">
        <f t="shared" si="3"/>
        <v>0.1875</v>
      </c>
    </row>
    <row r="8" ht="15.75" customHeight="1">
      <c r="B8" s="51" t="s">
        <v>142</v>
      </c>
      <c r="C8" s="41">
        <f t="shared" ref="C8:H8" si="4">ROUND((C7*100)/(100/4),0)+1</f>
        <v>3</v>
      </c>
      <c r="D8" s="41">
        <f t="shared" si="4"/>
        <v>1</v>
      </c>
      <c r="E8" s="41">
        <f t="shared" si="4"/>
        <v>5</v>
      </c>
      <c r="F8" s="41">
        <f t="shared" si="4"/>
        <v>4</v>
      </c>
      <c r="G8" s="41">
        <f t="shared" si="4"/>
        <v>3</v>
      </c>
      <c r="H8" s="41">
        <f t="shared" si="4"/>
        <v>2</v>
      </c>
    </row>
    <row r="9" ht="15.75" customHeight="1">
      <c r="B9" s="47"/>
    </row>
    <row r="10" ht="15.75" customHeight="1">
      <c r="A10" s="53" t="s">
        <v>143</v>
      </c>
      <c r="B10" s="54"/>
      <c r="C10" s="55">
        <f t="shared" ref="C10:H10" si="5">C4/C2</f>
        <v>1.75</v>
      </c>
      <c r="D10" s="55">
        <f t="shared" si="5"/>
        <v>0</v>
      </c>
      <c r="E10" s="55">
        <f t="shared" si="5"/>
        <v>4</v>
      </c>
      <c r="F10" s="55">
        <f t="shared" si="5"/>
        <v>3</v>
      </c>
      <c r="G10" s="55">
        <f t="shared" si="5"/>
        <v>2.25</v>
      </c>
      <c r="H10" s="55">
        <f t="shared" si="5"/>
        <v>0.75</v>
      </c>
    </row>
    <row r="11" ht="15.75" customHeight="1">
      <c r="B11" s="56" t="s">
        <v>144</v>
      </c>
      <c r="C11" s="57">
        <f t="shared" ref="C11:H11" si="6">C10/C2</f>
        <v>0.4375</v>
      </c>
      <c r="D11" s="57">
        <f t="shared" si="6"/>
        <v>0</v>
      </c>
      <c r="E11" s="57">
        <f t="shared" si="6"/>
        <v>1</v>
      </c>
      <c r="F11" s="57">
        <f t="shared" si="6"/>
        <v>0.75</v>
      </c>
      <c r="G11" s="57">
        <f t="shared" si="6"/>
        <v>0.5625</v>
      </c>
      <c r="H11" s="57">
        <f t="shared" si="6"/>
        <v>0.1875</v>
      </c>
    </row>
    <row r="12" ht="15.75" customHeight="1">
      <c r="B12" s="56" t="s">
        <v>145</v>
      </c>
      <c r="C12" s="55">
        <f t="shared" ref="C12:H12" si="7">ROUND(C11*4,0)+1</f>
        <v>3</v>
      </c>
      <c r="D12" s="55">
        <f t="shared" si="7"/>
        <v>1</v>
      </c>
      <c r="E12" s="55">
        <f t="shared" si="7"/>
        <v>5</v>
      </c>
      <c r="F12" s="55">
        <f t="shared" si="7"/>
        <v>4</v>
      </c>
      <c r="G12" s="55">
        <f t="shared" si="7"/>
        <v>3</v>
      </c>
      <c r="H12" s="55">
        <f t="shared" si="7"/>
        <v>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25"/>
    <col customWidth="1" min="3" max="3" width="17.75"/>
    <col customWidth="1" min="4" max="4" width="40.25"/>
    <col customWidth="1" min="5" max="5" width="16.25"/>
    <col customWidth="1" min="6" max="15" width="4.63"/>
    <col customWidth="1" hidden="1" min="16" max="16" width="10.0"/>
    <col customWidth="1" hidden="1" min="17" max="17" width="11.5"/>
    <col customWidth="1" hidden="1" min="18" max="25" width="6.38"/>
    <col hidden="1" min="26" max="26" width="12.63"/>
    <col customWidth="1" min="27" max="27" width="3.63"/>
    <col customWidth="1" hidden="1" min="28" max="28" width="10.25"/>
    <col customWidth="1" hidden="1" min="29" max="29" width="10.13"/>
    <col hidden="1" min="30" max="31" width="12.63"/>
  </cols>
  <sheetData>
    <row r="1" ht="15.75" customHeight="1">
      <c r="E1" s="58"/>
      <c r="O1" s="58"/>
    </row>
    <row r="2" ht="15.75" customHeight="1">
      <c r="B2" s="59" t="s">
        <v>146</v>
      </c>
      <c r="C2" s="38">
        <f>502-C3</f>
        <v>3</v>
      </c>
      <c r="D2" s="34">
        <v>923.0</v>
      </c>
      <c r="E2" s="58"/>
      <c r="O2" s="58"/>
      <c r="P2" s="34">
        <v>501.0</v>
      </c>
    </row>
    <row r="3" ht="15.75" customHeight="1">
      <c r="B3" s="60" t="s">
        <v>147</v>
      </c>
      <c r="C3" s="61">
        <f>IFERROR(__xludf.DUMMYFUNCTION("countunique(C6:C1000)"),499.0)</f>
        <v>499</v>
      </c>
      <c r="E3" s="58"/>
      <c r="O3" s="58"/>
    </row>
    <row r="4" ht="15.75" customHeight="1">
      <c r="C4" s="62" t="str">
        <f>concatenate(countif(C5:C1000,"&gt;0"), " out of ", countif(C5:C1000,"&lt;&gt;"), " Added")</f>
        <v>923 out of 924 Added</v>
      </c>
      <c r="D4" s="63" t="s">
        <v>148</v>
      </c>
      <c r="E4" s="64" t="s">
        <v>149</v>
      </c>
      <c r="F4" s="37">
        <f>'Helper-Abilities'!D5</f>
        <v>2</v>
      </c>
      <c r="G4" s="37">
        <f>'Helper-Abilities'!E5</f>
        <v>3</v>
      </c>
      <c r="H4" s="37">
        <f>'Helper-Abilities'!F5</f>
        <v>3</v>
      </c>
      <c r="I4" s="37">
        <f>'Helper-Abilities'!G5</f>
        <v>3</v>
      </c>
      <c r="J4" s="37">
        <f>'Helper-Abilities'!H5</f>
        <v>4</v>
      </c>
      <c r="K4" s="37">
        <f>'Helper-Abilities'!I5</f>
        <v>3</v>
      </c>
      <c r="L4" s="37">
        <f>'Helper-Abilities'!J5</f>
        <v>3</v>
      </c>
      <c r="M4" s="37">
        <f>'Helper-Abilities'!K5</f>
        <v>3</v>
      </c>
      <c r="N4" s="37">
        <f>'Helper-Abilities'!L5</f>
        <v>3</v>
      </c>
      <c r="O4" s="58"/>
    </row>
    <row r="5" ht="15.75" customHeight="1">
      <c r="A5" s="63"/>
      <c r="B5" s="63" t="s">
        <v>150</v>
      </c>
      <c r="C5" s="65" t="s">
        <v>151</v>
      </c>
      <c r="D5" s="66" t="str">
        <f>'Helper-Abilities'!B7</f>
        <v>Occupation</v>
      </c>
      <c r="E5" s="67" t="s">
        <v>78</v>
      </c>
      <c r="F5" s="66" t="str">
        <f>'Helper-Abilities'!D7</f>
        <v>gla</v>
      </c>
      <c r="G5" s="66" t="str">
        <f>'Helper-Abilities'!E7</f>
        <v>va</v>
      </c>
      <c r="H5" s="66" t="str">
        <f>'Helper-Abilities'!F7</f>
        <v>na</v>
      </c>
      <c r="I5" s="66" t="str">
        <f>'Helper-Abilities'!G7</f>
        <v>sp</v>
      </c>
      <c r="J5" s="66" t="str">
        <f>'Helper-Abilities'!H7</f>
        <v>fp</v>
      </c>
      <c r="K5" s="66" t="str">
        <f>'Helper-Abilities'!I7</f>
        <v>cp</v>
      </c>
      <c r="L5" s="66" t="str">
        <f>'Helper-Abilities'!J7</f>
        <v>mc</v>
      </c>
      <c r="M5" s="66" t="str">
        <f>'Helper-Abilities'!K7</f>
        <v>fd</v>
      </c>
      <c r="N5" s="66" t="str">
        <f>'Helper-Abilities'!L7</f>
        <v>md</v>
      </c>
      <c r="O5" s="68"/>
      <c r="P5" s="63" t="str">
        <f t="shared" ref="P5:Q5" si="1">C5</f>
        <v>NOCCodes</v>
      </c>
      <c r="Q5" s="63" t="str">
        <f t="shared" si="1"/>
        <v>Occupation</v>
      </c>
      <c r="R5" s="63" t="str">
        <f t="shared" ref="R5:Z5" si="2">F5</f>
        <v>gla</v>
      </c>
      <c r="S5" s="63" t="str">
        <f t="shared" si="2"/>
        <v>va</v>
      </c>
      <c r="T5" s="63" t="str">
        <f t="shared" si="2"/>
        <v>na</v>
      </c>
      <c r="U5" s="63" t="str">
        <f t="shared" si="2"/>
        <v>sp</v>
      </c>
      <c r="V5" s="63" t="str">
        <f t="shared" si="2"/>
        <v>fp</v>
      </c>
      <c r="W5" s="63" t="str">
        <f t="shared" si="2"/>
        <v>cp</v>
      </c>
      <c r="X5" s="63" t="str">
        <f t="shared" si="2"/>
        <v>mc</v>
      </c>
      <c r="Y5" s="63" t="str">
        <f t="shared" si="2"/>
        <v>fd</v>
      </c>
      <c r="Z5" s="63" t="str">
        <f t="shared" si="2"/>
        <v>md</v>
      </c>
      <c r="AA5" s="63"/>
      <c r="AB5" s="4" t="s">
        <v>15</v>
      </c>
      <c r="AC5" s="4" t="s">
        <v>16</v>
      </c>
      <c r="AD5" s="10" t="s">
        <v>152</v>
      </c>
      <c r="AE5" s="10" t="s">
        <v>153</v>
      </c>
    </row>
    <row r="6" ht="15.75" customHeight="1">
      <c r="B6" s="69" t="s">
        <v>18</v>
      </c>
      <c r="C6" s="34">
        <v>7237.0</v>
      </c>
      <c r="D6" s="70" t="s">
        <v>154</v>
      </c>
      <c r="E6" s="71" t="str">
        <f>vlookup(C6,'NOC-List'!B$2:C$502,2,False)</f>
        <v>Welders and related machine operators</v>
      </c>
      <c r="F6" s="72">
        <v>3.0</v>
      </c>
      <c r="G6" s="72">
        <v>4.0</v>
      </c>
      <c r="H6" s="72">
        <v>3.0</v>
      </c>
      <c r="I6" s="72">
        <v>2.0</v>
      </c>
      <c r="J6" s="72">
        <v>3.0</v>
      </c>
      <c r="K6" s="72">
        <v>4.0</v>
      </c>
      <c r="L6" s="72">
        <v>3.0</v>
      </c>
      <c r="M6" s="72">
        <v>4.0</v>
      </c>
      <c r="N6" s="72">
        <v>3.0</v>
      </c>
      <c r="O6" s="73"/>
      <c r="P6" s="35">
        <f>IFERROR(__xludf.DUMMYFUNCTION("UNIQUE(QUERY(C6:N1000, ""select C where C &gt;0"", 0))"),7237.0)</f>
        <v>7237</v>
      </c>
      <c r="Q6" s="35" t="str">
        <f>IFERROR(__xludf.DUMMYFUNCTION("query(C6:N999,""Select D,E,F,G,H,I,J,K,L,M WHERE ""&amp;P6&amp;"" =C Limit 1"")"),"Welders")</f>
        <v>Welders</v>
      </c>
      <c r="R6" s="35" t="str">
        <f>IFERROR(__xludf.DUMMYFUNCTION("""COMPUTED_VALUE"""),"Welders and related machine operators")</f>
        <v>Welders and related machine operators</v>
      </c>
      <c r="S6" s="35">
        <f>IFERROR(__xludf.DUMMYFUNCTION("""COMPUTED_VALUE"""),3.0)</f>
        <v>3</v>
      </c>
      <c r="T6" s="35">
        <f>IFERROR(__xludf.DUMMYFUNCTION("""COMPUTED_VALUE"""),4.0)</f>
        <v>4</v>
      </c>
      <c r="U6" s="35">
        <f>IFERROR(__xludf.DUMMYFUNCTION("""COMPUTED_VALUE"""),3.0)</f>
        <v>3</v>
      </c>
      <c r="V6" s="35">
        <f>IFERROR(__xludf.DUMMYFUNCTION("""COMPUTED_VALUE"""),2.0)</f>
        <v>2</v>
      </c>
      <c r="W6" s="35">
        <f>IFERROR(__xludf.DUMMYFUNCTION("""COMPUTED_VALUE"""),3.0)</f>
        <v>3</v>
      </c>
      <c r="X6" s="35">
        <f>IFERROR(__xludf.DUMMYFUNCTION("""COMPUTED_VALUE"""),4.0)</f>
        <v>4</v>
      </c>
      <c r="Y6" s="35">
        <f>IFERROR(__xludf.DUMMYFUNCTION("""COMPUTED_VALUE"""),3.0)</f>
        <v>3</v>
      </c>
      <c r="Z6" s="35">
        <f>IFERROR(__xludf.DUMMYFUNCTION("""COMPUTED_VALUE"""),4.0)</f>
        <v>4</v>
      </c>
      <c r="AB6" s="74" t="s">
        <v>155</v>
      </c>
      <c r="AC6" s="75">
        <v>1.0</v>
      </c>
      <c r="AD6" s="76">
        <f t="shared" ref="AD6:AD10" si="3">countif(F6:N928,AC6)</f>
        <v>236</v>
      </c>
      <c r="AE6" s="77">
        <f t="shared" ref="AE6:AE10" si="4">AD6/countif(F$6:N$928,"&gt;0")</f>
        <v>0.02840977489</v>
      </c>
    </row>
    <row r="7" ht="15.75" customHeight="1">
      <c r="B7" s="69" t="s">
        <v>30</v>
      </c>
      <c r="C7" s="34">
        <v>5225.0</v>
      </c>
      <c r="D7" s="70" t="s">
        <v>156</v>
      </c>
      <c r="E7" s="71" t="str">
        <f>vlookup(C7,'NOC-List'!B$2:C$502,2,False)</f>
        <v>Audio and video recording technicians</v>
      </c>
      <c r="F7" s="72">
        <v>3.0</v>
      </c>
      <c r="G7" s="72">
        <v>3.0</v>
      </c>
      <c r="H7" s="72">
        <v>3.0</v>
      </c>
      <c r="I7" s="72">
        <v>3.0</v>
      </c>
      <c r="J7" s="72">
        <v>3.0</v>
      </c>
      <c r="K7" s="72">
        <v>4.0</v>
      </c>
      <c r="L7" s="72">
        <v>3.0</v>
      </c>
      <c r="M7" s="72">
        <v>3.0</v>
      </c>
      <c r="N7" s="72">
        <v>3.0</v>
      </c>
      <c r="O7" s="73"/>
      <c r="P7" s="35">
        <f>IFERROR(__xludf.DUMMYFUNCTION("""COMPUTED_VALUE"""),5225.0)</f>
        <v>5225</v>
      </c>
      <c r="Q7" s="35" t="str">
        <f>IFERROR(__xludf.DUMMYFUNCTION("query(C7:N1000,""Select D,E,F,G,H,I,J,K,L,M WHERE ""&amp;P7&amp;"" =C Limit 1"")"),"Audio and Video Recording Technicians")</f>
        <v>Audio and Video Recording Technicians</v>
      </c>
      <c r="R7" s="35" t="str">
        <f>IFERROR(__xludf.DUMMYFUNCTION("""COMPUTED_VALUE"""),"Audio and video recording technicians")</f>
        <v>Audio and video recording technicians</v>
      </c>
      <c r="S7" s="35">
        <f>IFERROR(__xludf.DUMMYFUNCTION("""COMPUTED_VALUE"""),3.0)</f>
        <v>3</v>
      </c>
      <c r="T7" s="35">
        <f>IFERROR(__xludf.DUMMYFUNCTION("""COMPUTED_VALUE"""),3.0)</f>
        <v>3</v>
      </c>
      <c r="U7" s="35">
        <f>IFERROR(__xludf.DUMMYFUNCTION("""COMPUTED_VALUE"""),3.0)</f>
        <v>3</v>
      </c>
      <c r="V7" s="35">
        <f>IFERROR(__xludf.DUMMYFUNCTION("""COMPUTED_VALUE"""),3.0)</f>
        <v>3</v>
      </c>
      <c r="W7" s="35">
        <f>IFERROR(__xludf.DUMMYFUNCTION("""COMPUTED_VALUE"""),3.0)</f>
        <v>3</v>
      </c>
      <c r="X7" s="35">
        <f>IFERROR(__xludf.DUMMYFUNCTION("""COMPUTED_VALUE"""),4.0)</f>
        <v>4</v>
      </c>
      <c r="Y7" s="35">
        <f>IFERROR(__xludf.DUMMYFUNCTION("""COMPUTED_VALUE"""),3.0)</f>
        <v>3</v>
      </c>
      <c r="Z7" s="35">
        <f>IFERROR(__xludf.DUMMYFUNCTION("""COMPUTED_VALUE"""),3.0)</f>
        <v>3</v>
      </c>
      <c r="AB7" s="74" t="s">
        <v>157</v>
      </c>
      <c r="AC7" s="75">
        <v>2.0</v>
      </c>
      <c r="AD7" s="76">
        <f t="shared" si="3"/>
        <v>968</v>
      </c>
      <c r="AE7" s="77">
        <f t="shared" si="4"/>
        <v>0.1165282292</v>
      </c>
    </row>
    <row r="8" ht="15.75" customHeight="1">
      <c r="B8" s="69" t="s">
        <v>42</v>
      </c>
      <c r="C8" s="34">
        <v>2244.0</v>
      </c>
      <c r="D8" s="70" t="s">
        <v>158</v>
      </c>
      <c r="E8" s="71" t="str">
        <f>vlookup(C8,'NOC-List'!B$2:C$502,2,False)</f>
        <v>Aircraft instrument, electrical and avionics mechanics, technicians and inspectors</v>
      </c>
      <c r="F8" s="72">
        <v>3.0</v>
      </c>
      <c r="G8" s="72">
        <v>3.0</v>
      </c>
      <c r="H8" s="72">
        <v>3.0</v>
      </c>
      <c r="I8" s="72">
        <v>2.0</v>
      </c>
      <c r="J8" s="72">
        <v>2.0</v>
      </c>
      <c r="K8" s="72">
        <v>4.0</v>
      </c>
      <c r="L8" s="72">
        <v>3.0</v>
      </c>
      <c r="M8" s="72">
        <v>2.0</v>
      </c>
      <c r="N8" s="72">
        <v>2.0</v>
      </c>
      <c r="O8" s="78"/>
      <c r="P8" s="35">
        <f>IFERROR(__xludf.DUMMYFUNCTION("""COMPUTED_VALUE"""),2244.0)</f>
        <v>2244</v>
      </c>
      <c r="Q8" s="35" t="str">
        <f>IFERROR(__xludf.DUMMYFUNCTION("query(C8:N1001,""Select D,E,F,G,H,I,J,K,L,M WHERE ""&amp;P8&amp;"" =C Limit 1"")"),"Avionics Inspectors")</f>
        <v>Avionics Inspectors</v>
      </c>
      <c r="R8" s="35" t="str">
        <f>IFERROR(__xludf.DUMMYFUNCTION("""COMPUTED_VALUE"""),"Aircraft instrument, electrical and avionics mechanics, technicians and inspectors")</f>
        <v>Aircraft instrument, electrical and avionics mechanics, technicians and inspectors</v>
      </c>
      <c r="S8" s="35">
        <f>IFERROR(__xludf.DUMMYFUNCTION("""COMPUTED_VALUE"""),3.0)</f>
        <v>3</v>
      </c>
      <c r="T8" s="35">
        <f>IFERROR(__xludf.DUMMYFUNCTION("""COMPUTED_VALUE"""),3.0)</f>
        <v>3</v>
      </c>
      <c r="U8" s="35">
        <f>IFERROR(__xludf.DUMMYFUNCTION("""COMPUTED_VALUE"""),3.0)</f>
        <v>3</v>
      </c>
      <c r="V8" s="35">
        <f>IFERROR(__xludf.DUMMYFUNCTION("""COMPUTED_VALUE"""),2.0)</f>
        <v>2</v>
      </c>
      <c r="W8" s="35">
        <f>IFERROR(__xludf.DUMMYFUNCTION("""COMPUTED_VALUE"""),2.0)</f>
        <v>2</v>
      </c>
      <c r="X8" s="35">
        <f>IFERROR(__xludf.DUMMYFUNCTION("""COMPUTED_VALUE"""),4.0)</f>
        <v>4</v>
      </c>
      <c r="Y8" s="35">
        <f>IFERROR(__xludf.DUMMYFUNCTION("""COMPUTED_VALUE"""),3.0)</f>
        <v>3</v>
      </c>
      <c r="Z8" s="35">
        <f>IFERROR(__xludf.DUMMYFUNCTION("""COMPUTED_VALUE"""),2.0)</f>
        <v>2</v>
      </c>
      <c r="AB8" s="74" t="s">
        <v>159</v>
      </c>
      <c r="AC8" s="75">
        <v>3.0</v>
      </c>
      <c r="AD8" s="76">
        <f t="shared" si="3"/>
        <v>3434</v>
      </c>
      <c r="AE8" s="77">
        <f t="shared" si="4"/>
        <v>0.4133863007</v>
      </c>
    </row>
    <row r="9" ht="15.75" customHeight="1">
      <c r="B9" s="69" t="s">
        <v>24</v>
      </c>
      <c r="C9" s="34">
        <v>6332.0</v>
      </c>
      <c r="D9" s="70" t="s">
        <v>160</v>
      </c>
      <c r="E9" s="71" t="str">
        <f>vlookup(C9,'NOC-List'!B$2:C$502,2,False)</f>
        <v>Bakers</v>
      </c>
      <c r="F9" s="72">
        <v>3.0</v>
      </c>
      <c r="G9" s="72">
        <v>3.0</v>
      </c>
      <c r="H9" s="72">
        <v>3.0</v>
      </c>
      <c r="I9" s="72">
        <v>3.0</v>
      </c>
      <c r="J9" s="72">
        <v>3.0</v>
      </c>
      <c r="K9" s="72">
        <v>4.0</v>
      </c>
      <c r="L9" s="72">
        <v>3.0</v>
      </c>
      <c r="M9" s="72">
        <v>3.0</v>
      </c>
      <c r="N9" s="72">
        <v>3.0</v>
      </c>
      <c r="O9" s="73"/>
      <c r="P9" s="35">
        <f>IFERROR(__xludf.DUMMYFUNCTION("""COMPUTED_VALUE"""),6332.0)</f>
        <v>6332</v>
      </c>
      <c r="Q9" s="35" t="str">
        <f>IFERROR(__xludf.DUMMYFUNCTION("query(C9:N1002,""Select D,E,F,G,H,I,J,K,L,M WHERE ""&amp;P9&amp;"" =C Limit 1"")"),"Bakers")</f>
        <v>Bakers</v>
      </c>
      <c r="R9" s="35" t="str">
        <f>IFERROR(__xludf.DUMMYFUNCTION("""COMPUTED_VALUE"""),"Bakers")</f>
        <v>Bakers</v>
      </c>
      <c r="S9" s="35">
        <f>IFERROR(__xludf.DUMMYFUNCTION("""COMPUTED_VALUE"""),3.0)</f>
        <v>3</v>
      </c>
      <c r="T9" s="35">
        <f>IFERROR(__xludf.DUMMYFUNCTION("""COMPUTED_VALUE"""),3.0)</f>
        <v>3</v>
      </c>
      <c r="U9" s="35">
        <f>IFERROR(__xludf.DUMMYFUNCTION("""COMPUTED_VALUE"""),3.0)</f>
        <v>3</v>
      </c>
      <c r="V9" s="35">
        <f>IFERROR(__xludf.DUMMYFUNCTION("""COMPUTED_VALUE"""),3.0)</f>
        <v>3</v>
      </c>
      <c r="W9" s="35">
        <f>IFERROR(__xludf.DUMMYFUNCTION("""COMPUTED_VALUE"""),3.0)</f>
        <v>3</v>
      </c>
      <c r="X9" s="35">
        <f>IFERROR(__xludf.DUMMYFUNCTION("""COMPUTED_VALUE"""),4.0)</f>
        <v>4</v>
      </c>
      <c r="Y9" s="35">
        <f>IFERROR(__xludf.DUMMYFUNCTION("""COMPUTED_VALUE"""),3.0)</f>
        <v>3</v>
      </c>
      <c r="Z9" s="35">
        <f>IFERROR(__xludf.DUMMYFUNCTION("""COMPUTED_VALUE"""),3.0)</f>
        <v>3</v>
      </c>
      <c r="AB9" s="74" t="s">
        <v>161</v>
      </c>
      <c r="AC9" s="75">
        <v>4.0</v>
      </c>
      <c r="AD9" s="76">
        <f t="shared" si="3"/>
        <v>3510</v>
      </c>
      <c r="AE9" s="77">
        <f t="shared" si="4"/>
        <v>0.4225352113</v>
      </c>
    </row>
    <row r="10" ht="15.75" customHeight="1">
      <c r="B10" s="69" t="s">
        <v>21</v>
      </c>
      <c r="C10" s="34">
        <v>6341.0</v>
      </c>
      <c r="D10" s="70" t="s">
        <v>162</v>
      </c>
      <c r="E10" s="71" t="str">
        <f>vlookup(C10,'NOC-List'!B$2:C$502,2,False)</f>
        <v>Hairstylists and barbers</v>
      </c>
      <c r="F10" s="72">
        <v>3.0</v>
      </c>
      <c r="G10" s="72">
        <v>3.0</v>
      </c>
      <c r="H10" s="72">
        <v>4.0</v>
      </c>
      <c r="I10" s="72">
        <v>4.0</v>
      </c>
      <c r="J10" s="72">
        <v>3.0</v>
      </c>
      <c r="K10" s="72">
        <v>4.0</v>
      </c>
      <c r="L10" s="72">
        <v>3.0</v>
      </c>
      <c r="M10" s="72">
        <v>3.0</v>
      </c>
      <c r="N10" s="72">
        <v>3.0</v>
      </c>
      <c r="O10" s="73"/>
      <c r="P10" s="35">
        <f>IFERROR(__xludf.DUMMYFUNCTION("""COMPUTED_VALUE"""),6341.0)</f>
        <v>6341</v>
      </c>
      <c r="Q10" s="35" t="str">
        <f>IFERROR(__xludf.DUMMYFUNCTION("query(C10:N1003,""Select D,E,F,G,H,I,J,K,L,M WHERE ""&amp;P10&amp;"" =C Limit 1"")"),"Barbers")</f>
        <v>Barbers</v>
      </c>
      <c r="R10" s="35" t="str">
        <f>IFERROR(__xludf.DUMMYFUNCTION("""COMPUTED_VALUE"""),"Hairstylists and barbers")</f>
        <v>Hairstylists and barbers</v>
      </c>
      <c r="S10" s="35">
        <f>IFERROR(__xludf.DUMMYFUNCTION("""COMPUTED_VALUE"""),3.0)</f>
        <v>3</v>
      </c>
      <c r="T10" s="35">
        <f>IFERROR(__xludf.DUMMYFUNCTION("""COMPUTED_VALUE"""),3.0)</f>
        <v>3</v>
      </c>
      <c r="U10" s="35">
        <f>IFERROR(__xludf.DUMMYFUNCTION("""COMPUTED_VALUE"""),4.0)</f>
        <v>4</v>
      </c>
      <c r="V10" s="35">
        <f>IFERROR(__xludf.DUMMYFUNCTION("""COMPUTED_VALUE"""),4.0)</f>
        <v>4</v>
      </c>
      <c r="W10" s="35">
        <f>IFERROR(__xludf.DUMMYFUNCTION("""COMPUTED_VALUE"""),3.0)</f>
        <v>3</v>
      </c>
      <c r="X10" s="35">
        <f>IFERROR(__xludf.DUMMYFUNCTION("""COMPUTED_VALUE"""),4.0)</f>
        <v>4</v>
      </c>
      <c r="Y10" s="35">
        <f>IFERROR(__xludf.DUMMYFUNCTION("""COMPUTED_VALUE"""),3.0)</f>
        <v>3</v>
      </c>
      <c r="Z10" s="35">
        <f>IFERROR(__xludf.DUMMYFUNCTION("""COMPUTED_VALUE"""),3.0)</f>
        <v>3</v>
      </c>
      <c r="AB10" s="79">
        <v>1.0</v>
      </c>
      <c r="AC10" s="75">
        <v>5.0</v>
      </c>
      <c r="AD10" s="76">
        <f t="shared" si="3"/>
        <v>140</v>
      </c>
      <c r="AE10" s="77">
        <f t="shared" si="4"/>
        <v>0.01685325629</v>
      </c>
    </row>
    <row r="11" ht="15.75" customHeight="1">
      <c r="B11" s="69" t="s">
        <v>39</v>
      </c>
      <c r="C11" s="34">
        <v>9473.0</v>
      </c>
      <c r="D11" s="70" t="s">
        <v>163</v>
      </c>
      <c r="E11" s="71" t="str">
        <f>vlookup(C11,'NOC-List'!B$2:C$502,2,False)</f>
        <v>Binding and finishing machine operators</v>
      </c>
      <c r="F11" s="72">
        <v>3.0</v>
      </c>
      <c r="G11" s="72">
        <v>3.0</v>
      </c>
      <c r="H11" s="72">
        <v>4.0</v>
      </c>
      <c r="I11" s="72">
        <v>3.0</v>
      </c>
      <c r="J11" s="72">
        <v>3.0</v>
      </c>
      <c r="K11" s="72">
        <v>4.0</v>
      </c>
      <c r="L11" s="72">
        <v>3.0</v>
      </c>
      <c r="M11" s="72">
        <v>4.0</v>
      </c>
      <c r="N11" s="72">
        <v>3.0</v>
      </c>
      <c r="O11" s="73"/>
      <c r="P11" s="35">
        <f>IFERROR(__xludf.DUMMYFUNCTION("""COMPUTED_VALUE"""),9473.0)</f>
        <v>9473</v>
      </c>
      <c r="Q11" s="35" t="str">
        <f>IFERROR(__xludf.DUMMYFUNCTION("query(C11:N1004,""Select D,E,F,G,H,I,J,K,L,M WHERE ""&amp;P11&amp;"" =C Limit 1"")"),"Binding and Finishing Machine Operators")</f>
        <v>Binding and Finishing Machine Operators</v>
      </c>
      <c r="R11" s="35" t="str">
        <f>IFERROR(__xludf.DUMMYFUNCTION("""COMPUTED_VALUE"""),"Binding and finishing machine operators")</f>
        <v>Binding and finishing machine operators</v>
      </c>
      <c r="S11" s="35">
        <f>IFERROR(__xludf.DUMMYFUNCTION("""COMPUTED_VALUE"""),3.0)</f>
        <v>3</v>
      </c>
      <c r="T11" s="35">
        <f>IFERROR(__xludf.DUMMYFUNCTION("""COMPUTED_VALUE"""),3.0)</f>
        <v>3</v>
      </c>
      <c r="U11" s="35">
        <f>IFERROR(__xludf.DUMMYFUNCTION("""COMPUTED_VALUE"""),4.0)</f>
        <v>4</v>
      </c>
      <c r="V11" s="35">
        <f>IFERROR(__xludf.DUMMYFUNCTION("""COMPUTED_VALUE"""),3.0)</f>
        <v>3</v>
      </c>
      <c r="W11" s="35">
        <f>IFERROR(__xludf.DUMMYFUNCTION("""COMPUTED_VALUE"""),3.0)</f>
        <v>3</v>
      </c>
      <c r="X11" s="35">
        <f>IFERROR(__xludf.DUMMYFUNCTION("""COMPUTED_VALUE"""),4.0)</f>
        <v>4</v>
      </c>
      <c r="Y11" s="35">
        <f>IFERROR(__xludf.DUMMYFUNCTION("""COMPUTED_VALUE"""),3.0)</f>
        <v>3</v>
      </c>
      <c r="Z11" s="35">
        <f>IFERROR(__xludf.DUMMYFUNCTION("""COMPUTED_VALUE"""),4.0)</f>
        <v>4</v>
      </c>
    </row>
    <row r="12" ht="15.75" customHeight="1">
      <c r="B12" s="69" t="s">
        <v>33</v>
      </c>
      <c r="C12" s="34">
        <v>2221.0</v>
      </c>
      <c r="D12" s="70" t="s">
        <v>164</v>
      </c>
      <c r="E12" s="71" t="str">
        <f>vlookup(C12,'NOC-List'!B$2:C$502,2,False)</f>
        <v>Biological technologists and technicians</v>
      </c>
      <c r="F12" s="72">
        <v>2.0</v>
      </c>
      <c r="G12" s="72">
        <v>3.0</v>
      </c>
      <c r="H12" s="72">
        <v>3.0</v>
      </c>
      <c r="I12" s="72">
        <v>3.0</v>
      </c>
      <c r="J12" s="72">
        <v>2.0</v>
      </c>
      <c r="K12" s="72">
        <v>3.0</v>
      </c>
      <c r="L12" s="72">
        <v>3.0</v>
      </c>
      <c r="M12" s="72">
        <v>2.0</v>
      </c>
      <c r="N12" s="72">
        <v>3.0</v>
      </c>
      <c r="O12" s="78"/>
      <c r="P12" s="35">
        <f>IFERROR(__xludf.DUMMYFUNCTION("""COMPUTED_VALUE"""),2221.0)</f>
        <v>2221</v>
      </c>
      <c r="Q12" s="35" t="str">
        <f>IFERROR(__xludf.DUMMYFUNCTION("query(C12:N1005,""Select D,E,F,G,H,I,J,K,L,M WHERE ""&amp;P12&amp;"" =C Limit 1"")"),"Biological Technicians")</f>
        <v>Biological Technicians</v>
      </c>
      <c r="R12" s="35" t="str">
        <f>IFERROR(__xludf.DUMMYFUNCTION("""COMPUTED_VALUE"""),"Biological technologists and technicians")</f>
        <v>Biological technologists and technicians</v>
      </c>
      <c r="S12" s="35">
        <f>IFERROR(__xludf.DUMMYFUNCTION("""COMPUTED_VALUE"""),2.0)</f>
        <v>2</v>
      </c>
      <c r="T12" s="35">
        <f>IFERROR(__xludf.DUMMYFUNCTION("""COMPUTED_VALUE"""),3.0)</f>
        <v>3</v>
      </c>
      <c r="U12" s="35">
        <f>IFERROR(__xludf.DUMMYFUNCTION("""COMPUTED_VALUE"""),3.0)</f>
        <v>3</v>
      </c>
      <c r="V12" s="35">
        <f>IFERROR(__xludf.DUMMYFUNCTION("""COMPUTED_VALUE"""),3.0)</f>
        <v>3</v>
      </c>
      <c r="W12" s="35">
        <f>IFERROR(__xludf.DUMMYFUNCTION("""COMPUTED_VALUE"""),2.0)</f>
        <v>2</v>
      </c>
      <c r="X12" s="35">
        <f>IFERROR(__xludf.DUMMYFUNCTION("""COMPUTED_VALUE"""),3.0)</f>
        <v>3</v>
      </c>
      <c r="Y12" s="35">
        <f>IFERROR(__xludf.DUMMYFUNCTION("""COMPUTED_VALUE"""),3.0)</f>
        <v>3</v>
      </c>
      <c r="Z12" s="35">
        <f>IFERROR(__xludf.DUMMYFUNCTION("""COMPUTED_VALUE"""),2.0)</f>
        <v>2</v>
      </c>
    </row>
    <row r="13" ht="15.75" customHeight="1">
      <c r="B13" s="69" t="s">
        <v>27</v>
      </c>
      <c r="C13" s="80">
        <v>2222.0</v>
      </c>
      <c r="D13" s="70" t="s">
        <v>165</v>
      </c>
      <c r="E13" s="71" t="str">
        <f>vlookup(C13,'NOC-List'!B$2:C$502,2,False)</f>
        <v>Agricultural and fish products inspectors</v>
      </c>
      <c r="F13" s="72">
        <v>3.0</v>
      </c>
      <c r="G13" s="72">
        <v>4.0</v>
      </c>
      <c r="H13" s="72">
        <v>4.0</v>
      </c>
      <c r="I13" s="72">
        <v>3.0</v>
      </c>
      <c r="J13" s="72">
        <v>4.0</v>
      </c>
      <c r="K13" s="72">
        <v>4.0</v>
      </c>
      <c r="L13" s="72">
        <v>3.0</v>
      </c>
      <c r="M13" s="72">
        <v>4.0</v>
      </c>
      <c r="N13" s="72">
        <v>3.0</v>
      </c>
      <c r="O13" s="73"/>
      <c r="P13" s="35">
        <f>IFERROR(__xludf.DUMMYFUNCTION("""COMPUTED_VALUE"""),2222.0)</f>
        <v>2222</v>
      </c>
      <c r="Q13" s="35" t="str">
        <f>IFERROR(__xludf.DUMMYFUNCTION("query(C13:N1006,""Select D,E,F,G,H,I,J,K,L,M WHERE ""&amp;P13&amp;"" =C Limit 1"")"),"Agricultural and Related Service Contractors and Managers")</f>
        <v>Agricultural and Related Service Contractors and Managers</v>
      </c>
      <c r="R13" s="35" t="str">
        <f>IFERROR(__xludf.DUMMYFUNCTION("""COMPUTED_VALUE"""),"Agricultural and fish products inspectors")</f>
        <v>Agricultural and fish products inspectors</v>
      </c>
      <c r="S13" s="35">
        <f>IFERROR(__xludf.DUMMYFUNCTION("""COMPUTED_VALUE"""),3.0)</f>
        <v>3</v>
      </c>
      <c r="T13" s="35">
        <f>IFERROR(__xludf.DUMMYFUNCTION("""COMPUTED_VALUE"""),4.0)</f>
        <v>4</v>
      </c>
      <c r="U13" s="35">
        <f>IFERROR(__xludf.DUMMYFUNCTION("""COMPUTED_VALUE"""),4.0)</f>
        <v>4</v>
      </c>
      <c r="V13" s="35">
        <f>IFERROR(__xludf.DUMMYFUNCTION("""COMPUTED_VALUE"""),3.0)</f>
        <v>3</v>
      </c>
      <c r="W13" s="35">
        <f>IFERROR(__xludf.DUMMYFUNCTION("""COMPUTED_VALUE"""),4.0)</f>
        <v>4</v>
      </c>
      <c r="X13" s="35">
        <f>IFERROR(__xludf.DUMMYFUNCTION("""COMPUTED_VALUE"""),4.0)</f>
        <v>4</v>
      </c>
      <c r="Y13" s="35">
        <f>IFERROR(__xludf.DUMMYFUNCTION("""COMPUTED_VALUE"""),3.0)</f>
        <v>3</v>
      </c>
      <c r="Z13" s="35">
        <f>IFERROR(__xludf.DUMMYFUNCTION("""COMPUTED_VALUE"""),4.0)</f>
        <v>4</v>
      </c>
    </row>
    <row r="14" ht="15.75" customHeight="1">
      <c r="B14" s="69" t="s">
        <v>36</v>
      </c>
      <c r="C14" s="81">
        <v>9524.0</v>
      </c>
      <c r="D14" s="70" t="s">
        <v>166</v>
      </c>
      <c r="E14" s="71" t="str">
        <f>vlookup(C14,'NOC-List'!B$2:C$502,2,False)</f>
        <v>Assemblers and inspectors, electrical appliance, apparatus and equipment manufacturing</v>
      </c>
      <c r="F14" s="72">
        <v>3.0</v>
      </c>
      <c r="G14" s="72">
        <v>4.0</v>
      </c>
      <c r="H14" s="72">
        <v>4.0</v>
      </c>
      <c r="I14" s="72">
        <v>4.0</v>
      </c>
      <c r="J14" s="72">
        <v>4.0</v>
      </c>
      <c r="K14" s="72">
        <v>4.0</v>
      </c>
      <c r="L14" s="72">
        <v>3.0</v>
      </c>
      <c r="M14" s="72">
        <v>3.0</v>
      </c>
      <c r="N14" s="72">
        <v>3.0</v>
      </c>
      <c r="O14" s="73"/>
      <c r="P14" s="35">
        <f>IFERROR(__xludf.DUMMYFUNCTION("""COMPUTED_VALUE"""),9524.0)</f>
        <v>9524</v>
      </c>
      <c r="Q14" s="35" t="str">
        <f>IFERROR(__xludf.DUMMYFUNCTION("query(C14:N1007,""Select D,E,F,G,H,I,J,K,L,M WHERE ""&amp;P14&amp;"" =C Limit 1"")"),"Assemblers, Electrical Appliance, Apparatus and Equipment Manufacturing")</f>
        <v>Assemblers, Electrical Appliance, Apparatus and Equipment Manufacturing</v>
      </c>
      <c r="R14" s="35" t="str">
        <f>IFERROR(__xludf.DUMMYFUNCTION("""COMPUTED_VALUE"""),"Assemblers and inspectors, electrical appliance, apparatus and equipment manufacturing")</f>
        <v>Assemblers and inspectors, electrical appliance, apparatus and equipment manufacturing</v>
      </c>
      <c r="S14" s="35">
        <f>IFERROR(__xludf.DUMMYFUNCTION("""COMPUTED_VALUE"""),3.0)</f>
        <v>3</v>
      </c>
      <c r="T14" s="35">
        <f>IFERROR(__xludf.DUMMYFUNCTION("""COMPUTED_VALUE"""),4.0)</f>
        <v>4</v>
      </c>
      <c r="U14" s="35">
        <f>IFERROR(__xludf.DUMMYFUNCTION("""COMPUTED_VALUE"""),4.0)</f>
        <v>4</v>
      </c>
      <c r="V14" s="35">
        <f>IFERROR(__xludf.DUMMYFUNCTION("""COMPUTED_VALUE"""),4.0)</f>
        <v>4</v>
      </c>
      <c r="W14" s="35">
        <f>IFERROR(__xludf.DUMMYFUNCTION("""COMPUTED_VALUE"""),4.0)</f>
        <v>4</v>
      </c>
      <c r="X14" s="35">
        <f>IFERROR(__xludf.DUMMYFUNCTION("""COMPUTED_VALUE"""),4.0)</f>
        <v>4</v>
      </c>
      <c r="Y14" s="35">
        <f>IFERROR(__xludf.DUMMYFUNCTION("""COMPUTED_VALUE"""),3.0)</f>
        <v>3</v>
      </c>
      <c r="Z14" s="35">
        <f>IFERROR(__xludf.DUMMYFUNCTION("""COMPUTED_VALUE"""),3.0)</f>
        <v>3</v>
      </c>
    </row>
    <row r="15" ht="15.75" customHeight="1">
      <c r="B15" s="34"/>
      <c r="C15" s="34">
        <v>9531.0</v>
      </c>
      <c r="D15" s="70" t="s">
        <v>167</v>
      </c>
      <c r="E15" s="71" t="str">
        <f>vlookup(C15,'NOC-List'!B$2:C$502,2,False)</f>
        <v>Boat assemblers and inspectors</v>
      </c>
      <c r="F15" s="72">
        <v>3.0</v>
      </c>
      <c r="G15" s="72">
        <v>4.0</v>
      </c>
      <c r="H15" s="72">
        <v>4.0</v>
      </c>
      <c r="I15" s="72">
        <v>3.0</v>
      </c>
      <c r="J15" s="72">
        <v>3.0</v>
      </c>
      <c r="K15" s="72">
        <v>5.0</v>
      </c>
      <c r="L15" s="72">
        <v>3.0</v>
      </c>
      <c r="M15" s="72">
        <v>4.0</v>
      </c>
      <c r="N15" s="72">
        <v>3.0</v>
      </c>
      <c r="O15" s="73"/>
      <c r="P15" s="35">
        <f>IFERROR(__xludf.DUMMYFUNCTION("""COMPUTED_VALUE"""),9531.0)</f>
        <v>9531</v>
      </c>
      <c r="Q15" s="35" t="str">
        <f>IFERROR(__xludf.DUMMYFUNCTION("query(C15:N1008,""Select D,E,F,G,H,I,J,K,L,M WHERE ""&amp;P15&amp;"" =C Limit 1"")"),"Boat Assemblers")</f>
        <v>Boat Assemblers</v>
      </c>
      <c r="R15" s="35" t="str">
        <f>IFERROR(__xludf.DUMMYFUNCTION("""COMPUTED_VALUE"""),"Boat assemblers and inspectors")</f>
        <v>Boat assemblers and inspectors</v>
      </c>
      <c r="S15" s="35">
        <f>IFERROR(__xludf.DUMMYFUNCTION("""COMPUTED_VALUE"""),3.0)</f>
        <v>3</v>
      </c>
      <c r="T15" s="35">
        <f>IFERROR(__xludf.DUMMYFUNCTION("""COMPUTED_VALUE"""),4.0)</f>
        <v>4</v>
      </c>
      <c r="U15" s="35">
        <f>IFERROR(__xludf.DUMMYFUNCTION("""COMPUTED_VALUE"""),4.0)</f>
        <v>4</v>
      </c>
      <c r="V15" s="35">
        <f>IFERROR(__xludf.DUMMYFUNCTION("""COMPUTED_VALUE"""),3.0)</f>
        <v>3</v>
      </c>
      <c r="W15" s="35">
        <f>IFERROR(__xludf.DUMMYFUNCTION("""COMPUTED_VALUE"""),3.0)</f>
        <v>3</v>
      </c>
      <c r="X15" s="35">
        <f>IFERROR(__xludf.DUMMYFUNCTION("""COMPUTED_VALUE"""),5.0)</f>
        <v>5</v>
      </c>
      <c r="Y15" s="35">
        <f>IFERROR(__xludf.DUMMYFUNCTION("""COMPUTED_VALUE"""),3.0)</f>
        <v>3</v>
      </c>
      <c r="Z15" s="35">
        <f>IFERROR(__xludf.DUMMYFUNCTION("""COMPUTED_VALUE"""),4.0)</f>
        <v>4</v>
      </c>
    </row>
    <row r="16" ht="15.75" customHeight="1">
      <c r="B16" s="34" t="s">
        <v>0</v>
      </c>
      <c r="C16" s="34">
        <v>5232.0</v>
      </c>
      <c r="D16" s="70" t="s">
        <v>168</v>
      </c>
      <c r="E16" s="71" t="str">
        <f>vlookup(C16,'NOC-List'!B$2:C$502,2,False)</f>
        <v>Other performers, n.e.c.</v>
      </c>
      <c r="F16" s="72">
        <v>3.0</v>
      </c>
      <c r="G16" s="72">
        <v>2.0</v>
      </c>
      <c r="H16" s="72">
        <v>4.0</v>
      </c>
      <c r="I16" s="72">
        <v>3.0</v>
      </c>
      <c r="J16" s="72">
        <v>3.0</v>
      </c>
      <c r="K16" s="72">
        <v>4.0</v>
      </c>
      <c r="L16" s="72">
        <v>3.0</v>
      </c>
      <c r="M16" s="72">
        <v>3.0</v>
      </c>
      <c r="N16" s="72">
        <v>3.0</v>
      </c>
      <c r="O16" s="73"/>
      <c r="P16" s="35">
        <f>IFERROR(__xludf.DUMMYFUNCTION("""COMPUTED_VALUE"""),5232.0)</f>
        <v>5232</v>
      </c>
      <c r="Q16" s="35" t="str">
        <f>IFERROR(__xludf.DUMMYFUNCTION("query(C16:N1009,""Select D,E,F,G,H,I,J,K,L,M WHERE ""&amp;P16&amp;"" =C Limit 1"")"),"Buskers")</f>
        <v>Buskers</v>
      </c>
      <c r="R16" s="35" t="str">
        <f>IFERROR(__xludf.DUMMYFUNCTION("""COMPUTED_VALUE"""),"Other performers, n.e.c.")</f>
        <v>Other performers, n.e.c.</v>
      </c>
      <c r="S16" s="35">
        <f>IFERROR(__xludf.DUMMYFUNCTION("""COMPUTED_VALUE"""),3.0)</f>
        <v>3</v>
      </c>
      <c r="T16" s="35">
        <f>IFERROR(__xludf.DUMMYFUNCTION("""COMPUTED_VALUE"""),2.0)</f>
        <v>2</v>
      </c>
      <c r="U16" s="35">
        <f>IFERROR(__xludf.DUMMYFUNCTION("""COMPUTED_VALUE"""),4.0)</f>
        <v>4</v>
      </c>
      <c r="V16" s="35">
        <f>IFERROR(__xludf.DUMMYFUNCTION("""COMPUTED_VALUE"""),3.0)</f>
        <v>3</v>
      </c>
      <c r="W16" s="35">
        <f>IFERROR(__xludf.DUMMYFUNCTION("""COMPUTED_VALUE"""),3.0)</f>
        <v>3</v>
      </c>
      <c r="X16" s="35">
        <f>IFERROR(__xludf.DUMMYFUNCTION("""COMPUTED_VALUE"""),4.0)</f>
        <v>4</v>
      </c>
      <c r="Y16" s="35">
        <f>IFERROR(__xludf.DUMMYFUNCTION("""COMPUTED_VALUE"""),3.0)</f>
        <v>3</v>
      </c>
      <c r="Z16" s="35">
        <f>IFERROR(__xludf.DUMMYFUNCTION("""COMPUTED_VALUE"""),3.0)</f>
        <v>3</v>
      </c>
    </row>
    <row r="17" ht="15.75" customHeight="1">
      <c r="C17" s="81">
        <v>7247.0</v>
      </c>
      <c r="D17" s="70" t="s">
        <v>169</v>
      </c>
      <c r="E17" s="71" t="str">
        <f>vlookup(C17,'NOC-List'!B$2:C$502,2,False)</f>
        <v>Cable television service and maintenance technicians</v>
      </c>
      <c r="F17" s="72">
        <v>3.0</v>
      </c>
      <c r="G17" s="72">
        <v>3.0</v>
      </c>
      <c r="H17" s="72">
        <v>4.0</v>
      </c>
      <c r="I17" s="72">
        <v>3.0</v>
      </c>
      <c r="J17" s="72">
        <v>4.0</v>
      </c>
      <c r="K17" s="72">
        <v>4.0</v>
      </c>
      <c r="L17" s="72">
        <v>3.0</v>
      </c>
      <c r="M17" s="72">
        <v>3.0</v>
      </c>
      <c r="N17" s="72">
        <v>3.0</v>
      </c>
      <c r="O17" s="73"/>
      <c r="P17" s="35">
        <f>IFERROR(__xludf.DUMMYFUNCTION("""COMPUTED_VALUE"""),7247.0)</f>
        <v>7247</v>
      </c>
      <c r="Q17" s="35" t="str">
        <f>IFERROR(__xludf.DUMMYFUNCTION("query(C17:N1010,""Select D,E,F,G,H,I,J,K,L,M WHERE ""&amp;P17&amp;"" =C Limit 1"")"),"Cable Television Maintenance Technicians")</f>
        <v>Cable Television Maintenance Technicians</v>
      </c>
      <c r="R17" s="35" t="str">
        <f>IFERROR(__xludf.DUMMYFUNCTION("""COMPUTED_VALUE"""),"Cable television service and maintenance technicians")</f>
        <v>Cable television service and maintenance technicians</v>
      </c>
      <c r="S17" s="35">
        <f>IFERROR(__xludf.DUMMYFUNCTION("""COMPUTED_VALUE"""),3.0)</f>
        <v>3</v>
      </c>
      <c r="T17" s="35">
        <f>IFERROR(__xludf.DUMMYFUNCTION("""COMPUTED_VALUE"""),3.0)</f>
        <v>3</v>
      </c>
      <c r="U17" s="35">
        <f>IFERROR(__xludf.DUMMYFUNCTION("""COMPUTED_VALUE"""),4.0)</f>
        <v>4</v>
      </c>
      <c r="V17" s="35">
        <f>IFERROR(__xludf.DUMMYFUNCTION("""COMPUTED_VALUE"""),3.0)</f>
        <v>3</v>
      </c>
      <c r="W17" s="35">
        <f>IFERROR(__xludf.DUMMYFUNCTION("""COMPUTED_VALUE"""),4.0)</f>
        <v>4</v>
      </c>
      <c r="X17" s="35">
        <f>IFERROR(__xludf.DUMMYFUNCTION("""COMPUTED_VALUE"""),4.0)</f>
        <v>4</v>
      </c>
      <c r="Y17" s="35">
        <f>IFERROR(__xludf.DUMMYFUNCTION("""COMPUTED_VALUE"""),3.0)</f>
        <v>3</v>
      </c>
      <c r="Z17" s="35">
        <f>IFERROR(__xludf.DUMMYFUNCTION("""COMPUTED_VALUE"""),3.0)</f>
        <v>3</v>
      </c>
    </row>
    <row r="18" ht="15.75" customHeight="1">
      <c r="C18" s="34">
        <v>7247.0</v>
      </c>
      <c r="D18" s="70" t="s">
        <v>170</v>
      </c>
      <c r="E18" s="71" t="str">
        <f>vlookup(C18,'NOC-List'!B$2:C$502,2,False)</f>
        <v>Cable television service and maintenance technicians</v>
      </c>
      <c r="F18" s="72">
        <v>3.0</v>
      </c>
      <c r="G18" s="72">
        <v>3.0</v>
      </c>
      <c r="H18" s="72">
        <v>4.0</v>
      </c>
      <c r="I18" s="72">
        <v>3.0</v>
      </c>
      <c r="J18" s="72">
        <v>4.0</v>
      </c>
      <c r="K18" s="72">
        <v>4.0</v>
      </c>
      <c r="L18" s="72">
        <v>3.0</v>
      </c>
      <c r="M18" s="72">
        <v>3.0</v>
      </c>
      <c r="N18" s="72">
        <v>3.0</v>
      </c>
      <c r="O18" s="73"/>
      <c r="P18" s="35">
        <f>IFERROR(__xludf.DUMMYFUNCTION("""COMPUTED_VALUE"""),3214.0)</f>
        <v>3214</v>
      </c>
      <c r="Q18" s="35" t="str">
        <f>IFERROR(__xludf.DUMMYFUNCTION("query(C18:N1011,""Select D,E,F,G,H,I,J,K,L,M WHERE ""&amp;P18&amp;"" =C Limit 1"")"),"Cardiopulmonary Technologists")</f>
        <v>Cardiopulmonary Technologists</v>
      </c>
      <c r="R18" s="35" t="str">
        <f>IFERROR(__xludf.DUMMYFUNCTION("""COMPUTED_VALUE"""),"Respiratory therapists, clinical perfusionists and cardiopulmonary technologists")</f>
        <v>Respiratory therapists, clinical perfusionists and cardiopulmonary technologists</v>
      </c>
      <c r="S18" s="35">
        <f>IFERROR(__xludf.DUMMYFUNCTION("""COMPUTED_VALUE"""),3.0)</f>
        <v>3</v>
      </c>
      <c r="T18" s="35">
        <f>IFERROR(__xludf.DUMMYFUNCTION("""COMPUTED_VALUE"""),3.0)</f>
        <v>3</v>
      </c>
      <c r="U18" s="35">
        <f>IFERROR(__xludf.DUMMYFUNCTION("""COMPUTED_VALUE"""),3.0)</f>
        <v>3</v>
      </c>
      <c r="V18" s="35">
        <f>IFERROR(__xludf.DUMMYFUNCTION("""COMPUTED_VALUE"""),3.0)</f>
        <v>3</v>
      </c>
      <c r="W18" s="35">
        <f>IFERROR(__xludf.DUMMYFUNCTION("""COMPUTED_VALUE"""),3.0)</f>
        <v>3</v>
      </c>
      <c r="X18" s="35">
        <f>IFERROR(__xludf.DUMMYFUNCTION("""COMPUTED_VALUE"""),4.0)</f>
        <v>4</v>
      </c>
      <c r="Y18" s="35">
        <f>IFERROR(__xludf.DUMMYFUNCTION("""COMPUTED_VALUE"""),3.0)</f>
        <v>3</v>
      </c>
      <c r="Z18" s="35">
        <f>IFERROR(__xludf.DUMMYFUNCTION("""COMPUTED_VALUE"""),3.0)</f>
        <v>3</v>
      </c>
    </row>
    <row r="19" ht="15.75" customHeight="1">
      <c r="C19" s="34">
        <v>9531.0</v>
      </c>
      <c r="D19" s="70" t="s">
        <v>171</v>
      </c>
      <c r="E19" s="71" t="str">
        <f>vlookup(C19,'NOC-List'!B$2:C$502,2,False)</f>
        <v>Boat assemblers and inspectors</v>
      </c>
      <c r="F19" s="72">
        <v>3.0</v>
      </c>
      <c r="G19" s="72">
        <v>4.0</v>
      </c>
      <c r="H19" s="72">
        <v>4.0</v>
      </c>
      <c r="I19" s="72">
        <v>3.0</v>
      </c>
      <c r="J19" s="72">
        <v>3.0</v>
      </c>
      <c r="K19" s="72">
        <v>5.0</v>
      </c>
      <c r="L19" s="72">
        <v>3.0</v>
      </c>
      <c r="M19" s="72">
        <v>4.0</v>
      </c>
      <c r="N19" s="72">
        <v>3.0</v>
      </c>
      <c r="O19" s="73"/>
      <c r="P19" s="35">
        <f>IFERROR(__xludf.DUMMYFUNCTION("""COMPUTED_VALUE"""),7271.0)</f>
        <v>7271</v>
      </c>
      <c r="Q19" s="35" t="str">
        <f>IFERROR(__xludf.DUMMYFUNCTION("query(C19:N1012,""Select D,E,F,G,H,I,J,K,L,M WHERE ""&amp;P19&amp;"" =C Limit 1"")"),"Carpenters")</f>
        <v>Carpenters</v>
      </c>
      <c r="R19" s="35" t="str">
        <f>IFERROR(__xludf.DUMMYFUNCTION("""COMPUTED_VALUE"""),"Carpenters")</f>
        <v>Carpenters</v>
      </c>
      <c r="S19" s="35">
        <f>IFERROR(__xludf.DUMMYFUNCTION("""COMPUTED_VALUE"""),3.0)</f>
        <v>3</v>
      </c>
      <c r="T19" s="35">
        <f>IFERROR(__xludf.DUMMYFUNCTION("""COMPUTED_VALUE"""),3.0)</f>
        <v>3</v>
      </c>
      <c r="U19" s="35">
        <f>IFERROR(__xludf.DUMMYFUNCTION("""COMPUTED_VALUE"""),3.0)</f>
        <v>3</v>
      </c>
      <c r="V19" s="35">
        <f>IFERROR(__xludf.DUMMYFUNCTION("""COMPUTED_VALUE"""),3.0)</f>
        <v>3</v>
      </c>
      <c r="W19" s="35">
        <f>IFERROR(__xludf.DUMMYFUNCTION("""COMPUTED_VALUE"""),3.0)</f>
        <v>3</v>
      </c>
      <c r="X19" s="35">
        <f>IFERROR(__xludf.DUMMYFUNCTION("""COMPUTED_VALUE"""),4.0)</f>
        <v>4</v>
      </c>
      <c r="Y19" s="35">
        <f>IFERROR(__xludf.DUMMYFUNCTION("""COMPUTED_VALUE"""),3.0)</f>
        <v>3</v>
      </c>
      <c r="Z19" s="35">
        <f>IFERROR(__xludf.DUMMYFUNCTION("""COMPUTED_VALUE"""),3.0)</f>
        <v>3</v>
      </c>
    </row>
    <row r="20" ht="15.75" customHeight="1">
      <c r="C20" s="34">
        <v>3214.0</v>
      </c>
      <c r="D20" s="70" t="s">
        <v>172</v>
      </c>
      <c r="E20" s="71" t="str">
        <f>vlookup(C20,'NOC-List'!B$2:C$502,2,False)</f>
        <v>Respiratory therapists, clinical perfusionists and cardiopulmonary technologists</v>
      </c>
      <c r="F20" s="72">
        <v>3.0</v>
      </c>
      <c r="G20" s="72">
        <v>3.0</v>
      </c>
      <c r="H20" s="72">
        <v>3.0</v>
      </c>
      <c r="I20" s="72">
        <v>3.0</v>
      </c>
      <c r="J20" s="72">
        <v>3.0</v>
      </c>
      <c r="K20" s="72">
        <v>4.0</v>
      </c>
      <c r="L20" s="72">
        <v>3.0</v>
      </c>
      <c r="M20" s="72">
        <v>3.0</v>
      </c>
      <c r="N20" s="72">
        <v>3.0</v>
      </c>
      <c r="O20" s="73"/>
      <c r="P20" s="35">
        <f>IFERROR(__xludf.DUMMYFUNCTION("""COMPUTED_VALUE"""),3122.0)</f>
        <v>3122</v>
      </c>
      <c r="Q20" s="35" t="str">
        <f>IFERROR(__xludf.DUMMYFUNCTION("query(C20:N1013,""Select D,E,F,G,H,I,J,K,L,M WHERE ""&amp;P20&amp;"" =C Limit 1"")"),"Chiropodists and Podiatrists")</f>
        <v>Chiropodists and Podiatrists</v>
      </c>
      <c r="R20" s="35" t="str">
        <f>IFERROR(__xludf.DUMMYFUNCTION("""COMPUTED_VALUE"""),"Chiropractors")</f>
        <v>Chiropractors</v>
      </c>
      <c r="S20" s="35">
        <f>IFERROR(__xludf.DUMMYFUNCTION("""COMPUTED_VALUE"""),2.0)</f>
        <v>2</v>
      </c>
      <c r="T20" s="35">
        <f>IFERROR(__xludf.DUMMYFUNCTION("""COMPUTED_VALUE"""),2.0)</f>
        <v>2</v>
      </c>
      <c r="U20" s="35">
        <f>IFERROR(__xludf.DUMMYFUNCTION("""COMPUTED_VALUE"""),3.0)</f>
        <v>3</v>
      </c>
      <c r="V20" s="35">
        <f>IFERROR(__xludf.DUMMYFUNCTION("""COMPUTED_VALUE"""),2.0)</f>
        <v>2</v>
      </c>
      <c r="W20" s="35">
        <f>IFERROR(__xludf.DUMMYFUNCTION("""COMPUTED_VALUE"""),2.0)</f>
        <v>2</v>
      </c>
      <c r="X20" s="35">
        <f>IFERROR(__xludf.DUMMYFUNCTION("""COMPUTED_VALUE"""),4.0)</f>
        <v>4</v>
      </c>
      <c r="Y20" s="35">
        <f>IFERROR(__xludf.DUMMYFUNCTION("""COMPUTED_VALUE"""),3.0)</f>
        <v>3</v>
      </c>
      <c r="Z20" s="35">
        <f>IFERROR(__xludf.DUMMYFUNCTION("""COMPUTED_VALUE"""),3.0)</f>
        <v>3</v>
      </c>
    </row>
    <row r="21" ht="15.75" customHeight="1">
      <c r="C21" s="34">
        <v>7271.0</v>
      </c>
      <c r="D21" s="70" t="s">
        <v>173</v>
      </c>
      <c r="E21" s="71" t="str">
        <f>vlookup(C21,'NOC-List'!B$2:C$502,2,False)</f>
        <v>Carpenters</v>
      </c>
      <c r="F21" s="72">
        <v>3.0</v>
      </c>
      <c r="G21" s="72">
        <v>3.0</v>
      </c>
      <c r="H21" s="72">
        <v>3.0</v>
      </c>
      <c r="I21" s="72">
        <v>3.0</v>
      </c>
      <c r="J21" s="72">
        <v>3.0</v>
      </c>
      <c r="K21" s="72">
        <v>4.0</v>
      </c>
      <c r="L21" s="72">
        <v>3.0</v>
      </c>
      <c r="M21" s="72">
        <v>3.0</v>
      </c>
      <c r="N21" s="72">
        <v>3.0</v>
      </c>
      <c r="O21" s="73"/>
      <c r="P21" s="35">
        <f>IFERROR(__xludf.DUMMYFUNCTION("""COMPUTED_VALUE"""),7384.0)</f>
        <v>7384</v>
      </c>
      <c r="Q21" s="35" t="str">
        <f>IFERROR(__xludf.DUMMYFUNCTION("query(C21:N1014,""Select D,E,F,G,H,I,J,K,L,M WHERE ""&amp;P21&amp;"" =C Limit 1"")"),"Commercial Divers")</f>
        <v>Commercial Divers</v>
      </c>
      <c r="R21" s="35" t="str">
        <f>IFERROR(__xludf.DUMMYFUNCTION("""COMPUTED_VALUE"""),"Other trades and related occupations, n.e.c.")</f>
        <v>Other trades and related occupations, n.e.c.</v>
      </c>
      <c r="S21" s="35">
        <f>IFERROR(__xludf.DUMMYFUNCTION("""COMPUTED_VALUE"""),3.0)</f>
        <v>3</v>
      </c>
      <c r="T21" s="35">
        <f>IFERROR(__xludf.DUMMYFUNCTION("""COMPUTED_VALUE"""),3.0)</f>
        <v>3</v>
      </c>
      <c r="U21" s="35">
        <f>IFERROR(__xludf.DUMMYFUNCTION("""COMPUTED_VALUE"""),4.0)</f>
        <v>4</v>
      </c>
      <c r="V21" s="35">
        <f>IFERROR(__xludf.DUMMYFUNCTION("""COMPUTED_VALUE"""),3.0)</f>
        <v>3</v>
      </c>
      <c r="W21" s="35">
        <f>IFERROR(__xludf.DUMMYFUNCTION("""COMPUTED_VALUE"""),3.0)</f>
        <v>3</v>
      </c>
      <c r="X21" s="35">
        <f>IFERROR(__xludf.DUMMYFUNCTION("""COMPUTED_VALUE"""),5.0)</f>
        <v>5</v>
      </c>
      <c r="Y21" s="35">
        <f>IFERROR(__xludf.DUMMYFUNCTION("""COMPUTED_VALUE"""),3.0)</f>
        <v>3</v>
      </c>
      <c r="Z21" s="35">
        <f>IFERROR(__xludf.DUMMYFUNCTION("""COMPUTED_VALUE"""),3.0)</f>
        <v>3</v>
      </c>
    </row>
    <row r="22" ht="15.75" customHeight="1">
      <c r="C22" s="81">
        <v>3122.0</v>
      </c>
      <c r="D22" s="70" t="s">
        <v>174</v>
      </c>
      <c r="E22" s="71" t="str">
        <f>vlookup(C22,'NOC-List'!B$2:C$502,2,False)</f>
        <v>Chiropractors</v>
      </c>
      <c r="F22" s="72">
        <v>2.0</v>
      </c>
      <c r="G22" s="72">
        <v>2.0</v>
      </c>
      <c r="H22" s="72">
        <v>3.0</v>
      </c>
      <c r="I22" s="72">
        <v>2.0</v>
      </c>
      <c r="J22" s="72">
        <v>2.0</v>
      </c>
      <c r="K22" s="72">
        <v>4.0</v>
      </c>
      <c r="L22" s="72">
        <v>3.0</v>
      </c>
      <c r="M22" s="72">
        <v>3.0</v>
      </c>
      <c r="N22" s="72">
        <v>3.0</v>
      </c>
      <c r="O22" s="73"/>
      <c r="P22" s="35">
        <f>IFERROR(__xludf.DUMMYFUNCTION("""COMPUTED_VALUE"""),5132.0)</f>
        <v>5132</v>
      </c>
      <c r="Q22" s="35" t="str">
        <f>IFERROR(__xludf.DUMMYFUNCTION("query(C22:N1015,""Select D,E,F,G,H,I,J,K,L,M WHERE ""&amp;P22&amp;"" =C Limit 1"")"),"Conductors")</f>
        <v>Conductors</v>
      </c>
      <c r="R22" s="35" t="str">
        <f>IFERROR(__xludf.DUMMYFUNCTION("""COMPUTED_VALUE"""),"Conductors, composers and arrangers")</f>
        <v>Conductors, composers and arrangers</v>
      </c>
      <c r="S22" s="35">
        <f>IFERROR(__xludf.DUMMYFUNCTION("""COMPUTED_VALUE"""),1.0)</f>
        <v>1</v>
      </c>
      <c r="T22" s="35">
        <f>IFERROR(__xludf.DUMMYFUNCTION("""COMPUTED_VALUE"""),2.0)</f>
        <v>2</v>
      </c>
      <c r="U22" s="35">
        <f>IFERROR(__xludf.DUMMYFUNCTION("""COMPUTED_VALUE"""),3.0)</f>
        <v>3</v>
      </c>
      <c r="V22" s="35">
        <f>IFERROR(__xludf.DUMMYFUNCTION("""COMPUTED_VALUE"""),3.0)</f>
        <v>3</v>
      </c>
      <c r="W22" s="35">
        <f>IFERROR(__xludf.DUMMYFUNCTION("""COMPUTED_VALUE"""),3.0)</f>
        <v>3</v>
      </c>
      <c r="X22" s="35">
        <f>IFERROR(__xludf.DUMMYFUNCTION("""COMPUTED_VALUE"""),2.0)</f>
        <v>2</v>
      </c>
      <c r="Y22" s="35">
        <f>IFERROR(__xludf.DUMMYFUNCTION("""COMPUTED_VALUE"""),2.0)</f>
        <v>2</v>
      </c>
      <c r="Z22" s="35">
        <f>IFERROR(__xludf.DUMMYFUNCTION("""COMPUTED_VALUE"""),3.0)</f>
        <v>3</v>
      </c>
    </row>
    <row r="23" ht="15.75" customHeight="1">
      <c r="C23" s="81">
        <v>5232.0</v>
      </c>
      <c r="D23" s="70" t="s">
        <v>175</v>
      </c>
      <c r="E23" s="71" t="str">
        <f>vlookup(C23,'NOC-List'!B$2:C$502,2,False)</f>
        <v>Other performers, n.e.c.</v>
      </c>
      <c r="F23" s="72">
        <v>3.0</v>
      </c>
      <c r="G23" s="72">
        <v>3.0</v>
      </c>
      <c r="H23" s="72">
        <v>4.0</v>
      </c>
      <c r="I23" s="72">
        <v>3.0</v>
      </c>
      <c r="J23" s="72">
        <v>3.0</v>
      </c>
      <c r="K23" s="72">
        <v>5.0</v>
      </c>
      <c r="L23" s="72">
        <v>3.0</v>
      </c>
      <c r="M23" s="72">
        <v>3.0</v>
      </c>
      <c r="N23" s="72">
        <v>3.0</v>
      </c>
      <c r="O23" s="73"/>
      <c r="P23" s="35">
        <f>IFERROR(__xludf.DUMMYFUNCTION("""COMPUTED_VALUE"""),5212.0)</f>
        <v>5212</v>
      </c>
      <c r="Q23" s="35" t="str">
        <f>IFERROR(__xludf.DUMMYFUNCTION("query(C23:N1016,""Select D,E,F,G,H,I,J,K,L,M WHERE ""&amp;P23&amp;"" =C Limit 1"")"),"Conservation and Restoration Technicians")</f>
        <v>Conservation and Restoration Technicians</v>
      </c>
      <c r="R23" s="35" t="str">
        <f>IFERROR(__xludf.DUMMYFUNCTION("""COMPUTED_VALUE"""),"Technical occupations related to museums and art galleries")</f>
        <v>Technical occupations related to museums and art galleries</v>
      </c>
      <c r="S23" s="35">
        <f>IFERROR(__xludf.DUMMYFUNCTION("""COMPUTED_VALUE"""),3.0)</f>
        <v>3</v>
      </c>
      <c r="T23" s="35">
        <f>IFERROR(__xludf.DUMMYFUNCTION("""COMPUTED_VALUE"""),3.0)</f>
        <v>3</v>
      </c>
      <c r="U23" s="35">
        <f>IFERROR(__xludf.DUMMYFUNCTION("""COMPUTED_VALUE"""),4.0)</f>
        <v>4</v>
      </c>
      <c r="V23" s="35">
        <f>IFERROR(__xludf.DUMMYFUNCTION("""COMPUTED_VALUE"""),3.0)</f>
        <v>3</v>
      </c>
      <c r="W23" s="35">
        <f>IFERROR(__xludf.DUMMYFUNCTION("""COMPUTED_VALUE"""),3.0)</f>
        <v>3</v>
      </c>
      <c r="X23" s="35">
        <f>IFERROR(__xludf.DUMMYFUNCTION("""COMPUTED_VALUE"""),4.0)</f>
        <v>4</v>
      </c>
      <c r="Y23" s="35">
        <f>IFERROR(__xludf.DUMMYFUNCTION("""COMPUTED_VALUE"""),3.0)</f>
        <v>3</v>
      </c>
      <c r="Z23" s="35">
        <f>IFERROR(__xludf.DUMMYFUNCTION("""COMPUTED_VALUE"""),2.0)</f>
        <v>2</v>
      </c>
    </row>
    <row r="24" ht="15.75" customHeight="1">
      <c r="C24" s="34">
        <v>3214.0</v>
      </c>
      <c r="D24" s="70" t="s">
        <v>176</v>
      </c>
      <c r="E24" s="71" t="str">
        <f>vlookup(C24,'NOC-List'!B$2:C$502,2,False)</f>
        <v>Respiratory therapists, clinical perfusionists and cardiopulmonary technologists</v>
      </c>
      <c r="F24" s="72">
        <v>3.0</v>
      </c>
      <c r="G24" s="72">
        <v>3.0</v>
      </c>
      <c r="H24" s="72">
        <v>3.0</v>
      </c>
      <c r="I24" s="72">
        <v>3.0</v>
      </c>
      <c r="J24" s="72">
        <v>3.0</v>
      </c>
      <c r="K24" s="72">
        <v>4.0</v>
      </c>
      <c r="L24" s="72">
        <v>3.0</v>
      </c>
      <c r="M24" s="72">
        <v>3.0</v>
      </c>
      <c r="N24" s="72">
        <v>3.0</v>
      </c>
      <c r="O24" s="73"/>
      <c r="P24" s="35">
        <f>IFERROR(__xludf.DUMMYFUNCTION("""COMPUTED_VALUE"""),5112.0)</f>
        <v>5112</v>
      </c>
      <c r="Q24" s="35" t="str">
        <f>IFERROR(__xludf.DUMMYFUNCTION("query(C24:N1017,""Select D,E,F,G,H,I,J,K,L,M WHERE ""&amp;P24&amp;"" =C Limit 1"")"),"Conservators")</f>
        <v>Conservators</v>
      </c>
      <c r="R24" s="35" t="str">
        <f>IFERROR(__xludf.DUMMYFUNCTION("""COMPUTED_VALUE"""),"Conservators and curators")</f>
        <v>Conservators and curators</v>
      </c>
      <c r="S24" s="35">
        <f>IFERROR(__xludf.DUMMYFUNCTION("""COMPUTED_VALUE"""),2.0)</f>
        <v>2</v>
      </c>
      <c r="T24" s="35">
        <f>IFERROR(__xludf.DUMMYFUNCTION("""COMPUTED_VALUE"""),2.0)</f>
        <v>2</v>
      </c>
      <c r="U24" s="35">
        <f>IFERROR(__xludf.DUMMYFUNCTION("""COMPUTED_VALUE"""),3.0)</f>
        <v>3</v>
      </c>
      <c r="V24" s="35">
        <f>IFERROR(__xludf.DUMMYFUNCTION("""COMPUTED_VALUE"""),2.0)</f>
        <v>2</v>
      </c>
      <c r="W24" s="35">
        <f>IFERROR(__xludf.DUMMYFUNCTION("""COMPUTED_VALUE"""),2.0)</f>
        <v>2</v>
      </c>
      <c r="X24" s="35">
        <f>IFERROR(__xludf.DUMMYFUNCTION("""COMPUTED_VALUE"""),4.0)</f>
        <v>4</v>
      </c>
      <c r="Y24" s="35">
        <f>IFERROR(__xludf.DUMMYFUNCTION("""COMPUTED_VALUE"""),3.0)</f>
        <v>3</v>
      </c>
      <c r="Z24" s="35">
        <f>IFERROR(__xludf.DUMMYFUNCTION("""COMPUTED_VALUE"""),3.0)</f>
        <v>3</v>
      </c>
    </row>
    <row r="25" ht="15.75" customHeight="1">
      <c r="B25" s="82"/>
      <c r="C25" s="34">
        <v>7384.0</v>
      </c>
      <c r="D25" s="70" t="s">
        <v>177</v>
      </c>
      <c r="E25" s="71" t="str">
        <f>vlookup(C25,'NOC-List'!B$2:C$502,2,False)</f>
        <v>Other trades and related occupations, n.e.c.</v>
      </c>
      <c r="F25" s="72">
        <v>3.0</v>
      </c>
      <c r="G25" s="72">
        <v>3.0</v>
      </c>
      <c r="H25" s="72">
        <v>4.0</v>
      </c>
      <c r="I25" s="72">
        <v>3.0</v>
      </c>
      <c r="J25" s="72">
        <v>3.0</v>
      </c>
      <c r="K25" s="72">
        <v>5.0</v>
      </c>
      <c r="L25" s="72">
        <v>3.0</v>
      </c>
      <c r="M25" s="72">
        <v>3.0</v>
      </c>
      <c r="N25" s="72">
        <v>3.0</v>
      </c>
      <c r="O25" s="73"/>
      <c r="P25" s="35">
        <f>IFERROR(__xludf.DUMMYFUNCTION("""COMPUTED_VALUE"""),7204.0)</f>
        <v>7204</v>
      </c>
      <c r="Q25" s="35" t="str">
        <f>IFERROR(__xludf.DUMMYFUNCTION("query(C25:N1018,""Select D,E,F,G,H,I,J,K,L,M WHERE ""&amp;P25&amp;"" =C Limit 1"")"),"Contractors and Supervisors, Carpentry Trades")</f>
        <v>Contractors and Supervisors, Carpentry Trades</v>
      </c>
      <c r="R25" s="35" t="str">
        <f>IFERROR(__xludf.DUMMYFUNCTION("""COMPUTED_VALUE"""),"Contractors and supervisors, carpentry trades")</f>
        <v>Contractors and supervisors, carpentry trades</v>
      </c>
      <c r="S25" s="35">
        <f>IFERROR(__xludf.DUMMYFUNCTION("""COMPUTED_VALUE"""),3.0)</f>
        <v>3</v>
      </c>
      <c r="T25" s="35">
        <f>IFERROR(__xludf.DUMMYFUNCTION("""COMPUTED_VALUE"""),3.0)</f>
        <v>3</v>
      </c>
      <c r="U25" s="35">
        <f>IFERROR(__xludf.DUMMYFUNCTION("""COMPUTED_VALUE"""),3.0)</f>
        <v>3</v>
      </c>
      <c r="V25" s="35">
        <f>IFERROR(__xludf.DUMMYFUNCTION("""COMPUTED_VALUE"""),3.0)</f>
        <v>3</v>
      </c>
      <c r="W25" s="35">
        <f>IFERROR(__xludf.DUMMYFUNCTION("""COMPUTED_VALUE"""),3.0)</f>
        <v>3</v>
      </c>
      <c r="X25" s="35">
        <f>IFERROR(__xludf.DUMMYFUNCTION("""COMPUTED_VALUE"""),3.0)</f>
        <v>3</v>
      </c>
      <c r="Y25" s="35">
        <f>IFERROR(__xludf.DUMMYFUNCTION("""COMPUTED_VALUE"""),3.0)</f>
        <v>3</v>
      </c>
      <c r="Z25" s="35">
        <f>IFERROR(__xludf.DUMMYFUNCTION("""COMPUTED_VALUE"""),4.0)</f>
        <v>4</v>
      </c>
    </row>
    <row r="26" ht="15.75" customHeight="1">
      <c r="B26" s="82"/>
      <c r="C26" s="34">
        <v>5132.0</v>
      </c>
      <c r="D26" s="70" t="s">
        <v>178</v>
      </c>
      <c r="E26" s="71" t="str">
        <f>vlookup(C26,'NOC-List'!B$2:C$502,2,False)</f>
        <v>Conductors, composers and arrangers</v>
      </c>
      <c r="F26" s="72">
        <v>1.0</v>
      </c>
      <c r="G26" s="72">
        <v>2.0</v>
      </c>
      <c r="H26" s="72">
        <v>3.0</v>
      </c>
      <c r="I26" s="72">
        <v>3.0</v>
      </c>
      <c r="J26" s="72">
        <v>3.0</v>
      </c>
      <c r="K26" s="72">
        <v>2.0</v>
      </c>
      <c r="L26" s="72">
        <v>2.0</v>
      </c>
      <c r="M26" s="72">
        <v>3.0</v>
      </c>
      <c r="N26" s="72">
        <v>3.0</v>
      </c>
      <c r="O26" s="73"/>
      <c r="P26" s="35">
        <f>IFERROR(__xludf.DUMMYFUNCTION("""COMPUTED_VALUE"""),7202.0)</f>
        <v>7202</v>
      </c>
      <c r="Q26" s="35" t="str">
        <f>IFERROR(__xludf.DUMMYFUNCTION("query(C26:N1019,""Select D,E,F,G,H,I,J,K,L,M WHERE ""&amp;P26&amp;"" =C Limit 1"")"),"Contractors and Supervisors, Electrical Trades and Telecommunications Occupations")</f>
        <v>Contractors and Supervisors, Electrical Trades and Telecommunications Occupations</v>
      </c>
      <c r="R26" s="35" t="str">
        <f>IFERROR(__xludf.DUMMYFUNCTION("""COMPUTED_VALUE"""),"Contractors and supervisors, electrical trades and telecommunications occupations")</f>
        <v>Contractors and supervisors, electrical trades and telecommunications occupations</v>
      </c>
      <c r="S26" s="35">
        <f>IFERROR(__xludf.DUMMYFUNCTION("""COMPUTED_VALUE"""),3.0)</f>
        <v>3</v>
      </c>
      <c r="T26" s="35">
        <f>IFERROR(__xludf.DUMMYFUNCTION("""COMPUTED_VALUE"""),3.0)</f>
        <v>3</v>
      </c>
      <c r="U26" s="35">
        <f>IFERROR(__xludf.DUMMYFUNCTION("""COMPUTED_VALUE"""),3.0)</f>
        <v>3</v>
      </c>
      <c r="V26" s="35">
        <f>IFERROR(__xludf.DUMMYFUNCTION("""COMPUTED_VALUE"""),3.0)</f>
        <v>3</v>
      </c>
      <c r="W26" s="35">
        <f>IFERROR(__xludf.DUMMYFUNCTION("""COMPUTED_VALUE"""),3.0)</f>
        <v>3</v>
      </c>
      <c r="X26" s="35">
        <f>IFERROR(__xludf.DUMMYFUNCTION("""COMPUTED_VALUE"""),3.0)</f>
        <v>3</v>
      </c>
      <c r="Y26" s="35">
        <f>IFERROR(__xludf.DUMMYFUNCTION("""COMPUTED_VALUE"""),3.0)</f>
        <v>3</v>
      </c>
      <c r="Z26" s="35">
        <f>IFERROR(__xludf.DUMMYFUNCTION("""COMPUTED_VALUE"""),4.0)</f>
        <v>4</v>
      </c>
    </row>
    <row r="27" ht="15.75" customHeight="1">
      <c r="B27" s="82"/>
      <c r="C27" s="34">
        <v>5212.0</v>
      </c>
      <c r="D27" s="70" t="s">
        <v>179</v>
      </c>
      <c r="E27" s="71" t="str">
        <f>vlookup(C27,'NOC-List'!B$2:C$502,2,False)</f>
        <v>Technical occupations related to museums and art galleries</v>
      </c>
      <c r="F27" s="72">
        <v>3.0</v>
      </c>
      <c r="G27" s="72">
        <v>3.0</v>
      </c>
      <c r="H27" s="72">
        <v>4.0</v>
      </c>
      <c r="I27" s="72">
        <v>3.0</v>
      </c>
      <c r="J27" s="72">
        <v>3.0</v>
      </c>
      <c r="K27" s="72">
        <v>4.0</v>
      </c>
      <c r="L27" s="72">
        <v>3.0</v>
      </c>
      <c r="M27" s="72">
        <v>2.0</v>
      </c>
      <c r="N27" s="72">
        <v>3.0</v>
      </c>
      <c r="O27" s="73"/>
      <c r="P27" s="35">
        <f>IFERROR(__xludf.DUMMYFUNCTION("""COMPUTED_VALUE"""),7302.0)</f>
        <v>7302</v>
      </c>
      <c r="Q27" s="35" t="str">
        <f>IFERROR(__xludf.DUMMYFUNCTION("query(C27:N1020,""Select D,E,F,G,H,I,J,K,L,M WHERE ""&amp;P27&amp;"" =C Limit 1"")"),"Contractors and Supervisors, Heavy Construction Equipment Crews")</f>
        <v>Contractors and Supervisors, Heavy Construction Equipment Crews</v>
      </c>
      <c r="R27" s="35" t="str">
        <f>IFERROR(__xludf.DUMMYFUNCTION("""COMPUTED_VALUE"""),"Contractors and supervisors, heavy equipment operator crews")</f>
        <v>Contractors and supervisors, heavy equipment operator crews</v>
      </c>
      <c r="S27" s="35">
        <f>IFERROR(__xludf.DUMMYFUNCTION("""COMPUTED_VALUE"""),3.0)</f>
        <v>3</v>
      </c>
      <c r="T27" s="35">
        <f>IFERROR(__xludf.DUMMYFUNCTION("""COMPUTED_VALUE"""),3.0)</f>
        <v>3</v>
      </c>
      <c r="U27" s="35">
        <f>IFERROR(__xludf.DUMMYFUNCTION("""COMPUTED_VALUE"""),3.0)</f>
        <v>3</v>
      </c>
      <c r="V27" s="35">
        <f>IFERROR(__xludf.DUMMYFUNCTION("""COMPUTED_VALUE"""),3.0)</f>
        <v>3</v>
      </c>
      <c r="W27" s="35">
        <f>IFERROR(__xludf.DUMMYFUNCTION("""COMPUTED_VALUE"""),3.0)</f>
        <v>3</v>
      </c>
      <c r="X27" s="35">
        <f>IFERROR(__xludf.DUMMYFUNCTION("""COMPUTED_VALUE"""),3.0)</f>
        <v>3</v>
      </c>
      <c r="Y27" s="35">
        <f>IFERROR(__xludf.DUMMYFUNCTION("""COMPUTED_VALUE"""),3.0)</f>
        <v>3</v>
      </c>
      <c r="Z27" s="35">
        <f>IFERROR(__xludf.DUMMYFUNCTION("""COMPUTED_VALUE"""),4.0)</f>
        <v>4</v>
      </c>
    </row>
    <row r="28" ht="15.75" customHeight="1">
      <c r="B28" s="82"/>
      <c r="C28" s="34">
        <v>5112.0</v>
      </c>
      <c r="D28" s="70" t="s">
        <v>180</v>
      </c>
      <c r="E28" s="71" t="str">
        <f>vlookup(C28,'NOC-List'!B$2:C$502,2,False)</f>
        <v>Conservators and curators</v>
      </c>
      <c r="F28" s="72">
        <v>2.0</v>
      </c>
      <c r="G28" s="72">
        <v>2.0</v>
      </c>
      <c r="H28" s="72">
        <v>3.0</v>
      </c>
      <c r="I28" s="72">
        <v>2.0</v>
      </c>
      <c r="J28" s="72">
        <v>2.0</v>
      </c>
      <c r="K28" s="72">
        <v>4.0</v>
      </c>
      <c r="L28" s="72">
        <v>3.0</v>
      </c>
      <c r="M28" s="72">
        <v>3.0</v>
      </c>
      <c r="N28" s="72">
        <v>3.0</v>
      </c>
      <c r="O28" s="73"/>
      <c r="P28" s="35">
        <f>IFERROR(__xludf.DUMMYFUNCTION("""COMPUTED_VALUE"""),7301.0)</f>
        <v>7301</v>
      </c>
      <c r="Q28" s="35" t="str">
        <f>IFERROR(__xludf.DUMMYFUNCTION("query(C28:N1021,""Select D,E,F,G,H,I,J,K,L,M WHERE ""&amp;P28&amp;"" =C Limit 1"")"),"Contractors and Supervisors, Mechanic Trades")</f>
        <v>Contractors and Supervisors, Mechanic Trades</v>
      </c>
      <c r="R28" s="35" t="str">
        <f>IFERROR(__xludf.DUMMYFUNCTION("""COMPUTED_VALUE"""),"Contractors and supervisors, mechanic trades")</f>
        <v>Contractors and supervisors, mechanic trades</v>
      </c>
      <c r="S28" s="35">
        <f>IFERROR(__xludf.DUMMYFUNCTION("""COMPUTED_VALUE"""),3.0)</f>
        <v>3</v>
      </c>
      <c r="T28" s="35">
        <f>IFERROR(__xludf.DUMMYFUNCTION("""COMPUTED_VALUE"""),3.0)</f>
        <v>3</v>
      </c>
      <c r="U28" s="35">
        <f>IFERROR(__xludf.DUMMYFUNCTION("""COMPUTED_VALUE"""),3.0)</f>
        <v>3</v>
      </c>
      <c r="V28" s="35">
        <f>IFERROR(__xludf.DUMMYFUNCTION("""COMPUTED_VALUE"""),3.0)</f>
        <v>3</v>
      </c>
      <c r="W28" s="35">
        <f>IFERROR(__xludf.DUMMYFUNCTION("""COMPUTED_VALUE"""),3.0)</f>
        <v>3</v>
      </c>
      <c r="X28" s="35">
        <f>IFERROR(__xludf.DUMMYFUNCTION("""COMPUTED_VALUE"""),3.0)</f>
        <v>3</v>
      </c>
      <c r="Y28" s="35">
        <f>IFERROR(__xludf.DUMMYFUNCTION("""COMPUTED_VALUE"""),3.0)</f>
        <v>3</v>
      </c>
      <c r="Z28" s="35">
        <f>IFERROR(__xludf.DUMMYFUNCTION("""COMPUTED_VALUE"""),4.0)</f>
        <v>4</v>
      </c>
    </row>
    <row r="29" ht="15.75" customHeight="1">
      <c r="B29" s="82"/>
      <c r="C29" s="34">
        <v>7204.0</v>
      </c>
      <c r="D29" s="70" t="s">
        <v>181</v>
      </c>
      <c r="E29" s="71" t="str">
        <f>vlookup(C29,'NOC-List'!B$2:C$502,2,False)</f>
        <v>Contractors and supervisors, carpentry trades</v>
      </c>
      <c r="F29" s="72">
        <v>3.0</v>
      </c>
      <c r="G29" s="72">
        <v>3.0</v>
      </c>
      <c r="H29" s="72">
        <v>3.0</v>
      </c>
      <c r="I29" s="72">
        <v>3.0</v>
      </c>
      <c r="J29" s="72">
        <v>3.0</v>
      </c>
      <c r="K29" s="72">
        <v>3.0</v>
      </c>
      <c r="L29" s="72">
        <v>3.0</v>
      </c>
      <c r="M29" s="72">
        <v>4.0</v>
      </c>
      <c r="N29" s="72">
        <v>3.0</v>
      </c>
      <c r="O29" s="73"/>
      <c r="P29" s="35">
        <f>IFERROR(__xludf.DUMMYFUNCTION("""COMPUTED_VALUE"""),7201.0)</f>
        <v>7201</v>
      </c>
      <c r="Q29" s="35" t="str">
        <f>IFERROR(__xludf.DUMMYFUNCTION("query(C29:N1022,""Select D,E,F,G,H,I,J,K,L,M WHERE ""&amp;P29&amp;"" =C Limit 1"")"),"Contractors and Supervisors, Metal Forming, Shaping and Erecting Trades")</f>
        <v>Contractors and Supervisors, Metal Forming, Shaping and Erecting Trades</v>
      </c>
      <c r="R29" s="35" t="str">
        <f>IFERROR(__xludf.DUMMYFUNCTION("""COMPUTED_VALUE"""),"Contractors and supervisors, machining, metal forming, shaping and erecting trades and related occupations")</f>
        <v>Contractors and supervisors, machining, metal forming, shaping and erecting trades and related occupations</v>
      </c>
      <c r="S29" s="35">
        <f>IFERROR(__xludf.DUMMYFUNCTION("""COMPUTED_VALUE"""),3.0)</f>
        <v>3</v>
      </c>
      <c r="T29" s="35">
        <f>IFERROR(__xludf.DUMMYFUNCTION("""COMPUTED_VALUE"""),3.0)</f>
        <v>3</v>
      </c>
      <c r="U29" s="35">
        <f>IFERROR(__xludf.DUMMYFUNCTION("""COMPUTED_VALUE"""),3.0)</f>
        <v>3</v>
      </c>
      <c r="V29" s="35">
        <f>IFERROR(__xludf.DUMMYFUNCTION("""COMPUTED_VALUE"""),3.0)</f>
        <v>3</v>
      </c>
      <c r="W29" s="35">
        <f>IFERROR(__xludf.DUMMYFUNCTION("""COMPUTED_VALUE"""),3.0)</f>
        <v>3</v>
      </c>
      <c r="X29" s="35">
        <f>IFERROR(__xludf.DUMMYFUNCTION("""COMPUTED_VALUE"""),3.0)</f>
        <v>3</v>
      </c>
      <c r="Y29" s="35">
        <f>IFERROR(__xludf.DUMMYFUNCTION("""COMPUTED_VALUE"""),3.0)</f>
        <v>3</v>
      </c>
      <c r="Z29" s="35">
        <f>IFERROR(__xludf.DUMMYFUNCTION("""COMPUTED_VALUE"""),4.0)</f>
        <v>4</v>
      </c>
    </row>
    <row r="30" ht="15.75" customHeight="1">
      <c r="B30" s="82"/>
      <c r="C30" s="34">
        <v>7202.0</v>
      </c>
      <c r="D30" s="70" t="s">
        <v>182</v>
      </c>
      <c r="E30" s="71" t="str">
        <f>vlookup(C30,'NOC-List'!B$2:C$502,2,False)</f>
        <v>Contractors and supervisors, electrical trades and telecommunications occupations</v>
      </c>
      <c r="F30" s="72">
        <v>3.0</v>
      </c>
      <c r="G30" s="72">
        <v>3.0</v>
      </c>
      <c r="H30" s="72">
        <v>3.0</v>
      </c>
      <c r="I30" s="72">
        <v>3.0</v>
      </c>
      <c r="J30" s="72">
        <v>3.0</v>
      </c>
      <c r="K30" s="72">
        <v>3.0</v>
      </c>
      <c r="L30" s="72">
        <v>3.0</v>
      </c>
      <c r="M30" s="72">
        <v>4.0</v>
      </c>
      <c r="N30" s="72">
        <v>3.0</v>
      </c>
      <c r="O30" s="73"/>
      <c r="P30" s="35">
        <f>IFERROR(__xludf.DUMMYFUNCTION("""COMPUTED_VALUE"""),7205.0)</f>
        <v>7205</v>
      </c>
      <c r="Q30" s="35" t="str">
        <f>IFERROR(__xludf.DUMMYFUNCTION("query(C30:N1023,""Select D,E,F,G,H,I,J,K,L,M WHERE ""&amp;P30&amp;"" =C Limit 1"")"),"Contractors and Supervisors, Other Construction Trades, Installers, Repairers and Servicers")</f>
        <v>Contractors and Supervisors, Other Construction Trades, Installers, Repairers and Servicers</v>
      </c>
      <c r="R30" s="35" t="str">
        <f>IFERROR(__xludf.DUMMYFUNCTION("""COMPUTED_VALUE"""),"Contractors and supervisors, other construction trades, installers, repairers and servicers")</f>
        <v>Contractors and supervisors, other construction trades, installers, repairers and servicers</v>
      </c>
      <c r="S30" s="35">
        <f>IFERROR(__xludf.DUMMYFUNCTION("""COMPUTED_VALUE"""),3.0)</f>
        <v>3</v>
      </c>
      <c r="T30" s="35">
        <f>IFERROR(__xludf.DUMMYFUNCTION("""COMPUTED_VALUE"""),3.0)</f>
        <v>3</v>
      </c>
      <c r="U30" s="35">
        <f>IFERROR(__xludf.DUMMYFUNCTION("""COMPUTED_VALUE"""),3.0)</f>
        <v>3</v>
      </c>
      <c r="V30" s="35">
        <f>IFERROR(__xludf.DUMMYFUNCTION("""COMPUTED_VALUE"""),3.0)</f>
        <v>3</v>
      </c>
      <c r="W30" s="35">
        <f>IFERROR(__xludf.DUMMYFUNCTION("""COMPUTED_VALUE"""),3.0)</f>
        <v>3</v>
      </c>
      <c r="X30" s="35">
        <f>IFERROR(__xludf.DUMMYFUNCTION("""COMPUTED_VALUE"""),3.0)</f>
        <v>3</v>
      </c>
      <c r="Y30" s="35">
        <f>IFERROR(__xludf.DUMMYFUNCTION("""COMPUTED_VALUE"""),3.0)</f>
        <v>3</v>
      </c>
      <c r="Z30" s="35">
        <f>IFERROR(__xludf.DUMMYFUNCTION("""COMPUTED_VALUE"""),4.0)</f>
        <v>4</v>
      </c>
    </row>
    <row r="31" ht="15.75" customHeight="1">
      <c r="B31" s="82"/>
      <c r="C31" s="81">
        <v>7302.0</v>
      </c>
      <c r="D31" s="70" t="s">
        <v>183</v>
      </c>
      <c r="E31" s="71" t="str">
        <f>vlookup(C31,'NOC-List'!B$2:C$502,2,False)</f>
        <v>Contractors and supervisors, heavy equipment operator crews</v>
      </c>
      <c r="F31" s="72">
        <v>3.0</v>
      </c>
      <c r="G31" s="72">
        <v>3.0</v>
      </c>
      <c r="H31" s="72">
        <v>3.0</v>
      </c>
      <c r="I31" s="72">
        <v>3.0</v>
      </c>
      <c r="J31" s="72">
        <v>3.0</v>
      </c>
      <c r="K31" s="72">
        <v>3.0</v>
      </c>
      <c r="L31" s="72">
        <v>3.0</v>
      </c>
      <c r="M31" s="72">
        <v>4.0</v>
      </c>
      <c r="N31" s="72">
        <v>3.0</v>
      </c>
      <c r="O31" s="73"/>
      <c r="P31" s="35">
        <f>IFERROR(__xludf.DUMMYFUNCTION("""COMPUTED_VALUE"""),7203.0)</f>
        <v>7203</v>
      </c>
      <c r="Q31" s="35" t="str">
        <f>IFERROR(__xludf.DUMMYFUNCTION("query(C31:N1024,""Select D,E,F,G,H,I,J,K,L,M WHERE ""&amp;P31&amp;"" =C Limit 1"")"),"Contractors and Supervisors, Pipefitting Trades")</f>
        <v>Contractors and Supervisors, Pipefitting Trades</v>
      </c>
      <c r="R31" s="35" t="str">
        <f>IFERROR(__xludf.DUMMYFUNCTION("""COMPUTED_VALUE"""),"Contractors and supervisors, pipefitting trades")</f>
        <v>Contractors and supervisors, pipefitting trades</v>
      </c>
      <c r="S31" s="35">
        <f>IFERROR(__xludf.DUMMYFUNCTION("""COMPUTED_VALUE"""),3.0)</f>
        <v>3</v>
      </c>
      <c r="T31" s="35">
        <f>IFERROR(__xludf.DUMMYFUNCTION("""COMPUTED_VALUE"""),3.0)</f>
        <v>3</v>
      </c>
      <c r="U31" s="35">
        <f>IFERROR(__xludf.DUMMYFUNCTION("""COMPUTED_VALUE"""),3.0)</f>
        <v>3</v>
      </c>
      <c r="V31" s="35">
        <f>IFERROR(__xludf.DUMMYFUNCTION("""COMPUTED_VALUE"""),3.0)</f>
        <v>3</v>
      </c>
      <c r="W31" s="35">
        <f>IFERROR(__xludf.DUMMYFUNCTION("""COMPUTED_VALUE"""),3.0)</f>
        <v>3</v>
      </c>
      <c r="X31" s="35">
        <f>IFERROR(__xludf.DUMMYFUNCTION("""COMPUTED_VALUE"""),3.0)</f>
        <v>3</v>
      </c>
      <c r="Y31" s="35">
        <f>IFERROR(__xludf.DUMMYFUNCTION("""COMPUTED_VALUE"""),3.0)</f>
        <v>3</v>
      </c>
      <c r="Z31" s="35">
        <f>IFERROR(__xludf.DUMMYFUNCTION("""COMPUTED_VALUE"""),4.0)</f>
        <v>4</v>
      </c>
    </row>
    <row r="32" ht="15.75" customHeight="1">
      <c r="B32" s="82"/>
      <c r="C32" s="34">
        <v>7301.0</v>
      </c>
      <c r="D32" s="70" t="s">
        <v>184</v>
      </c>
      <c r="E32" s="71" t="str">
        <f>vlookup(C32,'NOC-List'!B$2:C$502,2,False)</f>
        <v>Contractors and supervisors, mechanic trades</v>
      </c>
      <c r="F32" s="72">
        <v>3.0</v>
      </c>
      <c r="G32" s="72">
        <v>3.0</v>
      </c>
      <c r="H32" s="72">
        <v>3.0</v>
      </c>
      <c r="I32" s="72">
        <v>3.0</v>
      </c>
      <c r="J32" s="72">
        <v>3.0</v>
      </c>
      <c r="K32" s="72">
        <v>3.0</v>
      </c>
      <c r="L32" s="72">
        <v>3.0</v>
      </c>
      <c r="M32" s="72">
        <v>4.0</v>
      </c>
      <c r="N32" s="72">
        <v>3.0</v>
      </c>
      <c r="O32" s="73"/>
      <c r="P32" s="35">
        <f>IFERROR(__xludf.DUMMYFUNCTION("""COMPUTED_VALUE"""),1422.0)</f>
        <v>1422</v>
      </c>
      <c r="Q32" s="35" t="str">
        <f>IFERROR(__xludf.DUMMYFUNCTION("query(C32:N1025,""Select D,E,F,G,H,I,J,K,L,M WHERE ""&amp;P32&amp;"" =C Limit 1"")"),"Data Entry Clerks")</f>
        <v>Data Entry Clerks</v>
      </c>
      <c r="R32" s="35" t="str">
        <f>IFERROR(__xludf.DUMMYFUNCTION("""COMPUTED_VALUE"""),"Data entry clerks")</f>
        <v>Data entry clerks</v>
      </c>
      <c r="S32" s="35">
        <f>IFERROR(__xludf.DUMMYFUNCTION("""COMPUTED_VALUE"""),3.0)</f>
        <v>3</v>
      </c>
      <c r="T32" s="35">
        <f>IFERROR(__xludf.DUMMYFUNCTION("""COMPUTED_VALUE"""),3.0)</f>
        <v>3</v>
      </c>
      <c r="U32" s="35">
        <f>IFERROR(__xludf.DUMMYFUNCTION("""COMPUTED_VALUE"""),4.0)</f>
        <v>4</v>
      </c>
      <c r="V32" s="35">
        <f>IFERROR(__xludf.DUMMYFUNCTION("""COMPUTED_VALUE"""),4.0)</f>
        <v>4</v>
      </c>
      <c r="W32" s="35">
        <f>IFERROR(__xludf.DUMMYFUNCTION("""COMPUTED_VALUE"""),4.0)</f>
        <v>4</v>
      </c>
      <c r="X32" s="35">
        <f>IFERROR(__xludf.DUMMYFUNCTION("""COMPUTED_VALUE"""),3.0)</f>
        <v>3</v>
      </c>
      <c r="Y32" s="35">
        <f>IFERROR(__xludf.DUMMYFUNCTION("""COMPUTED_VALUE"""),3.0)</f>
        <v>3</v>
      </c>
      <c r="Z32" s="35">
        <f>IFERROR(__xludf.DUMMYFUNCTION("""COMPUTED_VALUE"""),3.0)</f>
        <v>3</v>
      </c>
    </row>
    <row r="33" ht="15.75" customHeight="1">
      <c r="C33" s="81">
        <v>7201.0</v>
      </c>
      <c r="D33" s="70" t="s">
        <v>185</v>
      </c>
      <c r="E33" s="71" t="str">
        <f>vlookup(C33,'NOC-List'!B$2:C$502,2,False)</f>
        <v>Contractors and supervisors, machining, metal forming, shaping and erecting trades and related occupations</v>
      </c>
      <c r="F33" s="72">
        <v>3.0</v>
      </c>
      <c r="G33" s="72">
        <v>3.0</v>
      </c>
      <c r="H33" s="72">
        <v>3.0</v>
      </c>
      <c r="I33" s="72">
        <v>3.0</v>
      </c>
      <c r="J33" s="72">
        <v>3.0</v>
      </c>
      <c r="K33" s="72">
        <v>3.0</v>
      </c>
      <c r="L33" s="72">
        <v>3.0</v>
      </c>
      <c r="M33" s="72">
        <v>4.0</v>
      </c>
      <c r="N33" s="72">
        <v>3.0</v>
      </c>
      <c r="O33" s="73"/>
      <c r="P33" s="35">
        <f>IFERROR(__xludf.DUMMYFUNCTION("""COMPUTED_VALUE"""),3222.0)</f>
        <v>3222</v>
      </c>
      <c r="Q33" s="35" t="str">
        <f>IFERROR(__xludf.DUMMYFUNCTION("query(C33:N1026,""Select D,E,F,G,H,I,J,K,L,M WHERE ""&amp;P33&amp;"" =C Limit 1"")"),"Dental Hygienists")</f>
        <v>Dental Hygienists</v>
      </c>
      <c r="R33" s="35" t="str">
        <f>IFERROR(__xludf.DUMMYFUNCTION("""COMPUTED_VALUE"""),"Dental hygienists and dental therapists")</f>
        <v>Dental hygienists and dental therapists</v>
      </c>
      <c r="S33" s="35">
        <f>IFERROR(__xludf.DUMMYFUNCTION("""COMPUTED_VALUE"""),3.0)</f>
        <v>3</v>
      </c>
      <c r="T33" s="35">
        <f>IFERROR(__xludf.DUMMYFUNCTION("""COMPUTED_VALUE"""),3.0)</f>
        <v>3</v>
      </c>
      <c r="U33" s="35">
        <f>IFERROR(__xludf.DUMMYFUNCTION("""COMPUTED_VALUE"""),3.0)</f>
        <v>3</v>
      </c>
      <c r="V33" s="35">
        <f>IFERROR(__xludf.DUMMYFUNCTION("""COMPUTED_VALUE"""),3.0)</f>
        <v>3</v>
      </c>
      <c r="W33" s="35">
        <f>IFERROR(__xludf.DUMMYFUNCTION("""COMPUTED_VALUE"""),3.0)</f>
        <v>3</v>
      </c>
      <c r="X33" s="35">
        <f>IFERROR(__xludf.DUMMYFUNCTION("""COMPUTED_VALUE"""),4.0)</f>
        <v>4</v>
      </c>
      <c r="Y33" s="35">
        <f>IFERROR(__xludf.DUMMYFUNCTION("""COMPUTED_VALUE"""),3.0)</f>
        <v>3</v>
      </c>
      <c r="Z33" s="35">
        <f>IFERROR(__xludf.DUMMYFUNCTION("""COMPUTED_VALUE"""),3.0)</f>
        <v>3</v>
      </c>
    </row>
    <row r="34" ht="15.75" customHeight="1">
      <c r="C34" s="34">
        <v>7205.0</v>
      </c>
      <c r="D34" s="70" t="s">
        <v>186</v>
      </c>
      <c r="E34" s="71" t="str">
        <f>vlookup(C34,'NOC-List'!B$2:C$502,2,False)</f>
        <v>Contractors and supervisors, other construction trades, installers, repairers and servicers</v>
      </c>
      <c r="F34" s="72">
        <v>3.0</v>
      </c>
      <c r="G34" s="72">
        <v>3.0</v>
      </c>
      <c r="H34" s="72">
        <v>3.0</v>
      </c>
      <c r="I34" s="72">
        <v>3.0</v>
      </c>
      <c r="J34" s="72">
        <v>3.0</v>
      </c>
      <c r="K34" s="72">
        <v>3.0</v>
      </c>
      <c r="L34" s="72">
        <v>3.0</v>
      </c>
      <c r="M34" s="72">
        <v>4.0</v>
      </c>
      <c r="N34" s="72">
        <v>3.0</v>
      </c>
      <c r="O34" s="73"/>
      <c r="P34" s="35">
        <f>IFERROR(__xludf.DUMMYFUNCTION("""COMPUTED_VALUE"""),3221.0)</f>
        <v>3221</v>
      </c>
      <c r="Q34" s="35" t="str">
        <f>IFERROR(__xludf.DUMMYFUNCTION("query(C34:N1027,""Select D,E,F,G,H,I,J,K,L,M WHERE ""&amp;P34&amp;"" =C Limit 1"")"),"Denturists")</f>
        <v>Denturists</v>
      </c>
      <c r="R34" s="35" t="str">
        <f>IFERROR(__xludf.DUMMYFUNCTION("""COMPUTED_VALUE"""),"Denturists")</f>
        <v>Denturists</v>
      </c>
      <c r="S34" s="35">
        <f>IFERROR(__xludf.DUMMYFUNCTION("""COMPUTED_VALUE"""),3.0)</f>
        <v>3</v>
      </c>
      <c r="T34" s="35">
        <f>IFERROR(__xludf.DUMMYFUNCTION("""COMPUTED_VALUE"""),3.0)</f>
        <v>3</v>
      </c>
      <c r="U34" s="35">
        <f>IFERROR(__xludf.DUMMYFUNCTION("""COMPUTED_VALUE"""),3.0)</f>
        <v>3</v>
      </c>
      <c r="V34" s="35">
        <f>IFERROR(__xludf.DUMMYFUNCTION("""COMPUTED_VALUE"""),2.0)</f>
        <v>2</v>
      </c>
      <c r="W34" s="35">
        <f>IFERROR(__xludf.DUMMYFUNCTION("""COMPUTED_VALUE"""),2.0)</f>
        <v>2</v>
      </c>
      <c r="X34" s="35">
        <f>IFERROR(__xludf.DUMMYFUNCTION("""COMPUTED_VALUE"""),4.0)</f>
        <v>4</v>
      </c>
      <c r="Y34" s="35">
        <f>IFERROR(__xludf.DUMMYFUNCTION("""COMPUTED_VALUE"""),3.0)</f>
        <v>3</v>
      </c>
      <c r="Z34" s="35">
        <f>IFERROR(__xludf.DUMMYFUNCTION("""COMPUTED_VALUE"""),2.0)</f>
        <v>2</v>
      </c>
    </row>
    <row r="35" ht="15.75" customHeight="1">
      <c r="C35" s="34">
        <v>7203.0</v>
      </c>
      <c r="D35" s="70" t="s">
        <v>187</v>
      </c>
      <c r="E35" s="71" t="str">
        <f>vlookup(C35,'NOC-List'!B$2:C$502,2,False)</f>
        <v>Contractors and supervisors, pipefitting trades</v>
      </c>
      <c r="F35" s="72">
        <v>3.0</v>
      </c>
      <c r="G35" s="72">
        <v>3.0</v>
      </c>
      <c r="H35" s="72">
        <v>3.0</v>
      </c>
      <c r="I35" s="72">
        <v>3.0</v>
      </c>
      <c r="J35" s="72">
        <v>3.0</v>
      </c>
      <c r="K35" s="72">
        <v>3.0</v>
      </c>
      <c r="L35" s="72">
        <v>3.0</v>
      </c>
      <c r="M35" s="72">
        <v>4.0</v>
      </c>
      <c r="N35" s="72">
        <v>3.0</v>
      </c>
      <c r="O35" s="73"/>
      <c r="P35" s="35">
        <f>IFERROR(__xludf.DUMMYFUNCTION("""COMPUTED_VALUE"""),3125.0)</f>
        <v>3125</v>
      </c>
      <c r="Q35" s="35" t="str">
        <f>IFERROR(__xludf.DUMMYFUNCTION("query(C35:N1028,""Select D,E,F,G,H,I,J,K,L,M WHERE ""&amp;P35&amp;"" =C Limit 1"")"),"Doctors of Podiatric Medicine")</f>
        <v>Doctors of Podiatric Medicine</v>
      </c>
      <c r="R35" s="35" t="str">
        <f>IFERROR(__xludf.DUMMYFUNCTION("""COMPUTED_VALUE"""),"Other professional occupations in health diagnosing and treating")</f>
        <v>Other professional occupations in health diagnosing and treating</v>
      </c>
      <c r="S35" s="35">
        <f>IFERROR(__xludf.DUMMYFUNCTION("""COMPUTED_VALUE"""),2.0)</f>
        <v>2</v>
      </c>
      <c r="T35" s="35">
        <f>IFERROR(__xludf.DUMMYFUNCTION("""COMPUTED_VALUE"""),2.0)</f>
        <v>2</v>
      </c>
      <c r="U35" s="35">
        <f>IFERROR(__xludf.DUMMYFUNCTION("""COMPUTED_VALUE"""),3.0)</f>
        <v>3</v>
      </c>
      <c r="V35" s="35">
        <f>IFERROR(__xludf.DUMMYFUNCTION("""COMPUTED_VALUE"""),2.0)</f>
        <v>2</v>
      </c>
      <c r="W35" s="35">
        <f>IFERROR(__xludf.DUMMYFUNCTION("""COMPUTED_VALUE"""),2.0)</f>
        <v>2</v>
      </c>
      <c r="X35" s="35">
        <f>IFERROR(__xludf.DUMMYFUNCTION("""COMPUTED_VALUE"""),4.0)</f>
        <v>4</v>
      </c>
      <c r="Y35" s="35">
        <f>IFERROR(__xludf.DUMMYFUNCTION("""COMPUTED_VALUE"""),3.0)</f>
        <v>3</v>
      </c>
      <c r="Z35" s="35">
        <f>IFERROR(__xludf.DUMMYFUNCTION("""COMPUTED_VALUE"""),2.0)</f>
        <v>2</v>
      </c>
    </row>
    <row r="36" ht="15.75" customHeight="1">
      <c r="C36" s="34">
        <v>1422.0</v>
      </c>
      <c r="D36" s="70" t="s">
        <v>188</v>
      </c>
      <c r="E36" s="71" t="str">
        <f>vlookup(C36,'NOC-List'!B$2:C$502,2,False)</f>
        <v>Data entry clerks</v>
      </c>
      <c r="F36" s="72">
        <v>3.0</v>
      </c>
      <c r="G36" s="72">
        <v>3.0</v>
      </c>
      <c r="H36" s="72">
        <v>4.0</v>
      </c>
      <c r="I36" s="72">
        <v>4.0</v>
      </c>
      <c r="J36" s="72">
        <v>4.0</v>
      </c>
      <c r="K36" s="72">
        <v>3.0</v>
      </c>
      <c r="L36" s="72">
        <v>3.0</v>
      </c>
      <c r="M36" s="72">
        <v>3.0</v>
      </c>
      <c r="N36" s="72">
        <v>3.0</v>
      </c>
      <c r="O36" s="73"/>
      <c r="P36" s="35">
        <f>IFERROR(__xludf.DUMMYFUNCTION("""COMPUTED_VALUE"""),2253.0)</f>
        <v>2253</v>
      </c>
      <c r="Q36" s="35" t="str">
        <f>IFERROR(__xludf.DUMMYFUNCTION("query(C36:N1029,""Select D,E,F,G,H,I,J,K,L,M WHERE ""&amp;P36&amp;"" =C Limit 1"")"),"Drafting Technologists")</f>
        <v>Drafting Technologists</v>
      </c>
      <c r="R36" s="35" t="str">
        <f>IFERROR(__xludf.DUMMYFUNCTION("""COMPUTED_VALUE"""),"Drafting technologists and technicians")</f>
        <v>Drafting technologists and technicians</v>
      </c>
      <c r="S36" s="35">
        <f>IFERROR(__xludf.DUMMYFUNCTION("""COMPUTED_VALUE"""),2.0)</f>
        <v>2</v>
      </c>
      <c r="T36" s="35">
        <f>IFERROR(__xludf.DUMMYFUNCTION("""COMPUTED_VALUE"""),2.0)</f>
        <v>2</v>
      </c>
      <c r="U36" s="35">
        <f>IFERROR(__xludf.DUMMYFUNCTION("""COMPUTED_VALUE"""),2.0)</f>
        <v>2</v>
      </c>
      <c r="V36" s="35">
        <f>IFERROR(__xludf.DUMMYFUNCTION("""COMPUTED_VALUE"""),2.0)</f>
        <v>2</v>
      </c>
      <c r="W36" s="35">
        <f>IFERROR(__xludf.DUMMYFUNCTION("""COMPUTED_VALUE"""),2.0)</f>
        <v>2</v>
      </c>
      <c r="X36" s="35">
        <f>IFERROR(__xludf.DUMMYFUNCTION("""COMPUTED_VALUE"""),3.0)</f>
        <v>3</v>
      </c>
      <c r="Y36" s="35">
        <f>IFERROR(__xludf.DUMMYFUNCTION("""COMPUTED_VALUE"""),2.0)</f>
        <v>2</v>
      </c>
      <c r="Z36" s="35">
        <f>IFERROR(__xludf.DUMMYFUNCTION("""COMPUTED_VALUE"""),2.0)</f>
        <v>2</v>
      </c>
    </row>
    <row r="37" ht="15.75" customHeight="1">
      <c r="C37" s="34">
        <v>3222.0</v>
      </c>
      <c r="D37" s="70" t="s">
        <v>189</v>
      </c>
      <c r="E37" s="71" t="str">
        <f>vlookup(C37,'NOC-List'!B$2:C$502,2,False)</f>
        <v>Dental hygienists and dental therapists</v>
      </c>
      <c r="F37" s="72">
        <v>3.0</v>
      </c>
      <c r="G37" s="72">
        <v>3.0</v>
      </c>
      <c r="H37" s="72">
        <v>3.0</v>
      </c>
      <c r="I37" s="72">
        <v>3.0</v>
      </c>
      <c r="J37" s="72">
        <v>3.0</v>
      </c>
      <c r="K37" s="72">
        <v>4.0</v>
      </c>
      <c r="L37" s="72">
        <v>3.0</v>
      </c>
      <c r="M37" s="72">
        <v>3.0</v>
      </c>
      <c r="N37" s="72">
        <v>3.0</v>
      </c>
      <c r="O37" s="73"/>
      <c r="P37" s="35">
        <f>IFERROR(__xludf.DUMMYFUNCTION("""COMPUTED_VALUE"""),7512.0)</f>
        <v>7512</v>
      </c>
      <c r="Q37" s="35" t="str">
        <f>IFERROR(__xludf.DUMMYFUNCTION("query(C37:N1030,""Select D,E,F,G,H,I,J,K,L,M WHERE ""&amp;P37&amp;"" =C Limit 1"")"),"Bus and Streetcar Drivers")</f>
        <v>Bus and Streetcar Drivers</v>
      </c>
      <c r="R37" s="35" t="str">
        <f>IFERROR(__xludf.DUMMYFUNCTION("""COMPUTED_VALUE"""),"Bus drivers, subway operators and other transit operators")</f>
        <v>Bus drivers, subway operators and other transit operators</v>
      </c>
      <c r="S37" s="35">
        <f>IFERROR(__xludf.DUMMYFUNCTION("""COMPUTED_VALUE"""),3.0)</f>
        <v>3</v>
      </c>
      <c r="T37" s="35">
        <f>IFERROR(__xludf.DUMMYFUNCTION("""COMPUTED_VALUE"""),4.0)</f>
        <v>4</v>
      </c>
      <c r="U37" s="35">
        <f>IFERROR(__xludf.DUMMYFUNCTION("""COMPUTED_VALUE"""),4.0)</f>
        <v>4</v>
      </c>
      <c r="V37" s="35">
        <f>IFERROR(__xludf.DUMMYFUNCTION("""COMPUTED_VALUE"""),3.0)</f>
        <v>3</v>
      </c>
      <c r="W37" s="35">
        <f>IFERROR(__xludf.DUMMYFUNCTION("""COMPUTED_VALUE"""),4.0)</f>
        <v>4</v>
      </c>
      <c r="X37" s="35">
        <f>IFERROR(__xludf.DUMMYFUNCTION("""COMPUTED_VALUE"""),4.0)</f>
        <v>4</v>
      </c>
      <c r="Y37" s="35">
        <f>IFERROR(__xludf.DUMMYFUNCTION("""COMPUTED_VALUE"""),3.0)</f>
        <v>3</v>
      </c>
      <c r="Z37" s="35">
        <f>IFERROR(__xludf.DUMMYFUNCTION("""COMPUTED_VALUE"""),4.0)</f>
        <v>4</v>
      </c>
    </row>
    <row r="38" ht="15.75" customHeight="1">
      <c r="C38" s="34">
        <v>3222.0</v>
      </c>
      <c r="D38" s="70" t="s">
        <v>190</v>
      </c>
      <c r="E38" s="71" t="str">
        <f>vlookup(C38,'NOC-List'!B$2:C$502,2,False)</f>
        <v>Dental hygienists and dental therapists</v>
      </c>
      <c r="F38" s="72">
        <v>3.0</v>
      </c>
      <c r="G38" s="72">
        <v>3.0</v>
      </c>
      <c r="H38" s="72">
        <v>3.0</v>
      </c>
      <c r="I38" s="72">
        <v>3.0</v>
      </c>
      <c r="J38" s="72">
        <v>3.0</v>
      </c>
      <c r="K38" s="72">
        <v>4.0</v>
      </c>
      <c r="L38" s="72">
        <v>3.0</v>
      </c>
      <c r="M38" s="72">
        <v>3.0</v>
      </c>
      <c r="N38" s="72">
        <v>3.0</v>
      </c>
      <c r="O38" s="73"/>
      <c r="P38" s="35">
        <f>IFERROR(__xludf.DUMMYFUNCTION("""COMPUTED_VALUE"""),6342.0)</f>
        <v>6342</v>
      </c>
      <c r="Q38" s="35" t="str">
        <f>IFERROR(__xludf.DUMMYFUNCTION("query(C38:N1031,""Select D,E,F,G,H,I,J,K,L,M WHERE ""&amp;P38&amp;"" =C Limit 1"")"),"Dressmakers")</f>
        <v>Dressmakers</v>
      </c>
      <c r="R38" s="35" t="str">
        <f>IFERROR(__xludf.DUMMYFUNCTION("""COMPUTED_VALUE"""),"Tailors, dressmakers, furriers and milliners")</f>
        <v>Tailors, dressmakers, furriers and milliners</v>
      </c>
      <c r="S38" s="35">
        <f>IFERROR(__xludf.DUMMYFUNCTION("""COMPUTED_VALUE"""),3.0)</f>
        <v>3</v>
      </c>
      <c r="T38" s="35">
        <f>IFERROR(__xludf.DUMMYFUNCTION("""COMPUTED_VALUE"""),3.0)</f>
        <v>3</v>
      </c>
      <c r="U38" s="35">
        <f>IFERROR(__xludf.DUMMYFUNCTION("""COMPUTED_VALUE"""),4.0)</f>
        <v>4</v>
      </c>
      <c r="V38" s="35">
        <f>IFERROR(__xludf.DUMMYFUNCTION("""COMPUTED_VALUE"""),3.0)</f>
        <v>3</v>
      </c>
      <c r="W38" s="35">
        <f>IFERROR(__xludf.DUMMYFUNCTION("""COMPUTED_VALUE"""),3.0)</f>
        <v>3</v>
      </c>
      <c r="X38" s="35">
        <f>IFERROR(__xludf.DUMMYFUNCTION("""COMPUTED_VALUE"""),4.0)</f>
        <v>4</v>
      </c>
      <c r="Y38" s="35">
        <f>IFERROR(__xludf.DUMMYFUNCTION("""COMPUTED_VALUE"""),3.0)</f>
        <v>3</v>
      </c>
      <c r="Z38" s="35">
        <f>IFERROR(__xludf.DUMMYFUNCTION("""COMPUTED_VALUE"""),2.0)</f>
        <v>2</v>
      </c>
    </row>
    <row r="39" ht="15.75" customHeight="1">
      <c r="C39" s="34">
        <v>3221.0</v>
      </c>
      <c r="D39" s="70" t="s">
        <v>125</v>
      </c>
      <c r="E39" s="71" t="str">
        <f>vlookup(C39,'NOC-List'!B$2:C$502,2,False)</f>
        <v>Denturists</v>
      </c>
      <c r="F39" s="72">
        <v>3.0</v>
      </c>
      <c r="G39" s="72">
        <v>3.0</v>
      </c>
      <c r="H39" s="72">
        <v>3.0</v>
      </c>
      <c r="I39" s="72">
        <v>2.0</v>
      </c>
      <c r="J39" s="72">
        <v>2.0</v>
      </c>
      <c r="K39" s="72">
        <v>4.0</v>
      </c>
      <c r="L39" s="72">
        <v>3.0</v>
      </c>
      <c r="M39" s="72">
        <v>2.0</v>
      </c>
      <c r="N39" s="72">
        <v>2.0</v>
      </c>
      <c r="O39" s="73"/>
      <c r="P39" s="35">
        <f>IFERROR(__xludf.DUMMYFUNCTION("""COMPUTED_VALUE"""),9422.0)</f>
        <v>9422</v>
      </c>
      <c r="Q39" s="35" t="str">
        <f>IFERROR(__xludf.DUMMYFUNCTION("query(C39:N1032,""Select D,E,F,G,H,I,J,K,L,M WHERE ""&amp;P39&amp;"" =C Limit 1"")"),"Calendering Process Operators - Plastics Processing")</f>
        <v>Calendering Process Operators - Plastics Processing</v>
      </c>
      <c r="R39" s="35" t="str">
        <f>IFERROR(__xludf.DUMMYFUNCTION("""COMPUTED_VALUE"""),"Plastics processing machine operators")</f>
        <v>Plastics processing machine operators</v>
      </c>
      <c r="S39" s="35">
        <f>IFERROR(__xludf.DUMMYFUNCTION("""COMPUTED_VALUE"""),3.0)</f>
        <v>3</v>
      </c>
      <c r="T39" s="35">
        <f>IFERROR(__xludf.DUMMYFUNCTION("""COMPUTED_VALUE"""),4.0)</f>
        <v>4</v>
      </c>
      <c r="U39" s="35">
        <f>IFERROR(__xludf.DUMMYFUNCTION("""COMPUTED_VALUE"""),4.0)</f>
        <v>4</v>
      </c>
      <c r="V39" s="35">
        <f>IFERROR(__xludf.DUMMYFUNCTION("""COMPUTED_VALUE"""),3.0)</f>
        <v>3</v>
      </c>
      <c r="W39" s="35">
        <f>IFERROR(__xludf.DUMMYFUNCTION("""COMPUTED_VALUE"""),3.0)</f>
        <v>3</v>
      </c>
      <c r="X39" s="35">
        <f>IFERROR(__xludf.DUMMYFUNCTION("""COMPUTED_VALUE"""),4.0)</f>
        <v>4</v>
      </c>
      <c r="Y39" s="35">
        <f>IFERROR(__xludf.DUMMYFUNCTION("""COMPUTED_VALUE"""),4.0)</f>
        <v>4</v>
      </c>
      <c r="Z39" s="35">
        <f>IFERROR(__xludf.DUMMYFUNCTION("""COMPUTED_VALUE"""),4.0)</f>
        <v>4</v>
      </c>
    </row>
    <row r="40" ht="15.75" customHeight="1">
      <c r="C40" s="34">
        <v>3125.0</v>
      </c>
      <c r="D40" s="70" t="s">
        <v>191</v>
      </c>
      <c r="E40" s="71" t="str">
        <f>vlookup(C40,'NOC-List'!B$2:C$502,2,False)</f>
        <v>Other professional occupations in health diagnosing and treating</v>
      </c>
      <c r="F40" s="72">
        <v>2.0</v>
      </c>
      <c r="G40" s="72">
        <v>2.0</v>
      </c>
      <c r="H40" s="72">
        <v>3.0</v>
      </c>
      <c r="I40" s="72">
        <v>2.0</v>
      </c>
      <c r="J40" s="72">
        <v>2.0</v>
      </c>
      <c r="K40" s="72">
        <v>4.0</v>
      </c>
      <c r="L40" s="72">
        <v>3.0</v>
      </c>
      <c r="M40" s="72">
        <v>2.0</v>
      </c>
      <c r="N40" s="72">
        <v>2.0</v>
      </c>
      <c r="O40" s="73"/>
      <c r="P40" s="35">
        <f>IFERROR(__xludf.DUMMYFUNCTION("""COMPUTED_VALUE"""),2241.0)</f>
        <v>2241</v>
      </c>
      <c r="Q40" s="35" t="str">
        <f>IFERROR(__xludf.DUMMYFUNCTION("query(C40:N1033,""Select D,E,F,G,H,I,J,K,L,M WHERE ""&amp;P40&amp;"" =C Limit 1"")"),"Electrical and Electronics Engineering Technologists")</f>
        <v>Electrical and Electronics Engineering Technologists</v>
      </c>
      <c r="R40" s="35" t="str">
        <f>IFERROR(__xludf.DUMMYFUNCTION("""COMPUTED_VALUE"""),"Electrical and electronics engineering technologists and technicians")</f>
        <v>Electrical and electronics engineering technologists and technicians</v>
      </c>
      <c r="S40" s="35">
        <f>IFERROR(__xludf.DUMMYFUNCTION("""COMPUTED_VALUE"""),2.0)</f>
        <v>2</v>
      </c>
      <c r="T40" s="35">
        <f>IFERROR(__xludf.DUMMYFUNCTION("""COMPUTED_VALUE"""),2.0)</f>
        <v>2</v>
      </c>
      <c r="U40" s="35">
        <f>IFERROR(__xludf.DUMMYFUNCTION("""COMPUTED_VALUE"""),2.0)</f>
        <v>2</v>
      </c>
      <c r="V40" s="35">
        <f>IFERROR(__xludf.DUMMYFUNCTION("""COMPUTED_VALUE"""),2.0)</f>
        <v>2</v>
      </c>
      <c r="W40" s="35">
        <f>IFERROR(__xludf.DUMMYFUNCTION("""COMPUTED_VALUE"""),2.0)</f>
        <v>2</v>
      </c>
      <c r="X40" s="35">
        <f>IFERROR(__xludf.DUMMYFUNCTION("""COMPUTED_VALUE"""),3.0)</f>
        <v>3</v>
      </c>
      <c r="Y40" s="35">
        <f>IFERROR(__xludf.DUMMYFUNCTION("""COMPUTED_VALUE"""),3.0)</f>
        <v>3</v>
      </c>
      <c r="Z40" s="35">
        <f>IFERROR(__xludf.DUMMYFUNCTION("""COMPUTED_VALUE"""),3.0)</f>
        <v>3</v>
      </c>
    </row>
    <row r="41" ht="15.75" customHeight="1">
      <c r="C41" s="34">
        <v>2253.0</v>
      </c>
      <c r="D41" s="70" t="s">
        <v>192</v>
      </c>
      <c r="E41" s="71" t="str">
        <f>vlookup(C41,'NOC-List'!B$2:C$502,2,False)</f>
        <v>Drafting technologists and technicians</v>
      </c>
      <c r="F41" s="72">
        <v>2.0</v>
      </c>
      <c r="G41" s="72">
        <v>2.0</v>
      </c>
      <c r="H41" s="72">
        <v>2.0</v>
      </c>
      <c r="I41" s="72">
        <v>2.0</v>
      </c>
      <c r="J41" s="72">
        <v>2.0</v>
      </c>
      <c r="K41" s="72">
        <v>3.0</v>
      </c>
      <c r="L41" s="72">
        <v>2.0</v>
      </c>
      <c r="M41" s="72">
        <v>2.0</v>
      </c>
      <c r="N41" s="72">
        <v>3.0</v>
      </c>
      <c r="O41" s="73"/>
      <c r="P41" s="35">
        <f>IFERROR(__xludf.DUMMYFUNCTION("""COMPUTED_VALUE"""),7241.0)</f>
        <v>7241</v>
      </c>
      <c r="Q41" s="35" t="str">
        <f>IFERROR(__xludf.DUMMYFUNCTION("query(C41:N1034,""Select D,E,F,G,H,I,J,K,L,M WHERE ""&amp;P41&amp;"" =C Limit 1"")"),"Electricians (Except Industrial and Power System)")</f>
        <v>Electricians (Except Industrial and Power System)</v>
      </c>
      <c r="R41" s="35" t="str">
        <f>IFERROR(__xludf.DUMMYFUNCTION("""COMPUTED_VALUE"""),"Electricians (except industrial and power system)")</f>
        <v>Electricians (except industrial and power system)</v>
      </c>
      <c r="S41" s="35">
        <f>IFERROR(__xludf.DUMMYFUNCTION("""COMPUTED_VALUE"""),3.0)</f>
        <v>3</v>
      </c>
      <c r="T41" s="35">
        <f>IFERROR(__xludf.DUMMYFUNCTION("""COMPUTED_VALUE"""),3.0)</f>
        <v>3</v>
      </c>
      <c r="U41" s="35">
        <f>IFERROR(__xludf.DUMMYFUNCTION("""COMPUTED_VALUE"""),3.0)</f>
        <v>3</v>
      </c>
      <c r="V41" s="35">
        <f>IFERROR(__xludf.DUMMYFUNCTION("""COMPUTED_VALUE"""),3.0)</f>
        <v>3</v>
      </c>
      <c r="W41" s="35">
        <f>IFERROR(__xludf.DUMMYFUNCTION("""COMPUTED_VALUE"""),3.0)</f>
        <v>3</v>
      </c>
      <c r="X41" s="35">
        <f>IFERROR(__xludf.DUMMYFUNCTION("""COMPUTED_VALUE"""),4.0)</f>
        <v>4</v>
      </c>
      <c r="Y41" s="35">
        <f>IFERROR(__xludf.DUMMYFUNCTION("""COMPUTED_VALUE"""),3.0)</f>
        <v>3</v>
      </c>
      <c r="Z41" s="35">
        <f>IFERROR(__xludf.DUMMYFUNCTION("""COMPUTED_VALUE"""),3.0)</f>
        <v>3</v>
      </c>
    </row>
    <row r="42" ht="15.75" customHeight="1">
      <c r="C42" s="34">
        <v>7512.0</v>
      </c>
      <c r="D42" s="70" t="s">
        <v>193</v>
      </c>
      <c r="E42" s="71" t="str">
        <f>vlookup(C42,'NOC-List'!B$2:C$502,2,False)</f>
        <v>Bus drivers, subway operators and other transit operators</v>
      </c>
      <c r="F42" s="72">
        <v>3.0</v>
      </c>
      <c r="G42" s="72">
        <v>4.0</v>
      </c>
      <c r="H42" s="72">
        <v>4.0</v>
      </c>
      <c r="I42" s="72">
        <v>3.0</v>
      </c>
      <c r="J42" s="72">
        <v>4.0</v>
      </c>
      <c r="K42" s="72">
        <v>4.0</v>
      </c>
      <c r="L42" s="72">
        <v>3.0</v>
      </c>
      <c r="M42" s="72">
        <v>4.0</v>
      </c>
      <c r="N42" s="72">
        <v>3.0</v>
      </c>
      <c r="O42" s="73"/>
      <c r="P42" s="35">
        <f>IFERROR(__xludf.DUMMYFUNCTION("""COMPUTED_VALUE"""),4413.0)</f>
        <v>4413</v>
      </c>
      <c r="Q42" s="35" t="str">
        <f>IFERROR(__xludf.DUMMYFUNCTION("query(C42:N1035,""Select D,E,F,G,H,I,J,K,L,M WHERE ""&amp;P42&amp;"" =C Limit 1"")"),"Elementary and Secondary School Teacher Assistants")</f>
        <v>Elementary and Secondary School Teacher Assistants</v>
      </c>
      <c r="R42" s="35" t="str">
        <f>IFERROR(__xludf.DUMMYFUNCTION("""COMPUTED_VALUE"""),"Elementary and secondary school teacher assistants")</f>
        <v>Elementary and secondary school teacher assistants</v>
      </c>
      <c r="S42" s="35">
        <f>IFERROR(__xludf.DUMMYFUNCTION("""COMPUTED_VALUE"""),3.0)</f>
        <v>3</v>
      </c>
      <c r="T42" s="35">
        <f>IFERROR(__xludf.DUMMYFUNCTION("""COMPUTED_VALUE"""),3.0)</f>
        <v>3</v>
      </c>
      <c r="U42" s="35">
        <f>IFERROR(__xludf.DUMMYFUNCTION("""COMPUTED_VALUE"""),3.0)</f>
        <v>3</v>
      </c>
      <c r="V42" s="35">
        <f>IFERROR(__xludf.DUMMYFUNCTION("""COMPUTED_VALUE"""),3.0)</f>
        <v>3</v>
      </c>
      <c r="W42" s="35">
        <f>IFERROR(__xludf.DUMMYFUNCTION("""COMPUTED_VALUE"""),3.0)</f>
        <v>3</v>
      </c>
      <c r="X42" s="35">
        <f>IFERROR(__xludf.DUMMYFUNCTION("""COMPUTED_VALUE"""),3.0)</f>
        <v>3</v>
      </c>
      <c r="Y42" s="35">
        <f>IFERROR(__xludf.DUMMYFUNCTION("""COMPUTED_VALUE"""),4.0)</f>
        <v>4</v>
      </c>
      <c r="Z42" s="35">
        <f>IFERROR(__xludf.DUMMYFUNCTION("""COMPUTED_VALUE"""),3.0)</f>
        <v>3</v>
      </c>
    </row>
    <row r="43" ht="15.75" customHeight="1">
      <c r="C43" s="34">
        <v>6342.0</v>
      </c>
      <c r="D43" s="70" t="s">
        <v>194</v>
      </c>
      <c r="E43" s="71" t="str">
        <f>vlookup(C43,'NOC-List'!B$2:C$502,2,False)</f>
        <v>Tailors, dressmakers, furriers and milliners</v>
      </c>
      <c r="F43" s="72">
        <v>3.0</v>
      </c>
      <c r="G43" s="72">
        <v>3.0</v>
      </c>
      <c r="H43" s="72">
        <v>4.0</v>
      </c>
      <c r="I43" s="72">
        <v>3.0</v>
      </c>
      <c r="J43" s="72">
        <v>3.0</v>
      </c>
      <c r="K43" s="72">
        <v>4.0</v>
      </c>
      <c r="L43" s="72">
        <v>3.0</v>
      </c>
      <c r="M43" s="72">
        <v>2.0</v>
      </c>
      <c r="N43" s="72">
        <v>3.0</v>
      </c>
      <c r="O43" s="73"/>
      <c r="P43" s="35">
        <f>IFERROR(__xludf.DUMMYFUNCTION("""COMPUTED_VALUE"""),6562.0)</f>
        <v>6562</v>
      </c>
      <c r="Q43" s="35" t="str">
        <f>IFERROR(__xludf.DUMMYFUNCTION("query(C43:N1036,""Select D,E,F,G,H,I,J,K,L,M WHERE ""&amp;P43&amp;"" =C Limit 1"")"),"Estheticians")</f>
        <v>Estheticians</v>
      </c>
      <c r="R43" s="35" t="str">
        <f>IFERROR(__xludf.DUMMYFUNCTION("""COMPUTED_VALUE"""),"Estheticians, electrologists and related occupations")</f>
        <v>Estheticians, electrologists and related occupations</v>
      </c>
      <c r="S43" s="35">
        <f>IFERROR(__xludf.DUMMYFUNCTION("""COMPUTED_VALUE"""),3.0)</f>
        <v>3</v>
      </c>
      <c r="T43" s="35">
        <f>IFERROR(__xludf.DUMMYFUNCTION("""COMPUTED_VALUE"""),3.0)</f>
        <v>3</v>
      </c>
      <c r="U43" s="35">
        <f>IFERROR(__xludf.DUMMYFUNCTION("""COMPUTED_VALUE"""),4.0)</f>
        <v>4</v>
      </c>
      <c r="V43" s="35">
        <f>IFERROR(__xludf.DUMMYFUNCTION("""COMPUTED_VALUE"""),4.0)</f>
        <v>4</v>
      </c>
      <c r="W43" s="35">
        <f>IFERROR(__xludf.DUMMYFUNCTION("""COMPUTED_VALUE"""),3.0)</f>
        <v>3</v>
      </c>
      <c r="X43" s="35">
        <f>IFERROR(__xludf.DUMMYFUNCTION("""COMPUTED_VALUE"""),4.0)</f>
        <v>4</v>
      </c>
      <c r="Y43" s="35">
        <f>IFERROR(__xludf.DUMMYFUNCTION("""COMPUTED_VALUE"""),3.0)</f>
        <v>3</v>
      </c>
      <c r="Z43" s="35">
        <f>IFERROR(__xludf.DUMMYFUNCTION("""COMPUTED_VALUE"""),3.0)</f>
        <v>3</v>
      </c>
    </row>
    <row r="44" ht="15.75" customHeight="1">
      <c r="C44" s="81">
        <v>9422.0</v>
      </c>
      <c r="D44" s="70" t="s">
        <v>195</v>
      </c>
      <c r="E44" s="71" t="str">
        <f>vlookup(C44,'NOC-List'!B$2:C$502,2,False)</f>
        <v>Plastics processing machine operators</v>
      </c>
      <c r="F44" s="72">
        <v>3.0</v>
      </c>
      <c r="G44" s="72">
        <v>4.0</v>
      </c>
      <c r="H44" s="72">
        <v>4.0</v>
      </c>
      <c r="I44" s="72">
        <v>3.0</v>
      </c>
      <c r="J44" s="72">
        <v>3.0</v>
      </c>
      <c r="K44" s="72">
        <v>4.0</v>
      </c>
      <c r="L44" s="72">
        <v>4.0</v>
      </c>
      <c r="M44" s="72">
        <v>4.0</v>
      </c>
      <c r="N44" s="72">
        <v>3.0</v>
      </c>
      <c r="O44" s="73"/>
      <c r="P44" s="35">
        <f>IFERROR(__xludf.DUMMYFUNCTION("""COMPUTED_VALUE"""),5227.0)</f>
        <v>5227</v>
      </c>
      <c r="Q44" s="35" t="str">
        <f>IFERROR(__xludf.DUMMYFUNCTION("query(C44:N1037,""Select D,E,F,G,H,I,J,K,L,M WHERE ""&amp;P44&amp;"" =C Limit 1"")"),"Dressers")</f>
        <v>Dressers</v>
      </c>
      <c r="R44" s="35" t="str">
        <f>IFERROR(__xludf.DUMMYFUNCTION("""COMPUTED_VALUE"""),"Support occupations in motion pictures, broadcasting, photography and the performing arts")</f>
        <v>Support occupations in motion pictures, broadcasting, photography and the performing arts</v>
      </c>
      <c r="S44" s="35">
        <f>IFERROR(__xludf.DUMMYFUNCTION("""COMPUTED_VALUE"""),4.0)</f>
        <v>4</v>
      </c>
      <c r="T44" s="35">
        <f>IFERROR(__xludf.DUMMYFUNCTION("""COMPUTED_VALUE"""),4.0)</f>
        <v>4</v>
      </c>
      <c r="U44" s="35">
        <f>IFERROR(__xludf.DUMMYFUNCTION("""COMPUTED_VALUE"""),4.0)</f>
        <v>4</v>
      </c>
      <c r="V44" s="35">
        <f>IFERROR(__xludf.DUMMYFUNCTION("""COMPUTED_VALUE"""),4.0)</f>
        <v>4</v>
      </c>
      <c r="W44" s="35">
        <f>IFERROR(__xludf.DUMMYFUNCTION("""COMPUTED_VALUE"""),3.0)</f>
        <v>3</v>
      </c>
      <c r="X44" s="35">
        <f>IFERROR(__xludf.DUMMYFUNCTION("""COMPUTED_VALUE"""),4.0)</f>
        <v>4</v>
      </c>
      <c r="Y44" s="35">
        <f>IFERROR(__xludf.DUMMYFUNCTION("""COMPUTED_VALUE"""),3.0)</f>
        <v>3</v>
      </c>
      <c r="Z44" s="35">
        <f>IFERROR(__xludf.DUMMYFUNCTION("""COMPUTED_VALUE"""),3.0)</f>
        <v>3</v>
      </c>
    </row>
    <row r="45" ht="15.75" customHeight="1">
      <c r="C45" s="34">
        <v>2241.0</v>
      </c>
      <c r="D45" s="70" t="s">
        <v>196</v>
      </c>
      <c r="E45" s="71" t="str">
        <f>vlookup(C45,'NOC-List'!B$2:C$502,2,False)</f>
        <v>Electrical and electronics engineering technologists and technicians</v>
      </c>
      <c r="F45" s="72">
        <v>2.0</v>
      </c>
      <c r="G45" s="72">
        <v>2.0</v>
      </c>
      <c r="H45" s="72">
        <v>2.0</v>
      </c>
      <c r="I45" s="72">
        <v>2.0</v>
      </c>
      <c r="J45" s="72">
        <v>2.0</v>
      </c>
      <c r="K45" s="72">
        <v>3.0</v>
      </c>
      <c r="L45" s="72">
        <v>3.0</v>
      </c>
      <c r="M45" s="72">
        <v>3.0</v>
      </c>
      <c r="N45" s="72">
        <v>3.0</v>
      </c>
      <c r="O45" s="73"/>
      <c r="P45" s="35">
        <f>IFERROR(__xludf.DUMMYFUNCTION("""COMPUTED_VALUE"""),8261.0)</f>
        <v>8261</v>
      </c>
      <c r="Q45" s="35" t="str">
        <f>IFERROR(__xludf.DUMMYFUNCTION("query(C45:N1038,""Select D,E,F,G,H,I,J,K,L,M WHERE ""&amp;P45&amp;"" =C Limit 1"")"),"Fishing Masters and Officers")</f>
        <v>Fishing Masters and Officers</v>
      </c>
      <c r="R45" s="35" t="str">
        <f>IFERROR(__xludf.DUMMYFUNCTION("""COMPUTED_VALUE"""),"Fishing masters and officers")</f>
        <v>Fishing masters and officers</v>
      </c>
      <c r="S45" s="35">
        <f>IFERROR(__xludf.DUMMYFUNCTION("""COMPUTED_VALUE"""),3.0)</f>
        <v>3</v>
      </c>
      <c r="T45" s="35">
        <f>IFERROR(__xludf.DUMMYFUNCTION("""COMPUTED_VALUE"""),3.0)</f>
        <v>3</v>
      </c>
      <c r="U45" s="35">
        <f>IFERROR(__xludf.DUMMYFUNCTION("""COMPUTED_VALUE"""),3.0)</f>
        <v>3</v>
      </c>
      <c r="V45" s="35">
        <f>IFERROR(__xludf.DUMMYFUNCTION("""COMPUTED_VALUE"""),2.0)</f>
        <v>2</v>
      </c>
      <c r="W45" s="35">
        <f>IFERROR(__xludf.DUMMYFUNCTION("""COMPUTED_VALUE"""),3.0)</f>
        <v>3</v>
      </c>
      <c r="X45" s="35">
        <f>IFERROR(__xludf.DUMMYFUNCTION("""COMPUTED_VALUE"""),4.0)</f>
        <v>4</v>
      </c>
      <c r="Y45" s="35">
        <f>IFERROR(__xludf.DUMMYFUNCTION("""COMPUTED_VALUE"""),3.0)</f>
        <v>3</v>
      </c>
      <c r="Z45" s="35">
        <f>IFERROR(__xludf.DUMMYFUNCTION("""COMPUTED_VALUE"""),4.0)</f>
        <v>4</v>
      </c>
    </row>
    <row r="46" ht="15.75" customHeight="1">
      <c r="C46" s="34">
        <v>7241.0</v>
      </c>
      <c r="D46" s="70" t="s">
        <v>197</v>
      </c>
      <c r="E46" s="71" t="str">
        <f>vlookup(C46,'NOC-List'!B$2:C$502,2,False)</f>
        <v>Electricians (except industrial and power system)</v>
      </c>
      <c r="F46" s="72">
        <v>3.0</v>
      </c>
      <c r="G46" s="72">
        <v>3.0</v>
      </c>
      <c r="H46" s="72">
        <v>3.0</v>
      </c>
      <c r="I46" s="72">
        <v>3.0</v>
      </c>
      <c r="J46" s="72">
        <v>3.0</v>
      </c>
      <c r="K46" s="72">
        <v>4.0</v>
      </c>
      <c r="L46" s="72">
        <v>3.0</v>
      </c>
      <c r="M46" s="72">
        <v>3.0</v>
      </c>
      <c r="N46" s="72">
        <v>3.0</v>
      </c>
      <c r="O46" s="73"/>
      <c r="P46" s="35">
        <f>IFERROR(__xludf.DUMMYFUNCTION("""COMPUTED_VALUE"""),7372.0)</f>
        <v>7372</v>
      </c>
      <c r="Q46" s="35" t="str">
        <f>IFERROR(__xludf.DUMMYFUNCTION("query(C46:N1039,""Select D,E,F,G,H,I,J,K,L,M WHERE ""&amp;P46&amp;"" =C Limit 1"")"),"Drillers - Surface Mining, Quarrying and Construction")</f>
        <v>Drillers - Surface Mining, Quarrying and Construction</v>
      </c>
      <c r="R46" s="35" t="str">
        <f>IFERROR(__xludf.DUMMYFUNCTION("""COMPUTED_VALUE"""),"Drillers and blasters - surface mining, quarrying and construction")</f>
        <v>Drillers and blasters - surface mining, quarrying and construction</v>
      </c>
      <c r="S46" s="35">
        <f>IFERROR(__xludf.DUMMYFUNCTION("""COMPUTED_VALUE"""),3.0)</f>
        <v>3</v>
      </c>
      <c r="T46" s="35">
        <f>IFERROR(__xludf.DUMMYFUNCTION("""COMPUTED_VALUE"""),4.0)</f>
        <v>4</v>
      </c>
      <c r="U46" s="35">
        <f>IFERROR(__xludf.DUMMYFUNCTION("""COMPUTED_VALUE"""),4.0)</f>
        <v>4</v>
      </c>
      <c r="V46" s="35">
        <f>IFERROR(__xludf.DUMMYFUNCTION("""COMPUTED_VALUE"""),3.0)</f>
        <v>3</v>
      </c>
      <c r="W46" s="35">
        <f>IFERROR(__xludf.DUMMYFUNCTION("""COMPUTED_VALUE"""),4.0)</f>
        <v>4</v>
      </c>
      <c r="X46" s="35">
        <f>IFERROR(__xludf.DUMMYFUNCTION("""COMPUTED_VALUE"""),4.0)</f>
        <v>4</v>
      </c>
      <c r="Y46" s="35">
        <f>IFERROR(__xludf.DUMMYFUNCTION("""COMPUTED_VALUE"""),3.0)</f>
        <v>3</v>
      </c>
      <c r="Z46" s="35">
        <f>IFERROR(__xludf.DUMMYFUNCTION("""COMPUTED_VALUE"""),4.0)</f>
        <v>4</v>
      </c>
    </row>
    <row r="47" ht="15.75" customHeight="1">
      <c r="C47" s="34">
        <v>4413.0</v>
      </c>
      <c r="D47" s="70" t="s">
        <v>198</v>
      </c>
      <c r="E47" s="71" t="str">
        <f>vlookup(C47,'NOC-List'!B$2:C$502,2,False)</f>
        <v>Elementary and secondary school teacher assistants</v>
      </c>
      <c r="F47" s="72">
        <v>3.0</v>
      </c>
      <c r="G47" s="72">
        <v>3.0</v>
      </c>
      <c r="H47" s="72">
        <v>3.0</v>
      </c>
      <c r="I47" s="72">
        <v>3.0</v>
      </c>
      <c r="J47" s="72">
        <v>3.0</v>
      </c>
      <c r="K47" s="72">
        <v>3.0</v>
      </c>
      <c r="L47" s="72">
        <v>4.0</v>
      </c>
      <c r="M47" s="72">
        <v>3.0</v>
      </c>
      <c r="N47" s="72">
        <v>3.0</v>
      </c>
      <c r="O47" s="73"/>
      <c r="P47" s="35">
        <f>IFERROR(__xludf.DUMMYFUNCTION("""COMPUTED_VALUE"""),621.0)</f>
        <v>621</v>
      </c>
      <c r="Q47" s="35" t="str">
        <f>IFERROR(__xludf.DUMMYFUNCTION("query(C47:N1040,""Select D,E,F,G,H,I,J,K,L,M WHERE ""&amp;P47&amp;"" =C Limit 1"")"),"Floor Managers")</f>
        <v>Floor Managers</v>
      </c>
      <c r="R47" s="35" t="str">
        <f>IFERROR(__xludf.DUMMYFUNCTION("""COMPUTED_VALUE"""),"Retail and wholesale trade managers")</f>
        <v>Retail and wholesale trade managers</v>
      </c>
      <c r="S47" s="35">
        <f>IFERROR(__xludf.DUMMYFUNCTION("""COMPUTED_VALUE"""),3.0)</f>
        <v>3</v>
      </c>
      <c r="T47" s="35">
        <f>IFERROR(__xludf.DUMMYFUNCTION("""COMPUTED_VALUE"""),3.0)</f>
        <v>3</v>
      </c>
      <c r="U47" s="35">
        <f>IFERROR(__xludf.DUMMYFUNCTION("""COMPUTED_VALUE"""),4.0)</f>
        <v>4</v>
      </c>
      <c r="V47" s="35">
        <f>IFERROR(__xludf.DUMMYFUNCTION("""COMPUTED_VALUE"""),3.0)</f>
        <v>3</v>
      </c>
      <c r="W47" s="35">
        <f>IFERROR(__xludf.DUMMYFUNCTION("""COMPUTED_VALUE"""),3.0)</f>
        <v>3</v>
      </c>
      <c r="X47" s="35">
        <f>IFERROR(__xludf.DUMMYFUNCTION("""COMPUTED_VALUE"""),3.0)</f>
        <v>3</v>
      </c>
      <c r="Y47" s="35">
        <f>IFERROR(__xludf.DUMMYFUNCTION("""COMPUTED_VALUE"""),3.0)</f>
        <v>3</v>
      </c>
      <c r="Z47" s="35">
        <f>IFERROR(__xludf.DUMMYFUNCTION("""COMPUTED_VALUE"""),4.0)</f>
        <v>4</v>
      </c>
    </row>
    <row r="48" ht="15.75" customHeight="1">
      <c r="C48" s="34">
        <v>6562.0</v>
      </c>
      <c r="D48" s="70" t="s">
        <v>199</v>
      </c>
      <c r="E48" s="71" t="str">
        <f>vlookup(C48,'NOC-List'!B$2:C$502,2,False)</f>
        <v>Estheticians, electrologists and related occupations</v>
      </c>
      <c r="F48" s="72">
        <v>3.0</v>
      </c>
      <c r="G48" s="72">
        <v>3.0</v>
      </c>
      <c r="H48" s="72">
        <v>4.0</v>
      </c>
      <c r="I48" s="72">
        <v>4.0</v>
      </c>
      <c r="J48" s="72">
        <v>3.0</v>
      </c>
      <c r="K48" s="72">
        <v>4.0</v>
      </c>
      <c r="L48" s="72">
        <v>3.0</v>
      </c>
      <c r="M48" s="72">
        <v>3.0</v>
      </c>
      <c r="N48" s="72">
        <v>3.0</v>
      </c>
      <c r="O48" s="73"/>
      <c r="P48" s="35">
        <f>IFERROR(__xludf.DUMMYFUNCTION("""COMPUTED_VALUE"""),5226.0)</f>
        <v>5226</v>
      </c>
      <c r="Q48" s="35" t="str">
        <f>IFERROR(__xludf.DUMMYFUNCTION("query(C48:N1041,""Select D,E,F,G,H,I,J,K,L,M WHERE ""&amp;P48&amp;"" =C Limit 1"")"),"Gaffers and Lighting Technicians")</f>
        <v>Gaffers and Lighting Technicians</v>
      </c>
      <c r="R48" s="35" t="str">
        <f>IFERROR(__xludf.DUMMYFUNCTION("""COMPUTED_VALUE"""),"Other technical and co-ordinating occupations in motion pictures, broadcasting and the performing arts")</f>
        <v>Other technical and co-ordinating occupations in motion pictures, broadcasting and the performing arts</v>
      </c>
      <c r="S48" s="35">
        <f>IFERROR(__xludf.DUMMYFUNCTION("""COMPUTED_VALUE"""),3.0)</f>
        <v>3</v>
      </c>
      <c r="T48" s="35">
        <f>IFERROR(__xludf.DUMMYFUNCTION("""COMPUTED_VALUE"""),3.0)</f>
        <v>3</v>
      </c>
      <c r="U48" s="35">
        <f>IFERROR(__xludf.DUMMYFUNCTION("""COMPUTED_VALUE"""),4.0)</f>
        <v>4</v>
      </c>
      <c r="V48" s="35">
        <f>IFERROR(__xludf.DUMMYFUNCTION("""COMPUTED_VALUE"""),3.0)</f>
        <v>3</v>
      </c>
      <c r="W48" s="35">
        <f>IFERROR(__xludf.DUMMYFUNCTION("""COMPUTED_VALUE"""),3.0)</f>
        <v>3</v>
      </c>
      <c r="X48" s="35">
        <f>IFERROR(__xludf.DUMMYFUNCTION("""COMPUTED_VALUE"""),4.0)</f>
        <v>4</v>
      </c>
      <c r="Y48" s="35">
        <f>IFERROR(__xludf.DUMMYFUNCTION("""COMPUTED_VALUE"""),3.0)</f>
        <v>3</v>
      </c>
      <c r="Z48" s="35">
        <f>IFERROR(__xludf.DUMMYFUNCTION("""COMPUTED_VALUE"""),4.0)</f>
        <v>4</v>
      </c>
    </row>
    <row r="49" ht="15.75" customHeight="1">
      <c r="C49" s="34">
        <v>5227.0</v>
      </c>
      <c r="D49" s="70" t="s">
        <v>200</v>
      </c>
      <c r="E49" s="71" t="str">
        <f>vlookup(C49,'NOC-List'!B$2:C$502,2,False)</f>
        <v>Support occupations in motion pictures, broadcasting, photography and the performing arts</v>
      </c>
      <c r="F49" s="72">
        <v>4.0</v>
      </c>
      <c r="G49" s="72">
        <v>4.0</v>
      </c>
      <c r="H49" s="72">
        <v>4.0</v>
      </c>
      <c r="I49" s="72">
        <v>4.0</v>
      </c>
      <c r="J49" s="72">
        <v>3.0</v>
      </c>
      <c r="K49" s="72">
        <v>4.0</v>
      </c>
      <c r="L49" s="72">
        <v>3.0</v>
      </c>
      <c r="M49" s="72">
        <v>3.0</v>
      </c>
      <c r="N49" s="72">
        <v>3.0</v>
      </c>
      <c r="O49" s="73"/>
      <c r="P49" s="35">
        <f>IFERROR(__xludf.DUMMYFUNCTION("""COMPUTED_VALUE"""),7295.0)</f>
        <v>7295</v>
      </c>
      <c r="Q49" s="35" t="str">
        <f>IFERROR(__xludf.DUMMYFUNCTION("query(C49:N1042,""Select D,E,F,G,H,I,J,K,L,M WHERE ""&amp;P49&amp;"" =C Limit 1"")"),"Floor Covering Installers")</f>
        <v>Floor Covering Installers</v>
      </c>
      <c r="R49" s="35" t="str">
        <f>IFERROR(__xludf.DUMMYFUNCTION("""COMPUTED_VALUE"""),"Floor covering installers")</f>
        <v>Floor covering installers</v>
      </c>
      <c r="S49" s="35">
        <f>IFERROR(__xludf.DUMMYFUNCTION("""COMPUTED_VALUE"""),3.0)</f>
        <v>3</v>
      </c>
      <c r="T49" s="35">
        <f>IFERROR(__xludf.DUMMYFUNCTION("""COMPUTED_VALUE"""),4.0)</f>
        <v>4</v>
      </c>
      <c r="U49" s="35">
        <f>IFERROR(__xludf.DUMMYFUNCTION("""COMPUTED_VALUE"""),3.0)</f>
        <v>3</v>
      </c>
      <c r="V49" s="35">
        <f>IFERROR(__xludf.DUMMYFUNCTION("""COMPUTED_VALUE"""),3.0)</f>
        <v>3</v>
      </c>
      <c r="W49" s="35">
        <f>IFERROR(__xludf.DUMMYFUNCTION("""COMPUTED_VALUE"""),3.0)</f>
        <v>3</v>
      </c>
      <c r="X49" s="35">
        <f>IFERROR(__xludf.DUMMYFUNCTION("""COMPUTED_VALUE"""),4.0)</f>
        <v>4</v>
      </c>
      <c r="Y49" s="35">
        <f>IFERROR(__xludf.DUMMYFUNCTION("""COMPUTED_VALUE"""),3.0)</f>
        <v>3</v>
      </c>
      <c r="Z49" s="35">
        <f>IFERROR(__xludf.DUMMYFUNCTION("""COMPUTED_VALUE"""),4.0)</f>
        <v>4</v>
      </c>
    </row>
    <row r="50" ht="15.75" customHeight="1">
      <c r="C50" s="34">
        <v>8261.0</v>
      </c>
      <c r="D50" s="70" t="s">
        <v>201</v>
      </c>
      <c r="E50" s="71" t="str">
        <f>vlookup(C50,'NOC-List'!B$2:C$502,2,False)</f>
        <v>Fishing masters and officers</v>
      </c>
      <c r="F50" s="72">
        <v>3.0</v>
      </c>
      <c r="G50" s="72">
        <v>3.0</v>
      </c>
      <c r="H50" s="72">
        <v>3.0</v>
      </c>
      <c r="I50" s="72">
        <v>2.0</v>
      </c>
      <c r="J50" s="72">
        <v>3.0</v>
      </c>
      <c r="K50" s="72">
        <v>4.0</v>
      </c>
      <c r="L50" s="72">
        <v>3.0</v>
      </c>
      <c r="M50" s="72">
        <v>4.0</v>
      </c>
      <c r="N50" s="72">
        <v>3.0</v>
      </c>
      <c r="O50" s="73"/>
      <c r="P50" s="35">
        <f>IFERROR(__xludf.DUMMYFUNCTION("""COMPUTED_VALUE"""),2212.0)</f>
        <v>2212</v>
      </c>
      <c r="Q50" s="35" t="str">
        <f>IFERROR(__xludf.DUMMYFUNCTION("query(C50:N1043,""Select D,E,F,G,H,I,J,K,L,M WHERE ""&amp;P50&amp;"" =C Limit 1"")"),"Geological and Mineral Technologists")</f>
        <v>Geological and Mineral Technologists</v>
      </c>
      <c r="R50" s="35" t="str">
        <f>IFERROR(__xludf.DUMMYFUNCTION("""COMPUTED_VALUE"""),"Geological and mineral technologists and technicians")</f>
        <v>Geological and mineral technologists and technicians</v>
      </c>
      <c r="S50" s="35">
        <f>IFERROR(__xludf.DUMMYFUNCTION("""COMPUTED_VALUE"""),2.0)</f>
        <v>2</v>
      </c>
      <c r="T50" s="35">
        <f>IFERROR(__xludf.DUMMYFUNCTION("""COMPUTED_VALUE"""),2.0)</f>
        <v>2</v>
      </c>
      <c r="U50" s="35">
        <f>IFERROR(__xludf.DUMMYFUNCTION("""COMPUTED_VALUE"""),2.0)</f>
        <v>2</v>
      </c>
      <c r="V50" s="35">
        <f>IFERROR(__xludf.DUMMYFUNCTION("""COMPUTED_VALUE"""),2.0)</f>
        <v>2</v>
      </c>
      <c r="W50" s="35">
        <f>IFERROR(__xludf.DUMMYFUNCTION("""COMPUTED_VALUE"""),2.0)</f>
        <v>2</v>
      </c>
      <c r="X50" s="35">
        <f>IFERROR(__xludf.DUMMYFUNCTION("""COMPUTED_VALUE"""),3.0)</f>
        <v>3</v>
      </c>
      <c r="Y50" s="35">
        <f>IFERROR(__xludf.DUMMYFUNCTION("""COMPUTED_VALUE"""),3.0)</f>
        <v>3</v>
      </c>
      <c r="Z50" s="35">
        <f>IFERROR(__xludf.DUMMYFUNCTION("""COMPUTED_VALUE"""),3.0)</f>
        <v>3</v>
      </c>
    </row>
    <row r="51" ht="15.75" customHeight="1">
      <c r="C51" s="34">
        <v>7372.0</v>
      </c>
      <c r="D51" s="70" t="s">
        <v>202</v>
      </c>
      <c r="E51" s="71" t="str">
        <f>vlookup(C51,'NOC-List'!B$2:C$502,2,False)</f>
        <v>Drillers and blasters - surface mining, quarrying and construction</v>
      </c>
      <c r="F51" s="72">
        <v>3.0</v>
      </c>
      <c r="G51" s="72">
        <v>4.0</v>
      </c>
      <c r="H51" s="72">
        <v>4.0</v>
      </c>
      <c r="I51" s="72">
        <v>3.0</v>
      </c>
      <c r="J51" s="72">
        <v>4.0</v>
      </c>
      <c r="K51" s="72">
        <v>4.0</v>
      </c>
      <c r="L51" s="72">
        <v>3.0</v>
      </c>
      <c r="M51" s="72">
        <v>4.0</v>
      </c>
      <c r="N51" s="72">
        <v>3.0</v>
      </c>
      <c r="O51" s="73"/>
      <c r="P51" s="35">
        <f>IFERROR(__xludf.DUMMYFUNCTION("""COMPUTED_VALUE"""),9532.0)</f>
        <v>9532</v>
      </c>
      <c r="Q51" s="35" t="str">
        <f>IFERROR(__xludf.DUMMYFUNCTION("query(C51:N1044,""Select D,E,F,G,H,I,J,K,L,M WHERE ""&amp;P51&amp;"" =C Limit 1"")"),"Furniture and Fixture Assemblers")</f>
        <v>Furniture and Fixture Assemblers</v>
      </c>
      <c r="R51" s="35" t="str">
        <f>IFERROR(__xludf.DUMMYFUNCTION("""COMPUTED_VALUE"""),"Furniture and fixture assemblers and inspectors")</f>
        <v>Furniture and fixture assemblers and inspectors</v>
      </c>
      <c r="S51" s="35">
        <f>IFERROR(__xludf.DUMMYFUNCTION("""COMPUTED_VALUE"""),4.0)</f>
        <v>4</v>
      </c>
      <c r="T51" s="35">
        <f>IFERROR(__xludf.DUMMYFUNCTION("""COMPUTED_VALUE"""),4.0)</f>
        <v>4</v>
      </c>
      <c r="U51" s="35">
        <f>IFERROR(__xludf.DUMMYFUNCTION("""COMPUTED_VALUE"""),4.0)</f>
        <v>4</v>
      </c>
      <c r="V51" s="35">
        <f>IFERROR(__xludf.DUMMYFUNCTION("""COMPUTED_VALUE"""),3.0)</f>
        <v>3</v>
      </c>
      <c r="W51" s="35">
        <f>IFERROR(__xludf.DUMMYFUNCTION("""COMPUTED_VALUE"""),4.0)</f>
        <v>4</v>
      </c>
      <c r="X51" s="35">
        <f>IFERROR(__xludf.DUMMYFUNCTION("""COMPUTED_VALUE"""),4.0)</f>
        <v>4</v>
      </c>
      <c r="Y51" s="35">
        <f>IFERROR(__xludf.DUMMYFUNCTION("""COMPUTED_VALUE"""),3.0)</f>
        <v>3</v>
      </c>
      <c r="Z51" s="35">
        <f>IFERROR(__xludf.DUMMYFUNCTION("""COMPUTED_VALUE"""),3.0)</f>
        <v>3</v>
      </c>
    </row>
    <row r="52" ht="15.75" customHeight="1">
      <c r="C52" s="34">
        <v>621.0</v>
      </c>
      <c r="D52" s="70" t="s">
        <v>203</v>
      </c>
      <c r="E52" s="71" t="str">
        <f>vlookup(C52,'NOC-List'!B$2:C$502,2,False)</f>
        <v>Retail and wholesale trade managers</v>
      </c>
      <c r="F52" s="72">
        <v>3.0</v>
      </c>
      <c r="G52" s="72">
        <v>3.0</v>
      </c>
      <c r="H52" s="72">
        <v>4.0</v>
      </c>
      <c r="I52" s="72">
        <v>3.0</v>
      </c>
      <c r="J52" s="72">
        <v>3.0</v>
      </c>
      <c r="K52" s="72">
        <v>3.0</v>
      </c>
      <c r="L52" s="72">
        <v>3.0</v>
      </c>
      <c r="M52" s="72">
        <v>4.0</v>
      </c>
      <c r="N52" s="72">
        <v>4.0</v>
      </c>
      <c r="O52" s="73"/>
      <c r="P52" s="35">
        <f>IFERROR(__xludf.DUMMYFUNCTION("""COMPUTED_VALUE"""),7442.0)</f>
        <v>7442</v>
      </c>
      <c r="Q52" s="35" t="str">
        <f>IFERROR(__xludf.DUMMYFUNCTION("query(C52:N1045,""Select D,E,F,G,H,I,J,K,L,M WHERE ""&amp;P52&amp;"" =C Limit 1"")"),"Gas Maintenance Workers")</f>
        <v>Gas Maintenance Workers</v>
      </c>
      <c r="R52" s="35" t="str">
        <f>IFERROR(__xludf.DUMMYFUNCTION("""COMPUTED_VALUE"""),"Waterworks and gas maintenance workers")</f>
        <v>Waterworks and gas maintenance workers</v>
      </c>
      <c r="S52" s="35">
        <f>IFERROR(__xludf.DUMMYFUNCTION("""COMPUTED_VALUE"""),3.0)</f>
        <v>3</v>
      </c>
      <c r="T52" s="35">
        <f>IFERROR(__xludf.DUMMYFUNCTION("""COMPUTED_VALUE"""),4.0)</f>
        <v>4</v>
      </c>
      <c r="U52" s="35">
        <f>IFERROR(__xludf.DUMMYFUNCTION("""COMPUTED_VALUE"""),4.0)</f>
        <v>4</v>
      </c>
      <c r="V52" s="35">
        <f>IFERROR(__xludf.DUMMYFUNCTION("""COMPUTED_VALUE"""),4.0)</f>
        <v>4</v>
      </c>
      <c r="W52" s="35">
        <f>IFERROR(__xludf.DUMMYFUNCTION("""COMPUTED_VALUE"""),4.0)</f>
        <v>4</v>
      </c>
      <c r="X52" s="35">
        <f>IFERROR(__xludf.DUMMYFUNCTION("""COMPUTED_VALUE"""),3.0)</f>
        <v>3</v>
      </c>
      <c r="Y52" s="35">
        <f>IFERROR(__xludf.DUMMYFUNCTION("""COMPUTED_VALUE"""),3.0)</f>
        <v>3</v>
      </c>
      <c r="Z52" s="35">
        <f>IFERROR(__xludf.DUMMYFUNCTION("""COMPUTED_VALUE"""),4.0)</f>
        <v>4</v>
      </c>
    </row>
    <row r="53" ht="15.75" customHeight="1">
      <c r="C53" s="34">
        <v>9422.0</v>
      </c>
      <c r="D53" s="70" t="s">
        <v>204</v>
      </c>
      <c r="E53" s="71" t="str">
        <f>vlookup(C53,'NOC-List'!B$2:C$502,2,False)</f>
        <v>Plastics processing machine operators</v>
      </c>
      <c r="F53" s="72">
        <v>3.0</v>
      </c>
      <c r="G53" s="72">
        <v>4.0</v>
      </c>
      <c r="H53" s="72">
        <v>4.0</v>
      </c>
      <c r="I53" s="72">
        <v>3.0</v>
      </c>
      <c r="J53" s="72">
        <v>3.0</v>
      </c>
      <c r="K53" s="72">
        <v>4.0</v>
      </c>
      <c r="L53" s="72">
        <v>4.0</v>
      </c>
      <c r="M53" s="72">
        <v>4.0</v>
      </c>
      <c r="N53" s="72">
        <v>3.0</v>
      </c>
      <c r="O53" s="73"/>
      <c r="P53" s="35">
        <f>IFERROR(__xludf.DUMMYFUNCTION("""COMPUTED_VALUE"""),2225.0)</f>
        <v>2225</v>
      </c>
      <c r="Q53" s="35" t="str">
        <f>IFERROR(__xludf.DUMMYFUNCTION("query(C53:N1046,""Select D,E,F,G,H,I,J,K,L,M WHERE ""&amp;P53&amp;"" =C Limit 1"")"),"Golf Course Superintendents")</f>
        <v>Golf Course Superintendents</v>
      </c>
      <c r="R53" s="35" t="str">
        <f>IFERROR(__xludf.DUMMYFUNCTION("""COMPUTED_VALUE"""),"Landscape and horticulture technicians and specialists")</f>
        <v>Landscape and horticulture technicians and specialists</v>
      </c>
      <c r="S53" s="35">
        <f>IFERROR(__xludf.DUMMYFUNCTION("""COMPUTED_VALUE"""),3.0)</f>
        <v>3</v>
      </c>
      <c r="T53" s="35">
        <f>IFERROR(__xludf.DUMMYFUNCTION("""COMPUTED_VALUE"""),3.0)</f>
        <v>3</v>
      </c>
      <c r="U53" s="35">
        <f>IFERROR(__xludf.DUMMYFUNCTION("""COMPUTED_VALUE"""),3.0)</f>
        <v>3</v>
      </c>
      <c r="V53" s="35">
        <f>IFERROR(__xludf.DUMMYFUNCTION("""COMPUTED_VALUE"""),3.0)</f>
        <v>3</v>
      </c>
      <c r="W53" s="35">
        <f>IFERROR(__xludf.DUMMYFUNCTION("""COMPUTED_VALUE"""),3.0)</f>
        <v>3</v>
      </c>
      <c r="X53" s="35">
        <f>IFERROR(__xludf.DUMMYFUNCTION("""COMPUTED_VALUE"""),3.0)</f>
        <v>3</v>
      </c>
      <c r="Y53" s="35">
        <f>IFERROR(__xludf.DUMMYFUNCTION("""COMPUTED_VALUE"""),3.0)</f>
        <v>3</v>
      </c>
      <c r="Z53" s="35">
        <f>IFERROR(__xludf.DUMMYFUNCTION("""COMPUTED_VALUE"""),4.0)</f>
        <v>4</v>
      </c>
    </row>
    <row r="54" ht="15.75" customHeight="1">
      <c r="C54" s="34">
        <v>6342.0</v>
      </c>
      <c r="D54" s="70" t="s">
        <v>205</v>
      </c>
      <c r="E54" s="71" t="str">
        <f>vlookup(C54,'NOC-List'!B$2:C$502,2,False)</f>
        <v>Tailors, dressmakers, furriers and milliners</v>
      </c>
      <c r="F54" s="72">
        <v>3.0</v>
      </c>
      <c r="G54" s="72">
        <v>3.0</v>
      </c>
      <c r="H54" s="72">
        <v>4.0</v>
      </c>
      <c r="I54" s="72">
        <v>2.0</v>
      </c>
      <c r="J54" s="72">
        <v>2.0</v>
      </c>
      <c r="K54" s="72">
        <v>4.0</v>
      </c>
      <c r="L54" s="72">
        <v>3.0</v>
      </c>
      <c r="M54" s="72">
        <v>2.0</v>
      </c>
      <c r="N54" s="72">
        <v>3.0</v>
      </c>
      <c r="O54" s="73"/>
      <c r="P54" s="35">
        <f>IFERROR(__xludf.DUMMYFUNCTION("""COMPUTED_VALUE"""),9413.0)</f>
        <v>9413</v>
      </c>
      <c r="Q54" s="35" t="str">
        <f>IFERROR(__xludf.DUMMYFUNCTION("query(C54:N1047,""Select D,E,F,G,H,I,J,K,L,M WHERE ""&amp;P54&amp;"" =C Limit 1"")"),"Glass Finishing Machine Operators")</f>
        <v>Glass Finishing Machine Operators</v>
      </c>
      <c r="R54" s="35" t="str">
        <f>IFERROR(__xludf.DUMMYFUNCTION("""COMPUTED_VALUE"""),"Glass forming and finishing machine operators and glass cutters")</f>
        <v>Glass forming and finishing machine operators and glass cutters</v>
      </c>
      <c r="S54" s="35">
        <f>IFERROR(__xludf.DUMMYFUNCTION("""COMPUTED_VALUE"""),3.0)</f>
        <v>3</v>
      </c>
      <c r="T54" s="35">
        <f>IFERROR(__xludf.DUMMYFUNCTION("""COMPUTED_VALUE"""),4.0)</f>
        <v>4</v>
      </c>
      <c r="U54" s="35">
        <f>IFERROR(__xludf.DUMMYFUNCTION("""COMPUTED_VALUE"""),4.0)</f>
        <v>4</v>
      </c>
      <c r="V54" s="35">
        <f>IFERROR(__xludf.DUMMYFUNCTION("""COMPUTED_VALUE"""),4.0)</f>
        <v>4</v>
      </c>
      <c r="W54" s="35">
        <f>IFERROR(__xludf.DUMMYFUNCTION("""COMPUTED_VALUE"""),3.0)</f>
        <v>3</v>
      </c>
      <c r="X54" s="35">
        <f>IFERROR(__xludf.DUMMYFUNCTION("""COMPUTED_VALUE"""),4.0)</f>
        <v>4</v>
      </c>
      <c r="Y54" s="35">
        <f>IFERROR(__xludf.DUMMYFUNCTION("""COMPUTED_VALUE"""),3.0)</f>
        <v>3</v>
      </c>
      <c r="Z54" s="35">
        <f>IFERROR(__xludf.DUMMYFUNCTION("""COMPUTED_VALUE"""),4.0)</f>
        <v>4</v>
      </c>
    </row>
    <row r="55" ht="15.75" customHeight="1">
      <c r="C55" s="34">
        <v>5226.0</v>
      </c>
      <c r="D55" s="70" t="s">
        <v>206</v>
      </c>
      <c r="E55" s="71" t="str">
        <f>vlookup(C55,'NOC-List'!B$2:C$502,2,False)</f>
        <v>Other technical and co-ordinating occupations in motion pictures, broadcasting and the performing arts</v>
      </c>
      <c r="F55" s="72">
        <v>3.0</v>
      </c>
      <c r="G55" s="72">
        <v>3.0</v>
      </c>
      <c r="H55" s="72">
        <v>4.0</v>
      </c>
      <c r="I55" s="72">
        <v>3.0</v>
      </c>
      <c r="J55" s="72">
        <v>3.0</v>
      </c>
      <c r="K55" s="72">
        <v>4.0</v>
      </c>
      <c r="L55" s="72">
        <v>3.0</v>
      </c>
      <c r="M55" s="72">
        <v>4.0</v>
      </c>
      <c r="N55" s="72">
        <v>3.0</v>
      </c>
      <c r="O55" s="73"/>
      <c r="P55" s="35">
        <f>IFERROR(__xludf.DUMMYFUNCTION("""COMPUTED_VALUE"""),822.0)</f>
        <v>822</v>
      </c>
      <c r="Q55" s="35" t="str">
        <f>IFERROR(__xludf.DUMMYFUNCTION("query(C55:N1048,""Select D,E,F,G,H,I,J,K,L,M WHERE ""&amp;P55&amp;"" =C Limit 1"")"),"Horticulturists")</f>
        <v>Horticulturists</v>
      </c>
      <c r="R55" s="35" t="str">
        <f>IFERROR(__xludf.DUMMYFUNCTION("""COMPUTED_VALUE"""),"Managers in horticulture")</f>
        <v>Managers in horticulture</v>
      </c>
      <c r="S55" s="35">
        <f>IFERROR(__xludf.DUMMYFUNCTION("""COMPUTED_VALUE"""),2.0)</f>
        <v>2</v>
      </c>
      <c r="T55" s="35">
        <f>IFERROR(__xludf.DUMMYFUNCTION("""COMPUTED_VALUE"""),3.0)</f>
        <v>3</v>
      </c>
      <c r="U55" s="35">
        <f>IFERROR(__xludf.DUMMYFUNCTION("""COMPUTED_VALUE"""),3.0)</f>
        <v>3</v>
      </c>
      <c r="V55" s="35">
        <f>IFERROR(__xludf.DUMMYFUNCTION("""COMPUTED_VALUE"""),3.0)</f>
        <v>3</v>
      </c>
      <c r="W55" s="35">
        <f>IFERROR(__xludf.DUMMYFUNCTION("""COMPUTED_VALUE"""),3.0)</f>
        <v>3</v>
      </c>
      <c r="X55" s="35">
        <f>IFERROR(__xludf.DUMMYFUNCTION("""COMPUTED_VALUE"""),4.0)</f>
        <v>4</v>
      </c>
      <c r="Y55" s="35">
        <f>IFERROR(__xludf.DUMMYFUNCTION("""COMPUTED_VALUE"""),4.0)</f>
        <v>4</v>
      </c>
      <c r="Z55" s="35">
        <f>IFERROR(__xludf.DUMMYFUNCTION("""COMPUTED_VALUE"""),3.0)</f>
        <v>3</v>
      </c>
    </row>
    <row r="56" ht="15.75" customHeight="1">
      <c r="C56" s="34">
        <v>7295.0</v>
      </c>
      <c r="D56" s="70" t="s">
        <v>207</v>
      </c>
      <c r="E56" s="71" t="str">
        <f>vlookup(C56,'NOC-List'!B$2:C$502,2,False)</f>
        <v>Floor covering installers</v>
      </c>
      <c r="F56" s="72">
        <v>3.0</v>
      </c>
      <c r="G56" s="72">
        <v>4.0</v>
      </c>
      <c r="H56" s="72">
        <v>3.0</v>
      </c>
      <c r="I56" s="72">
        <v>3.0</v>
      </c>
      <c r="J56" s="72">
        <v>3.0</v>
      </c>
      <c r="K56" s="72">
        <v>4.0</v>
      </c>
      <c r="L56" s="72">
        <v>3.0</v>
      </c>
      <c r="M56" s="72">
        <v>4.0</v>
      </c>
      <c r="N56" s="72">
        <v>3.0</v>
      </c>
      <c r="O56" s="73"/>
      <c r="P56" s="35">
        <f>IFERROR(__xludf.DUMMYFUNCTION("""COMPUTED_VALUE"""),2252.0)</f>
        <v>2252</v>
      </c>
      <c r="Q56" s="35" t="str">
        <f>IFERROR(__xludf.DUMMYFUNCTION("query(C56:N1049,""Select D,E,F,G,H,I,J,K,L,M WHERE ""&amp;P56&amp;"" =C Limit 1"")"),"Industrial Designers")</f>
        <v>Industrial Designers</v>
      </c>
      <c r="R56" s="35" t="str">
        <f>IFERROR(__xludf.DUMMYFUNCTION("""COMPUTED_VALUE"""),"Industrial designers")</f>
        <v>Industrial designers</v>
      </c>
      <c r="S56" s="35">
        <f>IFERROR(__xludf.DUMMYFUNCTION("""COMPUTED_VALUE"""),2.0)</f>
        <v>2</v>
      </c>
      <c r="T56" s="35">
        <f>IFERROR(__xludf.DUMMYFUNCTION("""COMPUTED_VALUE"""),2.0)</f>
        <v>2</v>
      </c>
      <c r="U56" s="35">
        <f>IFERROR(__xludf.DUMMYFUNCTION("""COMPUTED_VALUE"""),3.0)</f>
        <v>3</v>
      </c>
      <c r="V56" s="35">
        <f>IFERROR(__xludf.DUMMYFUNCTION("""COMPUTED_VALUE"""),2.0)</f>
        <v>2</v>
      </c>
      <c r="W56" s="35">
        <f>IFERROR(__xludf.DUMMYFUNCTION("""COMPUTED_VALUE"""),2.0)</f>
        <v>2</v>
      </c>
      <c r="X56" s="35">
        <f>IFERROR(__xludf.DUMMYFUNCTION("""COMPUTED_VALUE"""),4.0)</f>
        <v>4</v>
      </c>
      <c r="Y56" s="35">
        <f>IFERROR(__xludf.DUMMYFUNCTION("""COMPUTED_VALUE"""),2.0)</f>
        <v>2</v>
      </c>
      <c r="Z56" s="35">
        <f>IFERROR(__xludf.DUMMYFUNCTION("""COMPUTED_VALUE"""),2.0)</f>
        <v>2</v>
      </c>
    </row>
    <row r="57" ht="15.75" customHeight="1">
      <c r="C57" s="34">
        <v>2212.0</v>
      </c>
      <c r="D57" s="70" t="s">
        <v>208</v>
      </c>
      <c r="E57" s="71" t="str">
        <f>vlookup(C57,'NOC-List'!B$2:C$502,2,False)</f>
        <v>Geological and mineral technologists and technicians</v>
      </c>
      <c r="F57" s="72">
        <v>2.0</v>
      </c>
      <c r="G57" s="72">
        <v>2.0</v>
      </c>
      <c r="H57" s="72">
        <v>2.0</v>
      </c>
      <c r="I57" s="72">
        <v>2.0</v>
      </c>
      <c r="J57" s="72">
        <v>2.0</v>
      </c>
      <c r="K57" s="72">
        <v>3.0</v>
      </c>
      <c r="L57" s="72">
        <v>3.0</v>
      </c>
      <c r="M57" s="72">
        <v>3.0</v>
      </c>
      <c r="N57" s="72">
        <v>3.0</v>
      </c>
      <c r="O57" s="73"/>
      <c r="P57" s="35">
        <f>IFERROR(__xludf.DUMMYFUNCTION("""COMPUTED_VALUE"""),7242.0)</f>
        <v>7242</v>
      </c>
      <c r="Q57" s="35" t="str">
        <f>IFERROR(__xludf.DUMMYFUNCTION("query(C57:N1050,""Select D,E,F,G,H,I,J,K,L,M WHERE ""&amp;P57&amp;"" =C Limit 1"")"),"Industrial Electricians")</f>
        <v>Industrial Electricians</v>
      </c>
      <c r="R57" s="35" t="str">
        <f>IFERROR(__xludf.DUMMYFUNCTION("""COMPUTED_VALUE"""),"Industrial electricians")</f>
        <v>Industrial electricians</v>
      </c>
      <c r="S57" s="35">
        <f>IFERROR(__xludf.DUMMYFUNCTION("""COMPUTED_VALUE"""),3.0)</f>
        <v>3</v>
      </c>
      <c r="T57" s="35">
        <f>IFERROR(__xludf.DUMMYFUNCTION("""COMPUTED_VALUE"""),3.0)</f>
        <v>3</v>
      </c>
      <c r="U57" s="35">
        <f>IFERROR(__xludf.DUMMYFUNCTION("""COMPUTED_VALUE"""),3.0)</f>
        <v>3</v>
      </c>
      <c r="V57" s="35">
        <f>IFERROR(__xludf.DUMMYFUNCTION("""COMPUTED_VALUE"""),3.0)</f>
        <v>3</v>
      </c>
      <c r="W57" s="35">
        <f>IFERROR(__xludf.DUMMYFUNCTION("""COMPUTED_VALUE"""),3.0)</f>
        <v>3</v>
      </c>
      <c r="X57" s="35">
        <f>IFERROR(__xludf.DUMMYFUNCTION("""COMPUTED_VALUE"""),4.0)</f>
        <v>4</v>
      </c>
      <c r="Y57" s="35">
        <f>IFERROR(__xludf.DUMMYFUNCTION("""COMPUTED_VALUE"""),3.0)</f>
        <v>3</v>
      </c>
      <c r="Z57" s="35">
        <f>IFERROR(__xludf.DUMMYFUNCTION("""COMPUTED_VALUE"""),3.0)</f>
        <v>3</v>
      </c>
    </row>
    <row r="58" ht="15.75" customHeight="1">
      <c r="C58" s="34">
        <v>9532.0</v>
      </c>
      <c r="D58" s="70" t="s">
        <v>209</v>
      </c>
      <c r="E58" s="71" t="str">
        <f>vlookup(C58,'NOC-List'!B$2:C$502,2,False)</f>
        <v>Furniture and fixture assemblers and inspectors</v>
      </c>
      <c r="F58" s="72">
        <v>4.0</v>
      </c>
      <c r="G58" s="72">
        <v>4.0</v>
      </c>
      <c r="H58" s="72">
        <v>4.0</v>
      </c>
      <c r="I58" s="72">
        <v>3.0</v>
      </c>
      <c r="J58" s="72">
        <v>4.0</v>
      </c>
      <c r="K58" s="72">
        <v>4.0</v>
      </c>
      <c r="L58" s="72">
        <v>3.0</v>
      </c>
      <c r="M58" s="72">
        <v>3.0</v>
      </c>
      <c r="N58" s="72">
        <v>3.0</v>
      </c>
      <c r="O58" s="73"/>
      <c r="P58" s="35">
        <f>IFERROR(__xludf.DUMMYFUNCTION("""COMPUTED_VALUE"""),7292.0)</f>
        <v>7292</v>
      </c>
      <c r="Q58" s="35" t="str">
        <f>IFERROR(__xludf.DUMMYFUNCTION("query(C58:N1051,""Select D,E,F,G,H,I,J,K,L,M WHERE ""&amp;P58&amp;"" =C Limit 1"")"),"Glaziers")</f>
        <v>Glaziers</v>
      </c>
      <c r="R58" s="35" t="str">
        <f>IFERROR(__xludf.DUMMYFUNCTION("""COMPUTED_VALUE"""),"Glaziers")</f>
        <v>Glaziers</v>
      </c>
      <c r="S58" s="35">
        <f>IFERROR(__xludf.DUMMYFUNCTION("""COMPUTED_VALUE"""),3.0)</f>
        <v>3</v>
      </c>
      <c r="T58" s="35">
        <f>IFERROR(__xludf.DUMMYFUNCTION("""COMPUTED_VALUE"""),4.0)</f>
        <v>4</v>
      </c>
      <c r="U58" s="35">
        <f>IFERROR(__xludf.DUMMYFUNCTION("""COMPUTED_VALUE"""),3.0)</f>
        <v>3</v>
      </c>
      <c r="V58" s="35">
        <f>IFERROR(__xludf.DUMMYFUNCTION("""COMPUTED_VALUE"""),3.0)</f>
        <v>3</v>
      </c>
      <c r="W58" s="35">
        <f>IFERROR(__xludf.DUMMYFUNCTION("""COMPUTED_VALUE"""),3.0)</f>
        <v>3</v>
      </c>
      <c r="X58" s="35">
        <f>IFERROR(__xludf.DUMMYFUNCTION("""COMPUTED_VALUE"""),4.0)</f>
        <v>4</v>
      </c>
      <c r="Y58" s="35">
        <f>IFERROR(__xludf.DUMMYFUNCTION("""COMPUTED_VALUE"""),3.0)</f>
        <v>3</v>
      </c>
      <c r="Z58" s="35">
        <f>IFERROR(__xludf.DUMMYFUNCTION("""COMPUTED_VALUE"""),4.0)</f>
        <v>4</v>
      </c>
    </row>
    <row r="59" ht="15.75" customHeight="1">
      <c r="C59" s="34">
        <v>7442.0</v>
      </c>
      <c r="D59" s="70" t="s">
        <v>210</v>
      </c>
      <c r="E59" s="71" t="str">
        <f>vlookup(C59,'NOC-List'!B$2:C$502,2,False)</f>
        <v>Waterworks and gas maintenance workers</v>
      </c>
      <c r="F59" s="72">
        <v>3.0</v>
      </c>
      <c r="G59" s="72">
        <v>4.0</v>
      </c>
      <c r="H59" s="72">
        <v>4.0</v>
      </c>
      <c r="I59" s="72">
        <v>4.0</v>
      </c>
      <c r="J59" s="72">
        <v>4.0</v>
      </c>
      <c r="K59" s="72">
        <v>3.0</v>
      </c>
      <c r="L59" s="72">
        <v>3.0</v>
      </c>
      <c r="M59" s="72">
        <v>4.0</v>
      </c>
      <c r="N59" s="72">
        <v>3.0</v>
      </c>
      <c r="O59" s="73"/>
      <c r="P59" s="35">
        <f>IFERROR(__xludf.DUMMYFUNCTION("""COMPUTED_VALUE"""),2154.0)</f>
        <v>2154</v>
      </c>
      <c r="Q59" s="35" t="str">
        <f>IFERROR(__xludf.DUMMYFUNCTION("query(C59:N1052,""Select D,E,F,G,H,I,J,K,L,M WHERE ""&amp;P59&amp;"" =C Limit 1"")"),"Land Surveyors")</f>
        <v>Land Surveyors</v>
      </c>
      <c r="R59" s="35" t="str">
        <f>IFERROR(__xludf.DUMMYFUNCTION("""COMPUTED_VALUE"""),"Land surveyors")</f>
        <v>Land surveyors</v>
      </c>
      <c r="S59" s="35">
        <f>IFERROR(__xludf.DUMMYFUNCTION("""COMPUTED_VALUE"""),2.0)</f>
        <v>2</v>
      </c>
      <c r="T59" s="35">
        <f>IFERROR(__xludf.DUMMYFUNCTION("""COMPUTED_VALUE"""),2.0)</f>
        <v>2</v>
      </c>
      <c r="U59" s="35">
        <f>IFERROR(__xludf.DUMMYFUNCTION("""COMPUTED_VALUE"""),2.0)</f>
        <v>2</v>
      </c>
      <c r="V59" s="35">
        <f>IFERROR(__xludf.DUMMYFUNCTION("""COMPUTED_VALUE"""),2.0)</f>
        <v>2</v>
      </c>
      <c r="W59" s="35">
        <f>IFERROR(__xludf.DUMMYFUNCTION("""COMPUTED_VALUE"""),2.0)</f>
        <v>2</v>
      </c>
      <c r="X59" s="35">
        <f>IFERROR(__xludf.DUMMYFUNCTION("""COMPUTED_VALUE"""),3.0)</f>
        <v>3</v>
      </c>
      <c r="Y59" s="35">
        <f>IFERROR(__xludf.DUMMYFUNCTION("""COMPUTED_VALUE"""),3.0)</f>
        <v>3</v>
      </c>
      <c r="Z59" s="35">
        <f>IFERROR(__xludf.DUMMYFUNCTION("""COMPUTED_VALUE"""),3.0)</f>
        <v>3</v>
      </c>
    </row>
    <row r="60" ht="15.75" customHeight="1">
      <c r="C60" s="34">
        <v>2225.0</v>
      </c>
      <c r="D60" s="70" t="s">
        <v>211</v>
      </c>
      <c r="E60" s="71" t="str">
        <f>vlookup(C60,'NOC-List'!B$2:C$502,2,False)</f>
        <v>Landscape and horticulture technicians and specialists</v>
      </c>
      <c r="F60" s="72">
        <v>3.0</v>
      </c>
      <c r="G60" s="72">
        <v>3.0</v>
      </c>
      <c r="H60" s="72">
        <v>3.0</v>
      </c>
      <c r="I60" s="72">
        <v>3.0</v>
      </c>
      <c r="J60" s="72">
        <v>3.0</v>
      </c>
      <c r="K60" s="72">
        <v>3.0</v>
      </c>
      <c r="L60" s="72">
        <v>3.0</v>
      </c>
      <c r="M60" s="72">
        <v>4.0</v>
      </c>
      <c r="N60" s="72">
        <v>3.0</v>
      </c>
      <c r="O60" s="73"/>
      <c r="P60" s="35">
        <f>IFERROR(__xludf.DUMMYFUNCTION("""COMPUTED_VALUE"""),2152.0)</f>
        <v>2152</v>
      </c>
      <c r="Q60" s="35" t="str">
        <f>IFERROR(__xludf.DUMMYFUNCTION("query(C60:N1053,""Select D,E,F,G,H,I,J,K,L,M WHERE ""&amp;P60&amp;"" =C Limit 1"")"),"Landscape Architects")</f>
        <v>Landscape Architects</v>
      </c>
      <c r="R60" s="35" t="str">
        <f>IFERROR(__xludf.DUMMYFUNCTION("""COMPUTED_VALUE"""),"Landscape architects")</f>
        <v>Landscape architects</v>
      </c>
      <c r="S60" s="35">
        <f>IFERROR(__xludf.DUMMYFUNCTION("""COMPUTED_VALUE"""),2.0)</f>
        <v>2</v>
      </c>
      <c r="T60" s="35">
        <f>IFERROR(__xludf.DUMMYFUNCTION("""COMPUTED_VALUE"""),2.0)</f>
        <v>2</v>
      </c>
      <c r="U60" s="35">
        <f>IFERROR(__xludf.DUMMYFUNCTION("""COMPUTED_VALUE"""),2.0)</f>
        <v>2</v>
      </c>
      <c r="V60" s="35">
        <f>IFERROR(__xludf.DUMMYFUNCTION("""COMPUTED_VALUE"""),1.0)</f>
        <v>1</v>
      </c>
      <c r="W60" s="35">
        <f>IFERROR(__xludf.DUMMYFUNCTION("""COMPUTED_VALUE"""),1.0)</f>
        <v>1</v>
      </c>
      <c r="X60" s="35">
        <f>IFERROR(__xludf.DUMMYFUNCTION("""COMPUTED_VALUE"""),3.0)</f>
        <v>3</v>
      </c>
      <c r="Y60" s="35">
        <f>IFERROR(__xludf.DUMMYFUNCTION("""COMPUTED_VALUE"""),3.0)</f>
        <v>3</v>
      </c>
      <c r="Z60" s="35">
        <f>IFERROR(__xludf.DUMMYFUNCTION("""COMPUTED_VALUE"""),3.0)</f>
        <v>3</v>
      </c>
    </row>
    <row r="61" ht="15.75" customHeight="1">
      <c r="C61" s="34">
        <v>9413.0</v>
      </c>
      <c r="D61" s="70" t="s">
        <v>212</v>
      </c>
      <c r="E61" s="71" t="str">
        <f>vlookup(C61,'NOC-List'!B$2:C$502,2,False)</f>
        <v>Glass forming and finishing machine operators and glass cutters</v>
      </c>
      <c r="F61" s="72">
        <v>3.0</v>
      </c>
      <c r="G61" s="72">
        <v>4.0</v>
      </c>
      <c r="H61" s="72">
        <v>4.0</v>
      </c>
      <c r="I61" s="72">
        <v>4.0</v>
      </c>
      <c r="J61" s="72">
        <v>3.0</v>
      </c>
      <c r="K61" s="72">
        <v>4.0</v>
      </c>
      <c r="L61" s="72">
        <v>3.0</v>
      </c>
      <c r="M61" s="72">
        <v>4.0</v>
      </c>
      <c r="N61" s="72">
        <v>3.0</v>
      </c>
      <c r="O61" s="73"/>
      <c r="P61" s="35">
        <f>IFERROR(__xludf.DUMMYFUNCTION("""COMPUTED_VALUE"""),8612.0)</f>
        <v>8612</v>
      </c>
      <c r="Q61" s="35" t="str">
        <f>IFERROR(__xludf.DUMMYFUNCTION("query(C61:N1054,""Select D,E,F,G,H,I,J,K,L,M WHERE ""&amp;P61&amp;"" =C Limit 1"")"),"Landscapers")</f>
        <v>Landscapers</v>
      </c>
      <c r="R61" s="35" t="str">
        <f>IFERROR(__xludf.DUMMYFUNCTION("""COMPUTED_VALUE"""),"Landscaping and grounds maintenance labourers")</f>
        <v>Landscaping and grounds maintenance labourers</v>
      </c>
      <c r="S61" s="35">
        <f>IFERROR(__xludf.DUMMYFUNCTION("""COMPUTED_VALUE"""),3.0)</f>
        <v>3</v>
      </c>
      <c r="T61" s="35">
        <f>IFERROR(__xludf.DUMMYFUNCTION("""COMPUTED_VALUE"""),3.0)</f>
        <v>3</v>
      </c>
      <c r="U61" s="35">
        <f>IFERROR(__xludf.DUMMYFUNCTION("""COMPUTED_VALUE"""),3.0)</f>
        <v>3</v>
      </c>
      <c r="V61" s="35">
        <f>IFERROR(__xludf.DUMMYFUNCTION("""COMPUTED_VALUE"""),2.0)</f>
        <v>2</v>
      </c>
      <c r="W61" s="35">
        <f>IFERROR(__xludf.DUMMYFUNCTION("""COMPUTED_VALUE"""),3.0)</f>
        <v>3</v>
      </c>
      <c r="X61" s="35">
        <f>IFERROR(__xludf.DUMMYFUNCTION("""COMPUTED_VALUE"""),4.0)</f>
        <v>4</v>
      </c>
      <c r="Y61" s="35">
        <f>IFERROR(__xludf.DUMMYFUNCTION("""COMPUTED_VALUE"""),3.0)</f>
        <v>3</v>
      </c>
      <c r="Z61" s="35">
        <f>IFERROR(__xludf.DUMMYFUNCTION("""COMPUTED_VALUE"""),4.0)</f>
        <v>4</v>
      </c>
    </row>
    <row r="62" ht="15.75" customHeight="1">
      <c r="C62" s="81">
        <v>822.0</v>
      </c>
      <c r="D62" s="70" t="s">
        <v>213</v>
      </c>
      <c r="E62" s="71" t="str">
        <f>vlookup(C62,'NOC-List'!B$2:C$502,2,False)</f>
        <v>Managers in horticulture</v>
      </c>
      <c r="F62" s="72">
        <v>2.0</v>
      </c>
      <c r="G62" s="72">
        <v>3.0</v>
      </c>
      <c r="H62" s="72">
        <v>3.0</v>
      </c>
      <c r="I62" s="72">
        <v>3.0</v>
      </c>
      <c r="J62" s="72">
        <v>3.0</v>
      </c>
      <c r="K62" s="72">
        <v>4.0</v>
      </c>
      <c r="L62" s="72">
        <v>4.0</v>
      </c>
      <c r="M62" s="72">
        <v>3.0</v>
      </c>
      <c r="N62" s="72">
        <v>3.0</v>
      </c>
      <c r="O62" s="73"/>
      <c r="P62" s="35">
        <f>IFERROR(__xludf.DUMMYFUNCTION("""COMPUTED_VALUE"""),9447.0)</f>
        <v>9447</v>
      </c>
      <c r="Q62" s="35" t="str">
        <f>IFERROR(__xludf.DUMMYFUNCTION("query(C62:N1055,""Select D,E,F,G,H,I,J,K,L,M WHERE ""&amp;P62&amp;"" =C Limit 1"")"),"Inspectors and Testers, Fabric, Fur and Leather Products Manufacturing")</f>
        <v>Inspectors and Testers, Fabric, Fur and Leather Products Manufacturing</v>
      </c>
      <c r="R62" s="35" t="str">
        <f>IFERROR(__xludf.DUMMYFUNCTION("""COMPUTED_VALUE"""),"Inspectors and graders, textile, fabric, fur and leather products manufacturing")</f>
        <v>Inspectors and graders, textile, fabric, fur and leather products manufacturing</v>
      </c>
      <c r="S62" s="35">
        <f>IFERROR(__xludf.DUMMYFUNCTION("""COMPUTED_VALUE"""),4.0)</f>
        <v>4</v>
      </c>
      <c r="T62" s="35">
        <f>IFERROR(__xludf.DUMMYFUNCTION("""COMPUTED_VALUE"""),4.0)</f>
        <v>4</v>
      </c>
      <c r="U62" s="35">
        <f>IFERROR(__xludf.DUMMYFUNCTION("""COMPUTED_VALUE"""),4.0)</f>
        <v>4</v>
      </c>
      <c r="V62" s="35">
        <f>IFERROR(__xludf.DUMMYFUNCTION("""COMPUTED_VALUE"""),3.0)</f>
        <v>3</v>
      </c>
      <c r="W62" s="35">
        <f>IFERROR(__xludf.DUMMYFUNCTION("""COMPUTED_VALUE"""),3.0)</f>
        <v>3</v>
      </c>
      <c r="X62" s="35">
        <f>IFERROR(__xludf.DUMMYFUNCTION("""COMPUTED_VALUE"""),4.0)</f>
        <v>4</v>
      </c>
      <c r="Y62" s="35">
        <f>IFERROR(__xludf.DUMMYFUNCTION("""COMPUTED_VALUE"""),3.0)</f>
        <v>3</v>
      </c>
      <c r="Z62" s="35">
        <f>IFERROR(__xludf.DUMMYFUNCTION("""COMPUTED_VALUE"""),3.0)</f>
        <v>3</v>
      </c>
    </row>
    <row r="63" ht="15.75" customHeight="1">
      <c r="C63" s="34">
        <v>2252.0</v>
      </c>
      <c r="D63" s="70" t="s">
        <v>214</v>
      </c>
      <c r="E63" s="71" t="str">
        <f>vlookup(C63,'NOC-List'!B$2:C$502,2,False)</f>
        <v>Industrial designers</v>
      </c>
      <c r="F63" s="72">
        <v>2.0</v>
      </c>
      <c r="G63" s="72">
        <v>2.0</v>
      </c>
      <c r="H63" s="72">
        <v>3.0</v>
      </c>
      <c r="I63" s="72">
        <v>2.0</v>
      </c>
      <c r="J63" s="72">
        <v>2.0</v>
      </c>
      <c r="K63" s="72">
        <v>4.0</v>
      </c>
      <c r="L63" s="72">
        <v>2.0</v>
      </c>
      <c r="M63" s="72">
        <v>2.0</v>
      </c>
      <c r="N63" s="72">
        <v>3.0</v>
      </c>
      <c r="O63" s="73"/>
      <c r="P63" s="35">
        <f>IFERROR(__xludf.DUMMYFUNCTION("""COMPUTED_VALUE"""),3233.0)</f>
        <v>3233</v>
      </c>
      <c r="Q63" s="35" t="str">
        <f>IFERROR(__xludf.DUMMYFUNCTION("query(C63:N1056,""Select D,E,F,G,H,I,J,K,L,M WHERE ""&amp;P63&amp;"" =C Limit 1"")"),"Licensed Practical Nurses")</f>
        <v>Licensed Practical Nurses</v>
      </c>
      <c r="R63" s="35" t="str">
        <f>IFERROR(__xludf.DUMMYFUNCTION("""COMPUTED_VALUE"""),"Licensed practical nurses")</f>
        <v>Licensed practical nurses</v>
      </c>
      <c r="S63" s="35">
        <f>IFERROR(__xludf.DUMMYFUNCTION("""COMPUTED_VALUE"""),3.0)</f>
        <v>3</v>
      </c>
      <c r="T63" s="35">
        <f>IFERROR(__xludf.DUMMYFUNCTION("""COMPUTED_VALUE"""),3.0)</f>
        <v>3</v>
      </c>
      <c r="U63" s="35">
        <f>IFERROR(__xludf.DUMMYFUNCTION("""COMPUTED_VALUE"""),4.0)</f>
        <v>4</v>
      </c>
      <c r="V63" s="35">
        <f>IFERROR(__xludf.DUMMYFUNCTION("""COMPUTED_VALUE"""),4.0)</f>
        <v>4</v>
      </c>
      <c r="W63" s="35">
        <f>IFERROR(__xludf.DUMMYFUNCTION("""COMPUTED_VALUE"""),4.0)</f>
        <v>4</v>
      </c>
      <c r="X63" s="35">
        <f>IFERROR(__xludf.DUMMYFUNCTION("""COMPUTED_VALUE"""),3.0)</f>
        <v>3</v>
      </c>
      <c r="Y63" s="35">
        <f>IFERROR(__xludf.DUMMYFUNCTION("""COMPUTED_VALUE"""),3.0)</f>
        <v>3</v>
      </c>
      <c r="Z63" s="35">
        <f>IFERROR(__xludf.DUMMYFUNCTION("""COMPUTED_VALUE"""),3.0)</f>
        <v>3</v>
      </c>
    </row>
    <row r="64" ht="15.75" customHeight="1">
      <c r="C64" s="34">
        <v>7242.0</v>
      </c>
      <c r="D64" s="70" t="s">
        <v>215</v>
      </c>
      <c r="E64" s="71" t="str">
        <f>vlookup(C64,'NOC-List'!B$2:C$502,2,False)</f>
        <v>Industrial electricians</v>
      </c>
      <c r="F64" s="72">
        <v>3.0</v>
      </c>
      <c r="G64" s="72">
        <v>3.0</v>
      </c>
      <c r="H64" s="72">
        <v>3.0</v>
      </c>
      <c r="I64" s="72">
        <v>3.0</v>
      </c>
      <c r="J64" s="72">
        <v>3.0</v>
      </c>
      <c r="K64" s="72">
        <v>4.0</v>
      </c>
      <c r="L64" s="72">
        <v>3.0</v>
      </c>
      <c r="M64" s="72">
        <v>3.0</v>
      </c>
      <c r="N64" s="72">
        <v>3.0</v>
      </c>
      <c r="O64" s="73"/>
      <c r="P64" s="35">
        <f>IFERROR(__xludf.DUMMYFUNCTION("""COMPUTED_VALUE"""),7284.0)</f>
        <v>7284</v>
      </c>
      <c r="Q64" s="35" t="str">
        <f>IFERROR(__xludf.DUMMYFUNCTION("query(C64:N1057,""Select D,E,F,G,H,I,J,K,L,M WHERE ""&amp;P64&amp;"" =C Limit 1"")"),"Lathers")</f>
        <v>Lathers</v>
      </c>
      <c r="R64" s="35" t="str">
        <f>IFERROR(__xludf.DUMMYFUNCTION("""COMPUTED_VALUE"""),"Plasterers, drywall installers and finishers and lathers")</f>
        <v>Plasterers, drywall installers and finishers and lathers</v>
      </c>
      <c r="S64" s="35">
        <f>IFERROR(__xludf.DUMMYFUNCTION("""COMPUTED_VALUE"""),3.0)</f>
        <v>3</v>
      </c>
      <c r="T64" s="35">
        <f>IFERROR(__xludf.DUMMYFUNCTION("""COMPUTED_VALUE"""),4.0)</f>
        <v>4</v>
      </c>
      <c r="U64" s="35">
        <f>IFERROR(__xludf.DUMMYFUNCTION("""COMPUTED_VALUE"""),4.0)</f>
        <v>4</v>
      </c>
      <c r="V64" s="35">
        <f>IFERROR(__xludf.DUMMYFUNCTION("""COMPUTED_VALUE"""),3.0)</f>
        <v>3</v>
      </c>
      <c r="W64" s="35">
        <f>IFERROR(__xludf.DUMMYFUNCTION("""COMPUTED_VALUE"""),4.0)</f>
        <v>4</v>
      </c>
      <c r="X64" s="35">
        <f>IFERROR(__xludf.DUMMYFUNCTION("""COMPUTED_VALUE"""),4.0)</f>
        <v>4</v>
      </c>
      <c r="Y64" s="35">
        <f>IFERROR(__xludf.DUMMYFUNCTION("""COMPUTED_VALUE"""),3.0)</f>
        <v>3</v>
      </c>
      <c r="Z64" s="35">
        <f>IFERROR(__xludf.DUMMYFUNCTION("""COMPUTED_VALUE"""),4.0)</f>
        <v>4</v>
      </c>
    </row>
    <row r="65" ht="15.75" customHeight="1">
      <c r="C65" s="34">
        <v>9524.0</v>
      </c>
      <c r="D65" s="70" t="s">
        <v>216</v>
      </c>
      <c r="E65" s="71" t="str">
        <f>vlookup(C65,'NOC-List'!B$2:C$502,2,False)</f>
        <v>Assemblers and inspectors, electrical appliance, apparatus and equipment manufacturing</v>
      </c>
      <c r="F65" s="72">
        <v>3.0</v>
      </c>
      <c r="G65" s="72">
        <v>3.0</v>
      </c>
      <c r="H65" s="72">
        <v>3.0</v>
      </c>
      <c r="I65" s="72">
        <v>4.0</v>
      </c>
      <c r="J65" s="72">
        <v>3.0</v>
      </c>
      <c r="K65" s="72">
        <v>3.0</v>
      </c>
      <c r="L65" s="72">
        <v>3.0</v>
      </c>
      <c r="M65" s="72">
        <v>3.0</v>
      </c>
      <c r="N65" s="72">
        <v>3.0</v>
      </c>
      <c r="O65" s="73"/>
      <c r="P65" s="35">
        <f>IFERROR(__xludf.DUMMYFUNCTION("""COMPUTED_VALUE"""),7511.0)</f>
        <v>7511</v>
      </c>
      <c r="Q65" s="35" t="str">
        <f>IFERROR(__xludf.DUMMYFUNCTION("query(C65:N1058,""Select D,E,F,G,H,I,J,K,L,M WHERE ""&amp;P65&amp;"" =C Limit 1"")"),"Line-Haul and Local Truck Drivers")</f>
        <v>Line-Haul and Local Truck Drivers</v>
      </c>
      <c r="R65" s="35" t="str">
        <f>IFERROR(__xludf.DUMMYFUNCTION("""COMPUTED_VALUE"""),"Transport truck drivers")</f>
        <v>Transport truck drivers</v>
      </c>
      <c r="S65" s="35">
        <f>IFERROR(__xludf.DUMMYFUNCTION("""COMPUTED_VALUE"""),3.0)</f>
        <v>3</v>
      </c>
      <c r="T65" s="35">
        <f>IFERROR(__xludf.DUMMYFUNCTION("""COMPUTED_VALUE"""),4.0)</f>
        <v>4</v>
      </c>
      <c r="U65" s="35">
        <f>IFERROR(__xludf.DUMMYFUNCTION("""COMPUTED_VALUE"""),4.0)</f>
        <v>4</v>
      </c>
      <c r="V65" s="35">
        <f>IFERROR(__xludf.DUMMYFUNCTION("""COMPUTED_VALUE"""),3.0)</f>
        <v>3</v>
      </c>
      <c r="W65" s="35">
        <f>IFERROR(__xludf.DUMMYFUNCTION("""COMPUTED_VALUE"""),4.0)</f>
        <v>4</v>
      </c>
      <c r="X65" s="35">
        <f>IFERROR(__xludf.DUMMYFUNCTION("""COMPUTED_VALUE"""),4.0)</f>
        <v>4</v>
      </c>
      <c r="Y65" s="35">
        <f>IFERROR(__xludf.DUMMYFUNCTION("""COMPUTED_VALUE"""),3.0)</f>
        <v>3</v>
      </c>
      <c r="Z65" s="35">
        <f>IFERROR(__xludf.DUMMYFUNCTION("""COMPUTED_VALUE"""),4.0)</f>
        <v>4</v>
      </c>
    </row>
    <row r="66" ht="15.75" customHeight="1">
      <c r="C66" s="34">
        <v>7292.0</v>
      </c>
      <c r="D66" s="70" t="s">
        <v>217</v>
      </c>
      <c r="E66" s="71" t="str">
        <f>vlookup(C66,'NOC-List'!B$2:C$502,2,False)</f>
        <v>Glaziers</v>
      </c>
      <c r="F66" s="72">
        <v>3.0</v>
      </c>
      <c r="G66" s="72">
        <v>4.0</v>
      </c>
      <c r="H66" s="72">
        <v>3.0</v>
      </c>
      <c r="I66" s="72">
        <v>3.0</v>
      </c>
      <c r="J66" s="72">
        <v>3.0</v>
      </c>
      <c r="K66" s="72">
        <v>4.0</v>
      </c>
      <c r="L66" s="72">
        <v>3.0</v>
      </c>
      <c r="M66" s="72">
        <v>4.0</v>
      </c>
      <c r="N66" s="72">
        <v>3.0</v>
      </c>
      <c r="O66" s="73"/>
      <c r="P66" s="35">
        <f>IFERROR(__xludf.DUMMYFUNCTION("""COMPUTED_VALUE"""),7316.0)</f>
        <v>7316</v>
      </c>
      <c r="Q66" s="35" t="str">
        <f>IFERROR(__xludf.DUMMYFUNCTION("query(C66:N1059,""Select D,E,F,G,H,I,J,K,L,M WHERE ""&amp;P66&amp;"" =C Limit 1"")"),"Machine Fitters")</f>
        <v>Machine Fitters</v>
      </c>
      <c r="R66" s="35" t="str">
        <f>IFERROR(__xludf.DUMMYFUNCTION("""COMPUTED_VALUE"""),"Machine fitters")</f>
        <v>Machine fitters</v>
      </c>
      <c r="S66" s="35">
        <f>IFERROR(__xludf.DUMMYFUNCTION("""COMPUTED_VALUE"""),3.0)</f>
        <v>3</v>
      </c>
      <c r="T66" s="35">
        <f>IFERROR(__xludf.DUMMYFUNCTION("""COMPUTED_VALUE"""),3.0)</f>
        <v>3</v>
      </c>
      <c r="U66" s="35">
        <f>IFERROR(__xludf.DUMMYFUNCTION("""COMPUTED_VALUE"""),3.0)</f>
        <v>3</v>
      </c>
      <c r="V66" s="35">
        <f>IFERROR(__xludf.DUMMYFUNCTION("""COMPUTED_VALUE"""),3.0)</f>
        <v>3</v>
      </c>
      <c r="W66" s="35">
        <f>IFERROR(__xludf.DUMMYFUNCTION("""COMPUTED_VALUE"""),3.0)</f>
        <v>3</v>
      </c>
      <c r="X66" s="35">
        <f>IFERROR(__xludf.DUMMYFUNCTION("""COMPUTED_VALUE"""),4.0)</f>
        <v>4</v>
      </c>
      <c r="Y66" s="35">
        <f>IFERROR(__xludf.DUMMYFUNCTION("""COMPUTED_VALUE"""),3.0)</f>
        <v>3</v>
      </c>
      <c r="Z66" s="35">
        <f>IFERROR(__xludf.DUMMYFUNCTION("""COMPUTED_VALUE"""),3.0)</f>
        <v>3</v>
      </c>
    </row>
    <row r="67" ht="15.75" customHeight="1">
      <c r="C67" s="34">
        <v>2154.0</v>
      </c>
      <c r="D67" s="70" t="s">
        <v>218</v>
      </c>
      <c r="E67" s="71" t="str">
        <f>vlookup(C67,'NOC-List'!B$2:C$502,2,False)</f>
        <v>Land surveyors</v>
      </c>
      <c r="F67" s="72">
        <v>2.0</v>
      </c>
      <c r="G67" s="72">
        <v>2.0</v>
      </c>
      <c r="H67" s="72">
        <v>2.0</v>
      </c>
      <c r="I67" s="72">
        <v>2.0</v>
      </c>
      <c r="J67" s="72">
        <v>2.0</v>
      </c>
      <c r="K67" s="72">
        <v>3.0</v>
      </c>
      <c r="L67" s="72">
        <v>3.0</v>
      </c>
      <c r="M67" s="72">
        <v>3.0</v>
      </c>
      <c r="N67" s="72">
        <v>3.0</v>
      </c>
      <c r="O67" s="73"/>
      <c r="P67" s="35">
        <f>IFERROR(__xludf.DUMMYFUNCTION("""COMPUTED_VALUE"""),7451.0)</f>
        <v>7451</v>
      </c>
      <c r="Q67" s="35" t="str">
        <f>IFERROR(__xludf.DUMMYFUNCTION("query(C67:N1060,""Select D,E,F,G,H,I,J,K,L,M WHERE ""&amp;P67&amp;"" =C Limit 1"")"),"Longshore Workers")</f>
        <v>Longshore Workers</v>
      </c>
      <c r="R67" s="35" t="str">
        <f>IFERROR(__xludf.DUMMYFUNCTION("""COMPUTED_VALUE"""),"Longshore workers")</f>
        <v>Longshore workers</v>
      </c>
      <c r="S67" s="35">
        <f>IFERROR(__xludf.DUMMYFUNCTION("""COMPUTED_VALUE"""),3.0)</f>
        <v>3</v>
      </c>
      <c r="T67" s="35">
        <f>IFERROR(__xludf.DUMMYFUNCTION("""COMPUTED_VALUE"""),4.0)</f>
        <v>4</v>
      </c>
      <c r="U67" s="35">
        <f>IFERROR(__xludf.DUMMYFUNCTION("""COMPUTED_VALUE"""),4.0)</f>
        <v>4</v>
      </c>
      <c r="V67" s="35">
        <f>IFERROR(__xludf.DUMMYFUNCTION("""COMPUTED_VALUE"""),3.0)</f>
        <v>3</v>
      </c>
      <c r="W67" s="35">
        <f>IFERROR(__xludf.DUMMYFUNCTION("""COMPUTED_VALUE"""),4.0)</f>
        <v>4</v>
      </c>
      <c r="X67" s="35">
        <f>IFERROR(__xludf.DUMMYFUNCTION("""COMPUTED_VALUE"""),4.0)</f>
        <v>4</v>
      </c>
      <c r="Y67" s="35">
        <f>IFERROR(__xludf.DUMMYFUNCTION("""COMPUTED_VALUE"""),3.0)</f>
        <v>3</v>
      </c>
      <c r="Z67" s="35">
        <f>IFERROR(__xludf.DUMMYFUNCTION("""COMPUTED_VALUE"""),4.0)</f>
        <v>4</v>
      </c>
    </row>
    <row r="68" ht="15.75" customHeight="1">
      <c r="C68" s="34">
        <v>2152.0</v>
      </c>
      <c r="D68" s="70" t="s">
        <v>219</v>
      </c>
      <c r="E68" s="71" t="str">
        <f>vlookup(C68,'NOC-List'!B$2:C$502,2,False)</f>
        <v>Landscape architects</v>
      </c>
      <c r="F68" s="72">
        <v>2.0</v>
      </c>
      <c r="G68" s="72">
        <v>2.0</v>
      </c>
      <c r="H68" s="72">
        <v>2.0</v>
      </c>
      <c r="I68" s="72">
        <v>1.0</v>
      </c>
      <c r="J68" s="72">
        <v>1.0</v>
      </c>
      <c r="K68" s="72">
        <v>3.0</v>
      </c>
      <c r="L68" s="72">
        <v>3.0</v>
      </c>
      <c r="M68" s="72">
        <v>3.0</v>
      </c>
      <c r="N68" s="72">
        <v>3.0</v>
      </c>
      <c r="O68" s="73"/>
      <c r="P68" s="35">
        <f>IFERROR(__xludf.DUMMYFUNCTION("""COMPUTED_VALUE"""),7231.0)</f>
        <v>7231</v>
      </c>
      <c r="Q68" s="35" t="str">
        <f>IFERROR(__xludf.DUMMYFUNCTION("query(C68:N1061,""Select D,E,F,G,H,I,J,K,L,M WHERE ""&amp;P68&amp;"" =C Limit 1"")"),"Machining and Tooling Inspectors")</f>
        <v>Machining and Tooling Inspectors</v>
      </c>
      <c r="R68" s="35" t="str">
        <f>IFERROR(__xludf.DUMMYFUNCTION("""COMPUTED_VALUE"""),"Machinists and machining and tooling inspectors")</f>
        <v>Machinists and machining and tooling inspectors</v>
      </c>
      <c r="S68" s="35">
        <f>IFERROR(__xludf.DUMMYFUNCTION("""COMPUTED_VALUE"""),3.0)</f>
        <v>3</v>
      </c>
      <c r="T68" s="35">
        <f>IFERROR(__xludf.DUMMYFUNCTION("""COMPUTED_VALUE"""),3.0)</f>
        <v>3</v>
      </c>
      <c r="U68" s="35">
        <f>IFERROR(__xludf.DUMMYFUNCTION("""COMPUTED_VALUE"""),3.0)</f>
        <v>3</v>
      </c>
      <c r="V68" s="35">
        <f>IFERROR(__xludf.DUMMYFUNCTION("""COMPUTED_VALUE"""),3.0)</f>
        <v>3</v>
      </c>
      <c r="W68" s="35">
        <f>IFERROR(__xludf.DUMMYFUNCTION("""COMPUTED_VALUE"""),2.0)</f>
        <v>2</v>
      </c>
      <c r="X68" s="35">
        <f>IFERROR(__xludf.DUMMYFUNCTION("""COMPUTED_VALUE"""),3.0)</f>
        <v>3</v>
      </c>
      <c r="Y68" s="35">
        <f>IFERROR(__xludf.DUMMYFUNCTION("""COMPUTED_VALUE"""),3.0)</f>
        <v>3</v>
      </c>
      <c r="Z68" s="35">
        <f>IFERROR(__xludf.DUMMYFUNCTION("""COMPUTED_VALUE"""),3.0)</f>
        <v>3</v>
      </c>
    </row>
    <row r="69" ht="15.75" customHeight="1">
      <c r="C69" s="34">
        <v>8612.0</v>
      </c>
      <c r="D69" s="70" t="s">
        <v>220</v>
      </c>
      <c r="E69" s="71" t="str">
        <f>vlookup(C69,'NOC-List'!B$2:C$502,2,False)</f>
        <v>Landscaping and grounds maintenance labourers</v>
      </c>
      <c r="F69" s="72">
        <v>3.0</v>
      </c>
      <c r="G69" s="72">
        <v>3.0</v>
      </c>
      <c r="H69" s="72">
        <v>3.0</v>
      </c>
      <c r="I69" s="72">
        <v>2.0</v>
      </c>
      <c r="J69" s="72">
        <v>3.0</v>
      </c>
      <c r="K69" s="72">
        <v>4.0</v>
      </c>
      <c r="L69" s="72">
        <v>3.0</v>
      </c>
      <c r="M69" s="72">
        <v>4.0</v>
      </c>
      <c r="N69" s="72">
        <v>3.0</v>
      </c>
      <c r="O69" s="73"/>
      <c r="P69" s="35">
        <f>IFERROR(__xludf.DUMMYFUNCTION("""COMPUTED_VALUE"""),9417.0)</f>
        <v>9417</v>
      </c>
      <c r="Q69" s="35" t="str">
        <f>IFERROR(__xludf.DUMMYFUNCTION("query(C69:N1062,""Select D,E,F,G,H,I,J,K,L,M WHERE ""&amp;P69&amp;"" =C Limit 1"")"),"Machining Tool Operators")</f>
        <v>Machining Tool Operators</v>
      </c>
      <c r="R69" s="35" t="str">
        <f>IFERROR(__xludf.DUMMYFUNCTION("""COMPUTED_VALUE"""),"Machining tool operators")</f>
        <v>Machining tool operators</v>
      </c>
      <c r="S69" s="35">
        <f>IFERROR(__xludf.DUMMYFUNCTION("""COMPUTED_VALUE"""),3.0)</f>
        <v>3</v>
      </c>
      <c r="T69" s="35">
        <f>IFERROR(__xludf.DUMMYFUNCTION("""COMPUTED_VALUE"""),3.0)</f>
        <v>3</v>
      </c>
      <c r="U69" s="35">
        <f>IFERROR(__xludf.DUMMYFUNCTION("""COMPUTED_VALUE"""),3.0)</f>
        <v>3</v>
      </c>
      <c r="V69" s="35">
        <f>IFERROR(__xludf.DUMMYFUNCTION("""COMPUTED_VALUE"""),3.0)</f>
        <v>3</v>
      </c>
      <c r="W69" s="35">
        <f>IFERROR(__xludf.DUMMYFUNCTION("""COMPUTED_VALUE"""),3.0)</f>
        <v>3</v>
      </c>
      <c r="X69" s="35">
        <f>IFERROR(__xludf.DUMMYFUNCTION("""COMPUTED_VALUE"""),4.0)</f>
        <v>4</v>
      </c>
      <c r="Y69" s="35">
        <f>IFERROR(__xludf.DUMMYFUNCTION("""COMPUTED_VALUE"""),3.0)</f>
        <v>3</v>
      </c>
      <c r="Z69" s="35">
        <f>IFERROR(__xludf.DUMMYFUNCTION("""COMPUTED_VALUE"""),3.0)</f>
        <v>3</v>
      </c>
    </row>
    <row r="70" ht="15.75" customHeight="1">
      <c r="C70" s="34">
        <v>9447.0</v>
      </c>
      <c r="D70" s="70" t="s">
        <v>221</v>
      </c>
      <c r="E70" s="71" t="str">
        <f>vlookup(C70,'NOC-List'!B$2:C$502,2,False)</f>
        <v>Inspectors and graders, textile, fabric, fur and leather products manufacturing</v>
      </c>
      <c r="F70" s="72">
        <v>4.0</v>
      </c>
      <c r="G70" s="72">
        <v>4.0</v>
      </c>
      <c r="H70" s="72">
        <v>4.0</v>
      </c>
      <c r="I70" s="72">
        <v>3.0</v>
      </c>
      <c r="J70" s="72">
        <v>3.0</v>
      </c>
      <c r="K70" s="72">
        <v>4.0</v>
      </c>
      <c r="L70" s="72">
        <v>3.0</v>
      </c>
      <c r="M70" s="72">
        <v>3.0</v>
      </c>
      <c r="N70" s="72">
        <v>4.0</v>
      </c>
      <c r="O70" s="73"/>
      <c r="P70" s="35">
        <f>IFERROR(__xludf.DUMMYFUNCTION("""COMPUTED_VALUE"""),7332.0)</f>
        <v>7332</v>
      </c>
      <c r="Q70" s="35" t="str">
        <f>IFERROR(__xludf.DUMMYFUNCTION("query(C70:N1063,""Select D,E,F,G,H,I,J,K,L,M WHERE ""&amp;P70&amp;"" =C Limit 1"")"),"Major Appliance Repairers/Technicians")</f>
        <v>Major Appliance Repairers/Technicians</v>
      </c>
      <c r="R70" s="35" t="str">
        <f>IFERROR(__xludf.DUMMYFUNCTION("""COMPUTED_VALUE"""),"Appliance servicers and repairers")</f>
        <v>Appliance servicers and repairers</v>
      </c>
      <c r="S70" s="35">
        <f>IFERROR(__xludf.DUMMYFUNCTION("""COMPUTED_VALUE"""),3.0)</f>
        <v>3</v>
      </c>
      <c r="T70" s="35">
        <f>IFERROR(__xludf.DUMMYFUNCTION("""COMPUTED_VALUE"""),3.0)</f>
        <v>3</v>
      </c>
      <c r="U70" s="35">
        <f>IFERROR(__xludf.DUMMYFUNCTION("""COMPUTED_VALUE"""),3.0)</f>
        <v>3</v>
      </c>
      <c r="V70" s="35">
        <f>IFERROR(__xludf.DUMMYFUNCTION("""COMPUTED_VALUE"""),3.0)</f>
        <v>3</v>
      </c>
      <c r="W70" s="35">
        <f>IFERROR(__xludf.DUMMYFUNCTION("""COMPUTED_VALUE"""),3.0)</f>
        <v>3</v>
      </c>
      <c r="X70" s="35">
        <f>IFERROR(__xludf.DUMMYFUNCTION("""COMPUTED_VALUE"""),4.0)</f>
        <v>4</v>
      </c>
      <c r="Y70" s="35">
        <f>IFERROR(__xludf.DUMMYFUNCTION("""COMPUTED_VALUE"""),3.0)</f>
        <v>3</v>
      </c>
      <c r="Z70" s="35">
        <f>IFERROR(__xludf.DUMMYFUNCTION("""COMPUTED_VALUE"""),3.0)</f>
        <v>3</v>
      </c>
    </row>
    <row r="71" ht="15.75" customHeight="1">
      <c r="C71" s="34">
        <v>3233.0</v>
      </c>
      <c r="D71" s="70" t="s">
        <v>222</v>
      </c>
      <c r="E71" s="71" t="str">
        <f>vlookup(C71,'NOC-List'!B$2:C$502,2,False)</f>
        <v>Licensed practical nurses</v>
      </c>
      <c r="F71" s="72">
        <v>3.0</v>
      </c>
      <c r="G71" s="72">
        <v>3.0</v>
      </c>
      <c r="H71" s="72">
        <v>4.0</v>
      </c>
      <c r="I71" s="72">
        <v>4.0</v>
      </c>
      <c r="J71" s="72">
        <v>4.0</v>
      </c>
      <c r="K71" s="72">
        <v>3.0</v>
      </c>
      <c r="L71" s="72">
        <v>3.0</v>
      </c>
      <c r="M71" s="72">
        <v>3.0</v>
      </c>
      <c r="N71" s="72">
        <v>3.0</v>
      </c>
      <c r="O71" s="73"/>
      <c r="P71" s="35">
        <f>IFERROR(__xludf.DUMMYFUNCTION("""COMPUTED_VALUE"""),2232.0)</f>
        <v>2232</v>
      </c>
      <c r="Q71" s="35" t="str">
        <f>IFERROR(__xludf.DUMMYFUNCTION("query(C71:N1064,""Select D,E,F,G,H,I,J,K,L,M WHERE ""&amp;P71&amp;"" =C Limit 1"")"),"Mechanical Engineering Technologists")</f>
        <v>Mechanical Engineering Technologists</v>
      </c>
      <c r="R71" s="35" t="str">
        <f>IFERROR(__xludf.DUMMYFUNCTION("""COMPUTED_VALUE"""),"Mechanical engineering technologists and technicians")</f>
        <v>Mechanical engineering technologists and technicians</v>
      </c>
      <c r="S71" s="35">
        <f>IFERROR(__xludf.DUMMYFUNCTION("""COMPUTED_VALUE"""),2.0)</f>
        <v>2</v>
      </c>
      <c r="T71" s="35">
        <f>IFERROR(__xludf.DUMMYFUNCTION("""COMPUTED_VALUE"""),2.0)</f>
        <v>2</v>
      </c>
      <c r="U71" s="35">
        <f>IFERROR(__xludf.DUMMYFUNCTION("""COMPUTED_VALUE"""),2.0)</f>
        <v>2</v>
      </c>
      <c r="V71" s="35">
        <f>IFERROR(__xludf.DUMMYFUNCTION("""COMPUTED_VALUE"""),2.0)</f>
        <v>2</v>
      </c>
      <c r="W71" s="35">
        <f>IFERROR(__xludf.DUMMYFUNCTION("""COMPUTED_VALUE"""),2.0)</f>
        <v>2</v>
      </c>
      <c r="X71" s="35">
        <f>IFERROR(__xludf.DUMMYFUNCTION("""COMPUTED_VALUE"""),3.0)</f>
        <v>3</v>
      </c>
      <c r="Y71" s="35">
        <f>IFERROR(__xludf.DUMMYFUNCTION("""COMPUTED_VALUE"""),3.0)</f>
        <v>3</v>
      </c>
      <c r="Z71" s="35">
        <f>IFERROR(__xludf.DUMMYFUNCTION("""COMPUTED_VALUE"""),3.0)</f>
        <v>3</v>
      </c>
    </row>
    <row r="72" ht="15.75" customHeight="1">
      <c r="C72" s="34">
        <v>7284.0</v>
      </c>
      <c r="D72" s="70" t="s">
        <v>223</v>
      </c>
      <c r="E72" s="71" t="str">
        <f>vlookup(C72,'NOC-List'!B$2:C$502,2,False)</f>
        <v>Plasterers, drywall installers and finishers and lathers</v>
      </c>
      <c r="F72" s="72">
        <v>3.0</v>
      </c>
      <c r="G72" s="72">
        <v>4.0</v>
      </c>
      <c r="H72" s="72">
        <v>4.0</v>
      </c>
      <c r="I72" s="72">
        <v>3.0</v>
      </c>
      <c r="J72" s="72">
        <v>4.0</v>
      </c>
      <c r="K72" s="72">
        <v>4.0</v>
      </c>
      <c r="L72" s="72">
        <v>3.0</v>
      </c>
      <c r="M72" s="72">
        <v>4.0</v>
      </c>
      <c r="N72" s="72">
        <v>3.0</v>
      </c>
      <c r="O72" s="73"/>
      <c r="P72" s="35">
        <f>IFERROR(__xludf.DUMMYFUNCTION("""COMPUTED_VALUE"""),9461.0)</f>
        <v>9461</v>
      </c>
      <c r="Q72" s="35" t="str">
        <f>IFERROR(__xludf.DUMMYFUNCTION("query(C72:N1065,""Select D,E,F,G,H,I,J,K,L,M WHERE ""&amp;P72&amp;"" =C Limit 1"")"),"Machine Operators, Food and Beverage Processing")</f>
        <v>Machine Operators, Food and Beverage Processing</v>
      </c>
      <c r="R72" s="35" t="str">
        <f>IFERROR(__xludf.DUMMYFUNCTION("""COMPUTED_VALUE"""),"Process control and machine operators, food, beverage and associated products processing")</f>
        <v>Process control and machine operators, food, beverage and associated products processing</v>
      </c>
      <c r="S72" s="35">
        <f>IFERROR(__xludf.DUMMYFUNCTION("""COMPUTED_VALUE"""),3.0)</f>
        <v>3</v>
      </c>
      <c r="T72" s="35">
        <f>IFERROR(__xludf.DUMMYFUNCTION("""COMPUTED_VALUE"""),4.0)</f>
        <v>4</v>
      </c>
      <c r="U72" s="35">
        <f>IFERROR(__xludf.DUMMYFUNCTION("""COMPUTED_VALUE"""),4.0)</f>
        <v>4</v>
      </c>
      <c r="V72" s="35">
        <f>IFERROR(__xludf.DUMMYFUNCTION("""COMPUTED_VALUE"""),4.0)</f>
        <v>4</v>
      </c>
      <c r="W72" s="35">
        <f>IFERROR(__xludf.DUMMYFUNCTION("""COMPUTED_VALUE"""),3.0)</f>
        <v>3</v>
      </c>
      <c r="X72" s="35">
        <f>IFERROR(__xludf.DUMMYFUNCTION("""COMPUTED_VALUE"""),4.0)</f>
        <v>4</v>
      </c>
      <c r="Y72" s="35">
        <f>IFERROR(__xludf.DUMMYFUNCTION("""COMPUTED_VALUE"""),3.0)</f>
        <v>3</v>
      </c>
      <c r="Z72" s="35">
        <f>IFERROR(__xludf.DUMMYFUNCTION("""COMPUTED_VALUE"""),4.0)</f>
        <v>4</v>
      </c>
    </row>
    <row r="73" ht="15.75" customHeight="1">
      <c r="C73" s="81">
        <v>7511.0</v>
      </c>
      <c r="D73" s="70" t="s">
        <v>224</v>
      </c>
      <c r="E73" s="71" t="str">
        <f>vlookup(C73,'NOC-List'!B$2:C$502,2,False)</f>
        <v>Transport truck drivers</v>
      </c>
      <c r="F73" s="72">
        <v>3.0</v>
      </c>
      <c r="G73" s="72">
        <v>4.0</v>
      </c>
      <c r="H73" s="72">
        <v>4.0</v>
      </c>
      <c r="I73" s="72">
        <v>3.0</v>
      </c>
      <c r="J73" s="72">
        <v>4.0</v>
      </c>
      <c r="K73" s="72">
        <v>4.0</v>
      </c>
      <c r="L73" s="72">
        <v>3.0</v>
      </c>
      <c r="M73" s="72">
        <v>4.0</v>
      </c>
      <c r="N73" s="72">
        <v>3.0</v>
      </c>
      <c r="O73" s="73"/>
      <c r="P73" s="35">
        <f>IFERROR(__xludf.DUMMYFUNCTION("""COMPUTED_VALUE"""),3212.0)</f>
        <v>3212</v>
      </c>
      <c r="Q73" s="35" t="str">
        <f>IFERROR(__xludf.DUMMYFUNCTION("query(C73:N1066,""Select D,E,F,G,H,I,J,K,L,M WHERE ""&amp;P73&amp;"" =C Limit 1"")"),"Medical Laboratory Technicians")</f>
        <v>Medical Laboratory Technicians</v>
      </c>
      <c r="R73" s="35" t="str">
        <f>IFERROR(__xludf.DUMMYFUNCTION("""COMPUTED_VALUE"""),"Medical laboratory technicians and pathologists' assistants")</f>
        <v>Medical laboratory technicians and pathologists' assistants</v>
      </c>
      <c r="S73" s="35">
        <f>IFERROR(__xludf.DUMMYFUNCTION("""COMPUTED_VALUE"""),3.0)</f>
        <v>3</v>
      </c>
      <c r="T73" s="35">
        <f>IFERROR(__xludf.DUMMYFUNCTION("""COMPUTED_VALUE"""),3.0)</f>
        <v>3</v>
      </c>
      <c r="U73" s="35">
        <f>IFERROR(__xludf.DUMMYFUNCTION("""COMPUTED_VALUE"""),3.0)</f>
        <v>3</v>
      </c>
      <c r="V73" s="35">
        <f>IFERROR(__xludf.DUMMYFUNCTION("""COMPUTED_VALUE"""),4.0)</f>
        <v>4</v>
      </c>
      <c r="W73" s="35">
        <f>IFERROR(__xludf.DUMMYFUNCTION("""COMPUTED_VALUE"""),3.0)</f>
        <v>3</v>
      </c>
      <c r="X73" s="35">
        <f>IFERROR(__xludf.DUMMYFUNCTION("""COMPUTED_VALUE"""),3.0)</f>
        <v>3</v>
      </c>
      <c r="Y73" s="35">
        <f>IFERROR(__xludf.DUMMYFUNCTION("""COMPUTED_VALUE"""),3.0)</f>
        <v>3</v>
      </c>
      <c r="Z73" s="35">
        <f>IFERROR(__xludf.DUMMYFUNCTION("""COMPUTED_VALUE"""),3.0)</f>
        <v>3</v>
      </c>
    </row>
    <row r="74" ht="15.75" customHeight="1">
      <c r="C74" s="34">
        <v>7511.0</v>
      </c>
      <c r="D74" s="70" t="s">
        <v>225</v>
      </c>
      <c r="E74" s="71" t="str">
        <f>vlookup(C74,'NOC-List'!B$2:C$502,2,False)</f>
        <v>Transport truck drivers</v>
      </c>
      <c r="F74" s="72">
        <v>3.0</v>
      </c>
      <c r="G74" s="72">
        <v>4.0</v>
      </c>
      <c r="H74" s="72">
        <v>4.0</v>
      </c>
      <c r="I74" s="72">
        <v>3.0</v>
      </c>
      <c r="J74" s="72">
        <v>4.0</v>
      </c>
      <c r="K74" s="72">
        <v>4.0</v>
      </c>
      <c r="L74" s="72">
        <v>3.0</v>
      </c>
      <c r="M74" s="72">
        <v>4.0</v>
      </c>
      <c r="N74" s="72">
        <v>3.0</v>
      </c>
      <c r="O74" s="73"/>
      <c r="P74" s="35">
        <f>IFERROR(__xludf.DUMMYFUNCTION("""COMPUTED_VALUE"""),3216.0)</f>
        <v>3216</v>
      </c>
      <c r="Q74" s="35" t="str">
        <f>IFERROR(__xludf.DUMMYFUNCTION("query(C74:N1067,""Select D,E,F,G,H,I,J,K,L,M WHERE ""&amp;P74&amp;"" =C Limit 1"")"),"Medical Sonographers")</f>
        <v>Medical Sonographers</v>
      </c>
      <c r="R74" s="35" t="str">
        <f>IFERROR(__xludf.DUMMYFUNCTION("""COMPUTED_VALUE"""),"Medical sonographers")</f>
        <v>Medical sonographers</v>
      </c>
      <c r="S74" s="35">
        <f>IFERROR(__xludf.DUMMYFUNCTION("""COMPUTED_VALUE"""),3.0)</f>
        <v>3</v>
      </c>
      <c r="T74" s="35">
        <f>IFERROR(__xludf.DUMMYFUNCTION("""COMPUTED_VALUE"""),3.0)</f>
        <v>3</v>
      </c>
      <c r="U74" s="35">
        <f>IFERROR(__xludf.DUMMYFUNCTION("""COMPUTED_VALUE"""),3.0)</f>
        <v>3</v>
      </c>
      <c r="V74" s="35">
        <f>IFERROR(__xludf.DUMMYFUNCTION("""COMPUTED_VALUE"""),3.0)</f>
        <v>3</v>
      </c>
      <c r="W74" s="35">
        <f>IFERROR(__xludf.DUMMYFUNCTION("""COMPUTED_VALUE"""),3.0)</f>
        <v>3</v>
      </c>
      <c r="X74" s="35">
        <f>IFERROR(__xludf.DUMMYFUNCTION("""COMPUTED_VALUE"""),4.0)</f>
        <v>4</v>
      </c>
      <c r="Y74" s="35">
        <f>IFERROR(__xludf.DUMMYFUNCTION("""COMPUTED_VALUE"""),3.0)</f>
        <v>3</v>
      </c>
      <c r="Z74" s="35">
        <f>IFERROR(__xludf.DUMMYFUNCTION("""COMPUTED_VALUE"""),3.0)</f>
        <v>3</v>
      </c>
    </row>
    <row r="75" ht="15.75" customHeight="1">
      <c r="C75" s="34">
        <v>7316.0</v>
      </c>
      <c r="D75" s="70" t="s">
        <v>226</v>
      </c>
      <c r="E75" s="71" t="str">
        <f>vlookup(C75,'NOC-List'!B$2:C$502,2,False)</f>
        <v>Machine fitters</v>
      </c>
      <c r="F75" s="72">
        <v>3.0</v>
      </c>
      <c r="G75" s="72">
        <v>3.0</v>
      </c>
      <c r="H75" s="72">
        <v>3.0</v>
      </c>
      <c r="I75" s="72">
        <v>3.0</v>
      </c>
      <c r="J75" s="72">
        <v>3.0</v>
      </c>
      <c r="K75" s="72">
        <v>4.0</v>
      </c>
      <c r="L75" s="72">
        <v>3.0</v>
      </c>
      <c r="M75" s="72">
        <v>3.0</v>
      </c>
      <c r="N75" s="72">
        <v>3.0</v>
      </c>
      <c r="O75" s="73"/>
      <c r="P75" s="35">
        <f>IFERROR(__xludf.DUMMYFUNCTION("""COMPUTED_VALUE"""),9412.0)</f>
        <v>9412</v>
      </c>
      <c r="Q75" s="35" t="str">
        <f>IFERROR(__xludf.DUMMYFUNCTION("query(C75:N1068,""Select D,E,F,G,H,I,J,K,L,M WHERE ""&amp;P75&amp;"" =C Limit 1"")"),"Metal Mould Makers")</f>
        <v>Metal Mould Makers</v>
      </c>
      <c r="R75" s="35" t="str">
        <f>IFERROR(__xludf.DUMMYFUNCTION("""COMPUTED_VALUE"""),"Foundry workers")</f>
        <v>Foundry workers</v>
      </c>
      <c r="S75" s="35">
        <f>IFERROR(__xludf.DUMMYFUNCTION("""COMPUTED_VALUE"""),3.0)</f>
        <v>3</v>
      </c>
      <c r="T75" s="35">
        <f>IFERROR(__xludf.DUMMYFUNCTION("""COMPUTED_VALUE"""),3.0)</f>
        <v>3</v>
      </c>
      <c r="U75" s="35">
        <f>IFERROR(__xludf.DUMMYFUNCTION("""COMPUTED_VALUE"""),3.0)</f>
        <v>3</v>
      </c>
      <c r="V75" s="35">
        <f>IFERROR(__xludf.DUMMYFUNCTION("""COMPUTED_VALUE"""),2.0)</f>
        <v>2</v>
      </c>
      <c r="W75" s="35">
        <f>IFERROR(__xludf.DUMMYFUNCTION("""COMPUTED_VALUE"""),2.0)</f>
        <v>2</v>
      </c>
      <c r="X75" s="35">
        <f>IFERROR(__xludf.DUMMYFUNCTION("""COMPUTED_VALUE"""),4.0)</f>
        <v>4</v>
      </c>
      <c r="Y75" s="35">
        <f>IFERROR(__xludf.DUMMYFUNCTION("""COMPUTED_VALUE"""),3.0)</f>
        <v>3</v>
      </c>
      <c r="Z75" s="35">
        <f>IFERROR(__xludf.DUMMYFUNCTION("""COMPUTED_VALUE"""),2.0)</f>
        <v>2</v>
      </c>
    </row>
    <row r="76" ht="15.75" customHeight="1">
      <c r="C76" s="34">
        <v>7451.0</v>
      </c>
      <c r="D76" s="70" t="s">
        <v>227</v>
      </c>
      <c r="E76" s="71" t="str">
        <f>vlookup(C76,'NOC-List'!B$2:C$502,2,False)</f>
        <v>Longshore workers</v>
      </c>
      <c r="F76" s="72">
        <v>3.0</v>
      </c>
      <c r="G76" s="72">
        <v>4.0</v>
      </c>
      <c r="H76" s="72">
        <v>4.0</v>
      </c>
      <c r="I76" s="72">
        <v>3.0</v>
      </c>
      <c r="J76" s="72">
        <v>4.0</v>
      </c>
      <c r="K76" s="72">
        <v>4.0</v>
      </c>
      <c r="L76" s="72">
        <v>3.0</v>
      </c>
      <c r="M76" s="72">
        <v>4.0</v>
      </c>
      <c r="N76" s="72">
        <v>3.0</v>
      </c>
      <c r="O76" s="73"/>
      <c r="P76" s="35">
        <f>IFERROR(__xludf.DUMMYFUNCTION("""COMPUTED_VALUE"""),7232.0)</f>
        <v>7232</v>
      </c>
      <c r="Q76" s="35" t="str">
        <f>IFERROR(__xludf.DUMMYFUNCTION("query(C76:N1069,""Select D,E,F,G,H,I,J,K,L,M WHERE ""&amp;P76&amp;"" =C Limit 1"")"),"Metal Patternmakers")</f>
        <v>Metal Patternmakers</v>
      </c>
      <c r="R76" s="35" t="str">
        <f>IFERROR(__xludf.DUMMYFUNCTION("""COMPUTED_VALUE"""),"Tool and die makers")</f>
        <v>Tool and die makers</v>
      </c>
      <c r="S76" s="35">
        <f>IFERROR(__xludf.DUMMYFUNCTION("""COMPUTED_VALUE"""),3.0)</f>
        <v>3</v>
      </c>
      <c r="T76" s="35">
        <f>IFERROR(__xludf.DUMMYFUNCTION("""COMPUTED_VALUE"""),3.0)</f>
        <v>3</v>
      </c>
      <c r="U76" s="35">
        <f>IFERROR(__xludf.DUMMYFUNCTION("""COMPUTED_VALUE"""),3.0)</f>
        <v>3</v>
      </c>
      <c r="V76" s="35">
        <f>IFERROR(__xludf.DUMMYFUNCTION("""COMPUTED_VALUE"""),2.0)</f>
        <v>2</v>
      </c>
      <c r="W76" s="35">
        <f>IFERROR(__xludf.DUMMYFUNCTION("""COMPUTED_VALUE"""),2.0)</f>
        <v>2</v>
      </c>
      <c r="X76" s="35">
        <f>IFERROR(__xludf.DUMMYFUNCTION("""COMPUTED_VALUE"""),4.0)</f>
        <v>4</v>
      </c>
      <c r="Y76" s="35">
        <f>IFERROR(__xludf.DUMMYFUNCTION("""COMPUTED_VALUE"""),3.0)</f>
        <v>3</v>
      </c>
      <c r="Z76" s="35">
        <f>IFERROR(__xludf.DUMMYFUNCTION("""COMPUTED_VALUE"""),2.0)</f>
        <v>2</v>
      </c>
    </row>
    <row r="77" ht="15.75" customHeight="1">
      <c r="C77" s="34">
        <v>7231.0</v>
      </c>
      <c r="D77" s="70" t="s">
        <v>228</v>
      </c>
      <c r="E77" s="71" t="str">
        <f>vlookup(C77,'NOC-List'!B$2:C$502,2,False)</f>
        <v>Machinists and machining and tooling inspectors</v>
      </c>
      <c r="F77" s="72">
        <v>3.0</v>
      </c>
      <c r="G77" s="72">
        <v>3.0</v>
      </c>
      <c r="H77" s="72">
        <v>3.0</v>
      </c>
      <c r="I77" s="72">
        <v>3.0</v>
      </c>
      <c r="J77" s="72">
        <v>2.0</v>
      </c>
      <c r="K77" s="72">
        <v>3.0</v>
      </c>
      <c r="L77" s="72">
        <v>3.0</v>
      </c>
      <c r="M77" s="72">
        <v>3.0</v>
      </c>
      <c r="N77" s="72">
        <v>3.0</v>
      </c>
      <c r="O77" s="73"/>
      <c r="P77" s="35">
        <f>IFERROR(__xludf.DUMMYFUNCTION("""COMPUTED_VALUE"""),2255.0)</f>
        <v>2255</v>
      </c>
      <c r="Q77" s="35" t="str">
        <f>IFERROR(__xludf.DUMMYFUNCTION("query(C77:N1070,""Select D,E,F,G,H,I,J,K,L,M WHERE ""&amp;P77&amp;"" =C Limit 1"")"),"Meteorological Technicians")</f>
        <v>Meteorological Technicians</v>
      </c>
      <c r="R77" s="35" t="str">
        <f>IFERROR(__xludf.DUMMYFUNCTION("""COMPUTED_VALUE"""),"Technical occupations in geomatics and meteorology")</f>
        <v>Technical occupations in geomatics and meteorology</v>
      </c>
      <c r="S77" s="35">
        <f>IFERROR(__xludf.DUMMYFUNCTION("""COMPUTED_VALUE"""),3.0)</f>
        <v>3</v>
      </c>
      <c r="T77" s="35">
        <f>IFERROR(__xludf.DUMMYFUNCTION("""COMPUTED_VALUE"""),3.0)</f>
        <v>3</v>
      </c>
      <c r="U77" s="35">
        <f>IFERROR(__xludf.DUMMYFUNCTION("""COMPUTED_VALUE"""),3.0)</f>
        <v>3</v>
      </c>
      <c r="V77" s="35">
        <f>IFERROR(__xludf.DUMMYFUNCTION("""COMPUTED_VALUE"""),3.0)</f>
        <v>3</v>
      </c>
      <c r="W77" s="35">
        <f>IFERROR(__xludf.DUMMYFUNCTION("""COMPUTED_VALUE"""),3.0)</f>
        <v>3</v>
      </c>
      <c r="X77" s="35">
        <f>IFERROR(__xludf.DUMMYFUNCTION("""COMPUTED_VALUE"""),2.0)</f>
        <v>2</v>
      </c>
      <c r="Y77" s="35">
        <f>IFERROR(__xludf.DUMMYFUNCTION("""COMPUTED_VALUE"""),3.0)</f>
        <v>3</v>
      </c>
      <c r="Z77" s="35">
        <f>IFERROR(__xludf.DUMMYFUNCTION("""COMPUTED_VALUE"""),3.0)</f>
        <v>3</v>
      </c>
    </row>
    <row r="78" ht="15.75" customHeight="1">
      <c r="C78" s="34">
        <v>9417.0</v>
      </c>
      <c r="D78" s="70" t="s">
        <v>229</v>
      </c>
      <c r="E78" s="71" t="str">
        <f>vlookup(C78,'NOC-List'!B$2:C$502,2,False)</f>
        <v>Machining tool operators</v>
      </c>
      <c r="F78" s="72">
        <v>3.0</v>
      </c>
      <c r="G78" s="72">
        <v>3.0</v>
      </c>
      <c r="H78" s="72">
        <v>3.0</v>
      </c>
      <c r="I78" s="72">
        <v>3.0</v>
      </c>
      <c r="J78" s="72">
        <v>3.0</v>
      </c>
      <c r="K78" s="72">
        <v>4.0</v>
      </c>
      <c r="L78" s="72">
        <v>3.0</v>
      </c>
      <c r="M78" s="72">
        <v>3.0</v>
      </c>
      <c r="N78" s="72">
        <v>3.0</v>
      </c>
      <c r="O78" s="73"/>
      <c r="P78" s="35">
        <f>IFERROR(__xludf.DUMMYFUNCTION("""COMPUTED_VALUE"""),9526.0)</f>
        <v>9526</v>
      </c>
      <c r="Q78" s="35" t="str">
        <f>IFERROR(__xludf.DUMMYFUNCTION("query(C78:N1071,""Select D,E,F,G,H,I,J,K,L,M WHERE ""&amp;P78&amp;"" =C Limit 1"")"),"Mechanical Inspectors")</f>
        <v>Mechanical Inspectors</v>
      </c>
      <c r="R78" s="35" t="str">
        <f>IFERROR(__xludf.DUMMYFUNCTION("""COMPUTED_VALUE"""),"Mechanical assemblers and inspectors")</f>
        <v>Mechanical assemblers and inspectors</v>
      </c>
      <c r="S78" s="35">
        <f>IFERROR(__xludf.DUMMYFUNCTION("""COMPUTED_VALUE"""),3.0)</f>
        <v>3</v>
      </c>
      <c r="T78" s="35">
        <f>IFERROR(__xludf.DUMMYFUNCTION("""COMPUTED_VALUE"""),4.0)</f>
        <v>4</v>
      </c>
      <c r="U78" s="35">
        <f>IFERROR(__xludf.DUMMYFUNCTION("""COMPUTED_VALUE"""),4.0)</f>
        <v>4</v>
      </c>
      <c r="V78" s="35">
        <f>IFERROR(__xludf.DUMMYFUNCTION("""COMPUTED_VALUE"""),4.0)</f>
        <v>4</v>
      </c>
      <c r="W78" s="35">
        <f>IFERROR(__xludf.DUMMYFUNCTION("""COMPUTED_VALUE"""),3.0)</f>
        <v>3</v>
      </c>
      <c r="X78" s="35">
        <f>IFERROR(__xludf.DUMMYFUNCTION("""COMPUTED_VALUE"""),4.0)</f>
        <v>4</v>
      </c>
      <c r="Y78" s="35">
        <f>IFERROR(__xludf.DUMMYFUNCTION("""COMPUTED_VALUE"""),3.0)</f>
        <v>3</v>
      </c>
      <c r="Z78" s="35">
        <f>IFERROR(__xludf.DUMMYFUNCTION("""COMPUTED_VALUE"""),4.0)</f>
        <v>4</v>
      </c>
    </row>
    <row r="79" ht="15.75" customHeight="1">
      <c r="C79" s="34">
        <v>7231.0</v>
      </c>
      <c r="D79" s="70" t="s">
        <v>230</v>
      </c>
      <c r="E79" s="71" t="str">
        <f>vlookup(C79,'NOC-List'!B$2:C$502,2,False)</f>
        <v>Machinists and machining and tooling inspectors</v>
      </c>
      <c r="F79" s="72">
        <v>3.0</v>
      </c>
      <c r="G79" s="72">
        <v>3.0</v>
      </c>
      <c r="H79" s="72">
        <v>3.0</v>
      </c>
      <c r="I79" s="72">
        <v>2.0</v>
      </c>
      <c r="J79" s="72">
        <v>2.0</v>
      </c>
      <c r="K79" s="72">
        <v>4.0</v>
      </c>
      <c r="L79" s="72">
        <v>3.0</v>
      </c>
      <c r="M79" s="72">
        <v>2.0</v>
      </c>
      <c r="N79" s="72">
        <v>2.0</v>
      </c>
      <c r="O79" s="73"/>
      <c r="P79" s="35">
        <f>IFERROR(__xludf.DUMMYFUNCTION("""COMPUTED_VALUE"""),7334.0)</f>
        <v>7334</v>
      </c>
      <c r="Q79" s="35" t="str">
        <f>IFERROR(__xludf.DUMMYFUNCTION("query(C79:N1072,""Select D,E,F,G,H,I,J,K,L,M WHERE ""&amp;P79&amp;"" =C Limit 1"")"),"Motorcycle and Other Related Mechanics")</f>
        <v>Motorcycle and Other Related Mechanics</v>
      </c>
      <c r="R79" s="35" t="str">
        <f>IFERROR(__xludf.DUMMYFUNCTION("""COMPUTED_VALUE"""),"Motorcycle, all-terrain vehicle and other related mechanics")</f>
        <v>Motorcycle, all-terrain vehicle and other related mechanics</v>
      </c>
      <c r="S79" s="35">
        <f>IFERROR(__xludf.DUMMYFUNCTION("""COMPUTED_VALUE"""),3.0)</f>
        <v>3</v>
      </c>
      <c r="T79" s="35">
        <f>IFERROR(__xludf.DUMMYFUNCTION("""COMPUTED_VALUE"""),3.0)</f>
        <v>3</v>
      </c>
      <c r="U79" s="35">
        <f>IFERROR(__xludf.DUMMYFUNCTION("""COMPUTED_VALUE"""),3.0)</f>
        <v>3</v>
      </c>
      <c r="V79" s="35">
        <f>IFERROR(__xludf.DUMMYFUNCTION("""COMPUTED_VALUE"""),3.0)</f>
        <v>3</v>
      </c>
      <c r="W79" s="35">
        <f>IFERROR(__xludf.DUMMYFUNCTION("""COMPUTED_VALUE"""),3.0)</f>
        <v>3</v>
      </c>
      <c r="X79" s="35">
        <f>IFERROR(__xludf.DUMMYFUNCTION("""COMPUTED_VALUE"""),4.0)</f>
        <v>4</v>
      </c>
      <c r="Y79" s="35">
        <f>IFERROR(__xludf.DUMMYFUNCTION("""COMPUTED_VALUE"""),3.0)</f>
        <v>3</v>
      </c>
      <c r="Z79" s="35">
        <f>IFERROR(__xludf.DUMMYFUNCTION("""COMPUTED_VALUE"""),3.0)</f>
        <v>3</v>
      </c>
    </row>
    <row r="80" ht="15.75" customHeight="1">
      <c r="C80" s="81">
        <v>7332.0</v>
      </c>
      <c r="D80" s="70" t="s">
        <v>231</v>
      </c>
      <c r="E80" s="71" t="str">
        <f>vlookup(C80,'NOC-List'!B$2:C$502,2,False)</f>
        <v>Appliance servicers and repairers</v>
      </c>
      <c r="F80" s="72">
        <v>3.0</v>
      </c>
      <c r="G80" s="72">
        <v>3.0</v>
      </c>
      <c r="H80" s="72">
        <v>3.0</v>
      </c>
      <c r="I80" s="72">
        <v>3.0</v>
      </c>
      <c r="J80" s="72">
        <v>3.0</v>
      </c>
      <c r="K80" s="72">
        <v>4.0</v>
      </c>
      <c r="L80" s="72">
        <v>3.0</v>
      </c>
      <c r="M80" s="72">
        <v>3.0</v>
      </c>
      <c r="N80" s="72">
        <v>3.0</v>
      </c>
      <c r="O80" s="73"/>
      <c r="P80" s="35">
        <f>IFERROR(__xludf.DUMMYFUNCTION("""COMPUTED_VALUE"""),5133.0)</f>
        <v>5133</v>
      </c>
      <c r="Q80" s="35" t="str">
        <f>IFERROR(__xludf.DUMMYFUNCTION("query(C80:N1073,""Select D,E,F,G,H,I,J,K,L,M WHERE ""&amp;P80&amp;"" =C Limit 1"")"),"Musicians")</f>
        <v>Musicians</v>
      </c>
      <c r="R80" s="35" t="str">
        <f>IFERROR(__xludf.DUMMYFUNCTION("""COMPUTED_VALUE"""),"Musicians and singers")</f>
        <v>Musicians and singers</v>
      </c>
      <c r="S80" s="35">
        <f>IFERROR(__xludf.DUMMYFUNCTION("""COMPUTED_VALUE"""),2.0)</f>
        <v>2</v>
      </c>
      <c r="T80" s="35">
        <f>IFERROR(__xludf.DUMMYFUNCTION("""COMPUTED_VALUE"""),2.0)</f>
        <v>2</v>
      </c>
      <c r="U80" s="35">
        <f>IFERROR(__xludf.DUMMYFUNCTION("""COMPUTED_VALUE"""),3.0)</f>
        <v>3</v>
      </c>
      <c r="V80" s="35">
        <f>IFERROR(__xludf.DUMMYFUNCTION("""COMPUTED_VALUE"""),4.0)</f>
        <v>4</v>
      </c>
      <c r="W80" s="35">
        <f>IFERROR(__xludf.DUMMYFUNCTION("""COMPUTED_VALUE"""),3.0)</f>
        <v>3</v>
      </c>
      <c r="X80" s="35">
        <f>IFERROR(__xludf.DUMMYFUNCTION("""COMPUTED_VALUE"""),3.0)</f>
        <v>3</v>
      </c>
      <c r="Y80" s="35">
        <f>IFERROR(__xludf.DUMMYFUNCTION("""COMPUTED_VALUE"""),2.0)</f>
        <v>2</v>
      </c>
      <c r="Z80" s="35">
        <f>IFERROR(__xludf.DUMMYFUNCTION("""COMPUTED_VALUE"""),1.0)</f>
        <v>1</v>
      </c>
    </row>
    <row r="81" ht="15.75" customHeight="1">
      <c r="C81" s="34">
        <v>5226.0</v>
      </c>
      <c r="D81" s="70" t="s">
        <v>232</v>
      </c>
      <c r="E81" s="71" t="str">
        <f>vlookup(C81,'NOC-List'!B$2:C$502,2,False)</f>
        <v>Other technical and co-ordinating occupations in motion pictures, broadcasting and the performing arts</v>
      </c>
      <c r="F81" s="72">
        <v>3.0</v>
      </c>
      <c r="G81" s="72">
        <v>3.0</v>
      </c>
      <c r="H81" s="72">
        <v>4.0</v>
      </c>
      <c r="I81" s="72">
        <v>3.0</v>
      </c>
      <c r="J81" s="72">
        <v>2.0</v>
      </c>
      <c r="K81" s="72">
        <v>4.0</v>
      </c>
      <c r="L81" s="72">
        <v>3.0</v>
      </c>
      <c r="M81" s="72">
        <v>3.0</v>
      </c>
      <c r="N81" s="72">
        <v>3.0</v>
      </c>
      <c r="O81" s="73"/>
      <c r="P81" s="35">
        <f>IFERROR(__xludf.DUMMYFUNCTION("""COMPUTED_VALUE"""),3012.0)</f>
        <v>3012</v>
      </c>
      <c r="Q81" s="35" t="str">
        <f>IFERROR(__xludf.DUMMYFUNCTION("query(C81:N1074,""Select D,E,F,G,H,I,J,K,L,M WHERE ""&amp;P81&amp;"" =C Limit 1"")"),"Occupational Health Nurses")</f>
        <v>Occupational Health Nurses</v>
      </c>
      <c r="R81" s="35" t="str">
        <f>IFERROR(__xludf.DUMMYFUNCTION("""COMPUTED_VALUE"""),"Registered nurses and registered psychiatric nurses")</f>
        <v>Registered nurses and registered psychiatric nurses</v>
      </c>
      <c r="S81" s="35">
        <f>IFERROR(__xludf.DUMMYFUNCTION("""COMPUTED_VALUE"""),2.0)</f>
        <v>2</v>
      </c>
      <c r="T81" s="35">
        <f>IFERROR(__xludf.DUMMYFUNCTION("""COMPUTED_VALUE"""),2.0)</f>
        <v>2</v>
      </c>
      <c r="U81" s="35">
        <f>IFERROR(__xludf.DUMMYFUNCTION("""COMPUTED_VALUE"""),3.0)</f>
        <v>3</v>
      </c>
      <c r="V81" s="35">
        <f>IFERROR(__xludf.DUMMYFUNCTION("""COMPUTED_VALUE"""),3.0)</f>
        <v>3</v>
      </c>
      <c r="W81" s="35">
        <f>IFERROR(__xludf.DUMMYFUNCTION("""COMPUTED_VALUE"""),3.0)</f>
        <v>3</v>
      </c>
      <c r="X81" s="35">
        <f>IFERROR(__xludf.DUMMYFUNCTION("""COMPUTED_VALUE"""),4.0)</f>
        <v>4</v>
      </c>
      <c r="Y81" s="35">
        <f>IFERROR(__xludf.DUMMYFUNCTION("""COMPUTED_VALUE"""),3.0)</f>
        <v>3</v>
      </c>
      <c r="Z81" s="35">
        <f>IFERROR(__xludf.DUMMYFUNCTION("""COMPUTED_VALUE"""),3.0)</f>
        <v>3</v>
      </c>
    </row>
    <row r="82" ht="15.75" customHeight="1">
      <c r="C82" s="34">
        <v>2232.0</v>
      </c>
      <c r="D82" s="70" t="s">
        <v>233</v>
      </c>
      <c r="E82" s="71" t="str">
        <f>vlookup(C82,'NOC-List'!B$2:C$502,2,False)</f>
        <v>Mechanical engineering technologists and technicians</v>
      </c>
      <c r="F82" s="72">
        <v>2.0</v>
      </c>
      <c r="G82" s="72">
        <v>2.0</v>
      </c>
      <c r="H82" s="72">
        <v>2.0</v>
      </c>
      <c r="I82" s="72">
        <v>2.0</v>
      </c>
      <c r="J82" s="72">
        <v>2.0</v>
      </c>
      <c r="K82" s="72">
        <v>3.0</v>
      </c>
      <c r="L82" s="72">
        <v>3.0</v>
      </c>
      <c r="M82" s="72">
        <v>3.0</v>
      </c>
      <c r="N82" s="72">
        <v>3.0</v>
      </c>
      <c r="O82" s="73"/>
      <c r="P82" s="35">
        <f>IFERROR(__xludf.DUMMYFUNCTION("""COMPUTED_VALUE"""),3143.0)</f>
        <v>3143</v>
      </c>
      <c r="Q82" s="35" t="str">
        <f>IFERROR(__xludf.DUMMYFUNCTION("query(C82:N1075,""Select D,E,F,G,H,I,J,K,L,M WHERE ""&amp;P82&amp;"" =C Limit 1"")"),"Occupational Therapists")</f>
        <v>Occupational Therapists</v>
      </c>
      <c r="R82" s="35" t="str">
        <f>IFERROR(__xludf.DUMMYFUNCTION("""COMPUTED_VALUE"""),"Occupational therapists")</f>
        <v>Occupational therapists</v>
      </c>
      <c r="S82" s="35">
        <f>IFERROR(__xludf.DUMMYFUNCTION("""COMPUTED_VALUE"""),2.0)</f>
        <v>2</v>
      </c>
      <c r="T82" s="35">
        <f>IFERROR(__xludf.DUMMYFUNCTION("""COMPUTED_VALUE"""),2.0)</f>
        <v>2</v>
      </c>
      <c r="U82" s="35">
        <f>IFERROR(__xludf.DUMMYFUNCTION("""COMPUTED_VALUE"""),3.0)</f>
        <v>3</v>
      </c>
      <c r="V82" s="35">
        <f>IFERROR(__xludf.DUMMYFUNCTION("""COMPUTED_VALUE"""),3.0)</f>
        <v>3</v>
      </c>
      <c r="W82" s="35">
        <f>IFERROR(__xludf.DUMMYFUNCTION("""COMPUTED_VALUE"""),3.0)</f>
        <v>3</v>
      </c>
      <c r="X82" s="35">
        <f>IFERROR(__xludf.DUMMYFUNCTION("""COMPUTED_VALUE"""),3.0)</f>
        <v>3</v>
      </c>
      <c r="Y82" s="35">
        <f>IFERROR(__xludf.DUMMYFUNCTION("""COMPUTED_VALUE"""),4.0)</f>
        <v>4</v>
      </c>
      <c r="Z82" s="35">
        <f>IFERROR(__xludf.DUMMYFUNCTION("""COMPUTED_VALUE"""),3.0)</f>
        <v>3</v>
      </c>
    </row>
    <row r="83" ht="15.75" customHeight="1">
      <c r="C83" s="81">
        <v>9461.0</v>
      </c>
      <c r="D83" s="70" t="s">
        <v>234</v>
      </c>
      <c r="E83" s="71" t="str">
        <f>vlookup(C83,'NOC-List'!B$2:C$502,2,False)</f>
        <v>Process control and machine operators, food, beverage and associated products processing</v>
      </c>
      <c r="F83" s="72">
        <v>3.0</v>
      </c>
      <c r="G83" s="72">
        <v>4.0</v>
      </c>
      <c r="H83" s="72">
        <v>4.0</v>
      </c>
      <c r="I83" s="72">
        <v>4.0</v>
      </c>
      <c r="J83" s="72">
        <v>3.0</v>
      </c>
      <c r="K83" s="72">
        <v>4.0</v>
      </c>
      <c r="L83" s="72">
        <v>3.0</v>
      </c>
      <c r="M83" s="72">
        <v>4.0</v>
      </c>
      <c r="N83" s="72">
        <v>3.0</v>
      </c>
      <c r="O83" s="73"/>
      <c r="P83" s="35">
        <f>IFERROR(__xludf.DUMMYFUNCTION("""COMPUTED_VALUE"""),3219.0)</f>
        <v>3219</v>
      </c>
      <c r="Q83" s="35" t="str">
        <f>IFERROR(__xludf.DUMMYFUNCTION("query(C83:N1076,""Select D,E,F,G,H,I,J,K,L,M WHERE ""&amp;P83&amp;"" =C Limit 1"")"),"Ocularists")</f>
        <v>Ocularists</v>
      </c>
      <c r="R83" s="35" t="str">
        <f>IFERROR(__xludf.DUMMYFUNCTION("""COMPUTED_VALUE"""),"Other medical technologists and technicians (except dental health)")</f>
        <v>Other medical technologists and technicians (except dental health)</v>
      </c>
      <c r="S83" s="35">
        <f>IFERROR(__xludf.DUMMYFUNCTION("""COMPUTED_VALUE"""),2.0)</f>
        <v>2</v>
      </c>
      <c r="T83" s="35">
        <f>IFERROR(__xludf.DUMMYFUNCTION("""COMPUTED_VALUE"""),3.0)</f>
        <v>3</v>
      </c>
      <c r="U83" s="35">
        <f>IFERROR(__xludf.DUMMYFUNCTION("""COMPUTED_VALUE"""),3.0)</f>
        <v>3</v>
      </c>
      <c r="V83" s="35">
        <f>IFERROR(__xludf.DUMMYFUNCTION("""COMPUTED_VALUE"""),2.0)</f>
        <v>2</v>
      </c>
      <c r="W83" s="35">
        <f>IFERROR(__xludf.DUMMYFUNCTION("""COMPUTED_VALUE"""),2.0)</f>
        <v>2</v>
      </c>
      <c r="X83" s="35">
        <f>IFERROR(__xludf.DUMMYFUNCTION("""COMPUTED_VALUE"""),4.0)</f>
        <v>4</v>
      </c>
      <c r="Y83" s="35">
        <f>IFERROR(__xludf.DUMMYFUNCTION("""COMPUTED_VALUE"""),3.0)</f>
        <v>3</v>
      </c>
      <c r="Z83" s="35">
        <f>IFERROR(__xludf.DUMMYFUNCTION("""COMPUTED_VALUE"""),2.0)</f>
        <v>2</v>
      </c>
    </row>
    <row r="84" ht="15.75" customHeight="1">
      <c r="C84" s="34">
        <v>3212.0</v>
      </c>
      <c r="D84" s="70" t="s">
        <v>235</v>
      </c>
      <c r="E84" s="71" t="str">
        <f>vlookup(C84,'NOC-List'!B$2:C$502,2,False)</f>
        <v>Medical laboratory technicians and pathologists' assistants</v>
      </c>
      <c r="F84" s="72">
        <v>3.0</v>
      </c>
      <c r="G84" s="72">
        <v>3.0</v>
      </c>
      <c r="H84" s="72">
        <v>3.0</v>
      </c>
      <c r="I84" s="72">
        <v>4.0</v>
      </c>
      <c r="J84" s="72">
        <v>3.0</v>
      </c>
      <c r="K84" s="72">
        <v>3.0</v>
      </c>
      <c r="L84" s="72">
        <v>3.0</v>
      </c>
      <c r="M84" s="72">
        <v>3.0</v>
      </c>
      <c r="N84" s="72">
        <v>3.0</v>
      </c>
      <c r="O84" s="73"/>
      <c r="P84" s="35">
        <f>IFERROR(__xludf.DUMMYFUNCTION("""COMPUTED_VALUE"""),3237.0)</f>
        <v>3237</v>
      </c>
      <c r="Q84" s="35" t="str">
        <f>IFERROR(__xludf.DUMMYFUNCTION("query(C84:N1077,""Select D,E,F,G,H,I,J,K,L,M WHERE ""&amp;P84&amp;"" =C Limit 1"")"),"Ophthalmic Medical Assistants")</f>
        <v>Ophthalmic Medical Assistants</v>
      </c>
      <c r="R84" s="35" t="str">
        <f>IFERROR(__xludf.DUMMYFUNCTION("""COMPUTED_VALUE"""),"Other technical occupations in therapy and assessment")</f>
        <v>Other technical occupations in therapy and assessment</v>
      </c>
      <c r="S84" s="35">
        <f>IFERROR(__xludf.DUMMYFUNCTION("""COMPUTED_VALUE"""),3.0)</f>
        <v>3</v>
      </c>
      <c r="T84" s="35">
        <f>IFERROR(__xludf.DUMMYFUNCTION("""COMPUTED_VALUE"""),3.0)</f>
        <v>3</v>
      </c>
      <c r="U84" s="35">
        <f>IFERROR(__xludf.DUMMYFUNCTION("""COMPUTED_VALUE"""),3.0)</f>
        <v>3</v>
      </c>
      <c r="V84" s="35">
        <f>IFERROR(__xludf.DUMMYFUNCTION("""COMPUTED_VALUE"""),3.0)</f>
        <v>3</v>
      </c>
      <c r="W84" s="35">
        <f>IFERROR(__xludf.DUMMYFUNCTION("""COMPUTED_VALUE"""),3.0)</f>
        <v>3</v>
      </c>
      <c r="X84" s="35">
        <f>IFERROR(__xludf.DUMMYFUNCTION("""COMPUTED_VALUE"""),3.0)</f>
        <v>3</v>
      </c>
      <c r="Y84" s="35">
        <f>IFERROR(__xludf.DUMMYFUNCTION("""COMPUTED_VALUE"""),4.0)</f>
        <v>4</v>
      </c>
      <c r="Z84" s="35">
        <f>IFERROR(__xludf.DUMMYFUNCTION("""COMPUTED_VALUE"""),3.0)</f>
        <v>3</v>
      </c>
    </row>
    <row r="85" ht="15.75" customHeight="1">
      <c r="C85" s="34">
        <v>3216.0</v>
      </c>
      <c r="D85" s="70" t="s">
        <v>236</v>
      </c>
      <c r="E85" s="71" t="str">
        <f>vlookup(C85,'NOC-List'!B$2:C$502,2,False)</f>
        <v>Medical sonographers</v>
      </c>
      <c r="F85" s="72">
        <v>3.0</v>
      </c>
      <c r="G85" s="72">
        <v>3.0</v>
      </c>
      <c r="H85" s="72">
        <v>3.0</v>
      </c>
      <c r="I85" s="72">
        <v>3.0</v>
      </c>
      <c r="J85" s="72">
        <v>3.0</v>
      </c>
      <c r="K85" s="72">
        <v>4.0</v>
      </c>
      <c r="L85" s="72">
        <v>3.0</v>
      </c>
      <c r="M85" s="72">
        <v>3.0</v>
      </c>
      <c r="N85" s="72">
        <v>3.0</v>
      </c>
      <c r="O85" s="73"/>
      <c r="P85" s="35">
        <f>IFERROR(__xludf.DUMMYFUNCTION("""COMPUTED_VALUE"""),3121.0)</f>
        <v>3121</v>
      </c>
      <c r="Q85" s="35" t="str">
        <f>IFERROR(__xludf.DUMMYFUNCTION("query(C85:N1078,""Select D,E,F,G,H,I,J,K,L,M WHERE ""&amp;P85&amp;"" =C Limit 1"")"),"Optometrists")</f>
        <v>Optometrists</v>
      </c>
      <c r="R85" s="35" t="str">
        <f>IFERROR(__xludf.DUMMYFUNCTION("""COMPUTED_VALUE"""),"Optometrists")</f>
        <v>Optometrists</v>
      </c>
      <c r="S85" s="35">
        <f>IFERROR(__xludf.DUMMYFUNCTION("""COMPUTED_VALUE"""),2.0)</f>
        <v>2</v>
      </c>
      <c r="T85" s="35">
        <f>IFERROR(__xludf.DUMMYFUNCTION("""COMPUTED_VALUE"""),2.0)</f>
        <v>2</v>
      </c>
      <c r="U85" s="35">
        <f>IFERROR(__xludf.DUMMYFUNCTION("""COMPUTED_VALUE"""),2.0)</f>
        <v>2</v>
      </c>
      <c r="V85" s="35">
        <f>IFERROR(__xludf.DUMMYFUNCTION("""COMPUTED_VALUE"""),2.0)</f>
        <v>2</v>
      </c>
      <c r="W85" s="35">
        <f>IFERROR(__xludf.DUMMYFUNCTION("""COMPUTED_VALUE"""),2.0)</f>
        <v>2</v>
      </c>
      <c r="X85" s="35">
        <f>IFERROR(__xludf.DUMMYFUNCTION("""COMPUTED_VALUE"""),3.0)</f>
        <v>3</v>
      </c>
      <c r="Y85" s="35">
        <f>IFERROR(__xludf.DUMMYFUNCTION("""COMPUTED_VALUE"""),3.0)</f>
        <v>3</v>
      </c>
      <c r="Z85" s="35">
        <f>IFERROR(__xludf.DUMMYFUNCTION("""COMPUTED_VALUE"""),3.0)</f>
        <v>3</v>
      </c>
    </row>
    <row r="86" ht="15.75" customHeight="1">
      <c r="C86" s="81">
        <v>9412.0</v>
      </c>
      <c r="D86" s="70" t="s">
        <v>237</v>
      </c>
      <c r="E86" s="71" t="str">
        <f>vlookup(C86,'NOC-List'!B$2:C$502,2,False)</f>
        <v>Foundry workers</v>
      </c>
      <c r="F86" s="72">
        <v>3.0</v>
      </c>
      <c r="G86" s="72">
        <v>3.0</v>
      </c>
      <c r="H86" s="72">
        <v>3.0</v>
      </c>
      <c r="I86" s="72">
        <v>2.0</v>
      </c>
      <c r="J86" s="72">
        <v>2.0</v>
      </c>
      <c r="K86" s="72">
        <v>4.0</v>
      </c>
      <c r="L86" s="72">
        <v>3.0</v>
      </c>
      <c r="M86" s="72">
        <v>2.0</v>
      </c>
      <c r="N86" s="72">
        <v>2.0</v>
      </c>
      <c r="O86" s="73"/>
      <c r="P86" s="35">
        <f>IFERROR(__xludf.DUMMYFUNCTION("""COMPUTED_VALUE"""),6532.0)</f>
        <v>6532</v>
      </c>
      <c r="Q86" s="35" t="str">
        <f>IFERROR(__xludf.DUMMYFUNCTION("query(C86:N1079,""Select D,E,F,G,H,I,J,K,L,M WHERE ""&amp;P86&amp;"" =C Limit 1"")"),"Outdoor Sport and Recreational Guides")</f>
        <v>Outdoor Sport and Recreational Guides</v>
      </c>
      <c r="R86" s="35" t="str">
        <f>IFERROR(__xludf.DUMMYFUNCTION("""COMPUTED_VALUE"""),"Outdoor sport and recreational guides")</f>
        <v>Outdoor sport and recreational guides</v>
      </c>
      <c r="S86" s="35">
        <f>IFERROR(__xludf.DUMMYFUNCTION("""COMPUTED_VALUE"""),3.0)</f>
        <v>3</v>
      </c>
      <c r="T86" s="35">
        <f>IFERROR(__xludf.DUMMYFUNCTION("""COMPUTED_VALUE"""),3.0)</f>
        <v>3</v>
      </c>
      <c r="U86" s="35">
        <f>IFERROR(__xludf.DUMMYFUNCTION("""COMPUTED_VALUE"""),4.0)</f>
        <v>4</v>
      </c>
      <c r="V86" s="35">
        <f>IFERROR(__xludf.DUMMYFUNCTION("""COMPUTED_VALUE"""),3.0)</f>
        <v>3</v>
      </c>
      <c r="W86" s="35">
        <f>IFERROR(__xludf.DUMMYFUNCTION("""COMPUTED_VALUE"""),3.0)</f>
        <v>3</v>
      </c>
      <c r="X86" s="35">
        <f>IFERROR(__xludf.DUMMYFUNCTION("""COMPUTED_VALUE"""),4.0)</f>
        <v>4</v>
      </c>
      <c r="Y86" s="35">
        <f>IFERROR(__xludf.DUMMYFUNCTION("""COMPUTED_VALUE"""),3.0)</f>
        <v>3</v>
      </c>
      <c r="Z86" s="35">
        <f>IFERROR(__xludf.DUMMYFUNCTION("""COMPUTED_VALUE"""),4.0)</f>
        <v>4</v>
      </c>
    </row>
    <row r="87" ht="15.75" customHeight="1">
      <c r="C87" s="34">
        <v>7232.0</v>
      </c>
      <c r="D87" s="70" t="s">
        <v>238</v>
      </c>
      <c r="E87" s="71" t="str">
        <f>vlookup(C87,'NOC-List'!B$2:C$502,2,False)</f>
        <v>Tool and die makers</v>
      </c>
      <c r="F87" s="72">
        <v>3.0</v>
      </c>
      <c r="G87" s="72">
        <v>3.0</v>
      </c>
      <c r="H87" s="72">
        <v>3.0</v>
      </c>
      <c r="I87" s="72">
        <v>2.0</v>
      </c>
      <c r="J87" s="72">
        <v>2.0</v>
      </c>
      <c r="K87" s="72">
        <v>4.0</v>
      </c>
      <c r="L87" s="72">
        <v>3.0</v>
      </c>
      <c r="M87" s="72">
        <v>2.0</v>
      </c>
      <c r="N87" s="72">
        <v>2.0</v>
      </c>
      <c r="O87" s="73"/>
      <c r="P87" s="35">
        <f>IFERROR(__xludf.DUMMYFUNCTION("""COMPUTED_VALUE"""),9536.0)</f>
        <v>9536</v>
      </c>
      <c r="Q87" s="35" t="str">
        <f>IFERROR(__xludf.DUMMYFUNCTION("query(C87:N1080,""Select D,E,F,G,H,I,J,K,L,M WHERE ""&amp;P87&amp;"" =C Limit 1"")"),"Painters and Coaters - Industrial")</f>
        <v>Painters and Coaters - Industrial</v>
      </c>
      <c r="R87" s="35" t="str">
        <f>IFERROR(__xludf.DUMMYFUNCTION("""COMPUTED_VALUE"""),"Industrial painters, coaters and metal finishing process operators")</f>
        <v>Industrial painters, coaters and metal finishing process operators</v>
      </c>
      <c r="S87" s="35">
        <f>IFERROR(__xludf.DUMMYFUNCTION("""COMPUTED_VALUE"""),4.0)</f>
        <v>4</v>
      </c>
      <c r="T87" s="35">
        <f>IFERROR(__xludf.DUMMYFUNCTION("""COMPUTED_VALUE"""),4.0)</f>
        <v>4</v>
      </c>
      <c r="U87" s="35">
        <f>IFERROR(__xludf.DUMMYFUNCTION("""COMPUTED_VALUE"""),4.0)</f>
        <v>4</v>
      </c>
      <c r="V87" s="35">
        <f>IFERROR(__xludf.DUMMYFUNCTION("""COMPUTED_VALUE"""),4.0)</f>
        <v>4</v>
      </c>
      <c r="W87" s="35">
        <f>IFERROR(__xludf.DUMMYFUNCTION("""COMPUTED_VALUE"""),3.0)</f>
        <v>3</v>
      </c>
      <c r="X87" s="35">
        <f>IFERROR(__xludf.DUMMYFUNCTION("""COMPUTED_VALUE"""),4.0)</f>
        <v>4</v>
      </c>
      <c r="Y87" s="35">
        <f>IFERROR(__xludf.DUMMYFUNCTION("""COMPUTED_VALUE"""),3.0)</f>
        <v>3</v>
      </c>
      <c r="Z87" s="35">
        <f>IFERROR(__xludf.DUMMYFUNCTION("""COMPUTED_VALUE"""),3.0)</f>
        <v>3</v>
      </c>
    </row>
    <row r="88" ht="15.75" customHeight="1">
      <c r="C88" s="34">
        <v>2255.0</v>
      </c>
      <c r="D88" s="70" t="s">
        <v>239</v>
      </c>
      <c r="E88" s="71" t="str">
        <f>vlookup(C88,'NOC-List'!B$2:C$502,2,False)</f>
        <v>Technical occupations in geomatics and meteorology</v>
      </c>
      <c r="F88" s="72">
        <v>3.0</v>
      </c>
      <c r="G88" s="72">
        <v>3.0</v>
      </c>
      <c r="H88" s="72">
        <v>3.0</v>
      </c>
      <c r="I88" s="72">
        <v>3.0</v>
      </c>
      <c r="J88" s="72">
        <v>3.0</v>
      </c>
      <c r="K88" s="72">
        <v>2.0</v>
      </c>
      <c r="L88" s="72">
        <v>3.0</v>
      </c>
      <c r="M88" s="72">
        <v>3.0</v>
      </c>
      <c r="N88" s="72">
        <v>3.0</v>
      </c>
      <c r="O88" s="73"/>
      <c r="P88" s="35">
        <f>IFERROR(__xludf.DUMMYFUNCTION("""COMPUTED_VALUE"""),9433.0)</f>
        <v>9433</v>
      </c>
      <c r="Q88" s="35" t="str">
        <f>IFERROR(__xludf.DUMMYFUNCTION("query(C88:N1081,""Select D,E,F,G,H,I,J,K,L,M WHERE ""&amp;P88&amp;"" =C Limit 1"")"),"Papermaking and Finishing Machine Operators")</f>
        <v>Papermaking and Finishing Machine Operators</v>
      </c>
      <c r="R88" s="35" t="str">
        <f>IFERROR(__xludf.DUMMYFUNCTION("""COMPUTED_VALUE"""),"Papermaking and finishing machine operators")</f>
        <v>Papermaking and finishing machine operators</v>
      </c>
      <c r="S88" s="35">
        <f>IFERROR(__xludf.DUMMYFUNCTION("""COMPUTED_VALUE"""),4.0)</f>
        <v>4</v>
      </c>
      <c r="T88" s="35">
        <f>IFERROR(__xludf.DUMMYFUNCTION("""COMPUTED_VALUE"""),4.0)</f>
        <v>4</v>
      </c>
      <c r="U88" s="35">
        <f>IFERROR(__xludf.DUMMYFUNCTION("""COMPUTED_VALUE"""),4.0)</f>
        <v>4</v>
      </c>
      <c r="V88" s="35">
        <f>IFERROR(__xludf.DUMMYFUNCTION("""COMPUTED_VALUE"""),3.0)</f>
        <v>3</v>
      </c>
      <c r="W88" s="35">
        <f>IFERROR(__xludf.DUMMYFUNCTION("""COMPUTED_VALUE"""),3.0)</f>
        <v>3</v>
      </c>
      <c r="X88" s="35">
        <f>IFERROR(__xludf.DUMMYFUNCTION("""COMPUTED_VALUE"""),4.0)</f>
        <v>4</v>
      </c>
      <c r="Y88" s="35">
        <f>IFERROR(__xludf.DUMMYFUNCTION("""COMPUTED_VALUE"""),3.0)</f>
        <v>3</v>
      </c>
      <c r="Z88" s="35">
        <f>IFERROR(__xludf.DUMMYFUNCTION("""COMPUTED_VALUE"""),4.0)</f>
        <v>4</v>
      </c>
    </row>
    <row r="89" ht="15.75" customHeight="1">
      <c r="C89" s="34">
        <v>6342.0</v>
      </c>
      <c r="D89" s="70" t="s">
        <v>240</v>
      </c>
      <c r="E89" s="71" t="str">
        <f>vlookup(C89,'NOC-List'!B$2:C$502,2,False)</f>
        <v>Tailors, dressmakers, furriers and milliners</v>
      </c>
      <c r="F89" s="72">
        <v>3.0</v>
      </c>
      <c r="G89" s="72">
        <v>3.0</v>
      </c>
      <c r="H89" s="72">
        <v>4.0</v>
      </c>
      <c r="I89" s="72">
        <v>3.0</v>
      </c>
      <c r="J89" s="72">
        <v>3.0</v>
      </c>
      <c r="K89" s="72">
        <v>4.0</v>
      </c>
      <c r="L89" s="72">
        <v>3.0</v>
      </c>
      <c r="M89" s="72">
        <v>2.0</v>
      </c>
      <c r="N89" s="72">
        <v>3.0</v>
      </c>
      <c r="O89" s="73"/>
      <c r="P89" s="35">
        <f>IFERROR(__xludf.DUMMYFUNCTION("""COMPUTED_VALUE"""),5221.0)</f>
        <v>5221</v>
      </c>
      <c r="Q89" s="35" t="str">
        <f>IFERROR(__xludf.DUMMYFUNCTION("query(C89:N1082,""Select D,E,F,G,H,I,J,K,L,M WHERE ""&amp;P89&amp;"" =C Limit 1"")"),"Photographers")</f>
        <v>Photographers</v>
      </c>
      <c r="R89" s="35" t="str">
        <f>IFERROR(__xludf.DUMMYFUNCTION("""COMPUTED_VALUE"""),"Photographers")</f>
        <v>Photographers</v>
      </c>
      <c r="S89" s="35">
        <f>IFERROR(__xludf.DUMMYFUNCTION("""COMPUTED_VALUE"""),3.0)</f>
        <v>3</v>
      </c>
      <c r="T89" s="35">
        <f>IFERROR(__xludf.DUMMYFUNCTION("""COMPUTED_VALUE"""),3.0)</f>
        <v>3</v>
      </c>
      <c r="U89" s="35">
        <f>IFERROR(__xludf.DUMMYFUNCTION("""COMPUTED_VALUE"""),3.0)</f>
        <v>3</v>
      </c>
      <c r="V89" s="35">
        <f>IFERROR(__xludf.DUMMYFUNCTION("""COMPUTED_VALUE"""),2.0)</f>
        <v>2</v>
      </c>
      <c r="W89" s="35">
        <f>IFERROR(__xludf.DUMMYFUNCTION("""COMPUTED_VALUE"""),2.0)</f>
        <v>2</v>
      </c>
      <c r="X89" s="35">
        <f>IFERROR(__xludf.DUMMYFUNCTION("""COMPUTED_VALUE"""),4.0)</f>
        <v>4</v>
      </c>
      <c r="Y89" s="35">
        <f>IFERROR(__xludf.DUMMYFUNCTION("""COMPUTED_VALUE"""),3.0)</f>
        <v>3</v>
      </c>
      <c r="Z89" s="35">
        <f>IFERROR(__xludf.DUMMYFUNCTION("""COMPUTED_VALUE"""),3.0)</f>
        <v>3</v>
      </c>
    </row>
    <row r="90" ht="15.75" customHeight="1">
      <c r="C90" s="34">
        <v>9526.0</v>
      </c>
      <c r="D90" s="70" t="s">
        <v>241</v>
      </c>
      <c r="E90" s="71" t="str">
        <f>vlookup(C90,'NOC-List'!B$2:C$502,2,False)</f>
        <v>Mechanical assemblers and inspectors</v>
      </c>
      <c r="F90" s="72">
        <v>3.0</v>
      </c>
      <c r="G90" s="72">
        <v>4.0</v>
      </c>
      <c r="H90" s="72">
        <v>4.0</v>
      </c>
      <c r="I90" s="72">
        <v>4.0</v>
      </c>
      <c r="J90" s="72">
        <v>3.0</v>
      </c>
      <c r="K90" s="72">
        <v>4.0</v>
      </c>
      <c r="L90" s="72">
        <v>3.0</v>
      </c>
      <c r="M90" s="72">
        <v>4.0</v>
      </c>
      <c r="N90" s="72">
        <v>3.0</v>
      </c>
      <c r="O90" s="73"/>
      <c r="P90" s="35">
        <f>IFERROR(__xludf.DUMMYFUNCTION("""COMPUTED_VALUE"""),3142.0)</f>
        <v>3142</v>
      </c>
      <c r="Q90" s="35" t="str">
        <f>IFERROR(__xludf.DUMMYFUNCTION("query(C90:N1083,""Select D,E,F,G,H,I,J,K,L,M WHERE ""&amp;P90&amp;"" =C Limit 1"")"),"Physiotherapists")</f>
        <v>Physiotherapists</v>
      </c>
      <c r="R90" s="35" t="str">
        <f>IFERROR(__xludf.DUMMYFUNCTION("""COMPUTED_VALUE"""),"Physiotherapists")</f>
        <v>Physiotherapists</v>
      </c>
      <c r="S90" s="35">
        <f>IFERROR(__xludf.DUMMYFUNCTION("""COMPUTED_VALUE"""),2.0)</f>
        <v>2</v>
      </c>
      <c r="T90" s="35">
        <f>IFERROR(__xludf.DUMMYFUNCTION("""COMPUTED_VALUE"""),2.0)</f>
        <v>2</v>
      </c>
      <c r="U90" s="35">
        <f>IFERROR(__xludf.DUMMYFUNCTION("""COMPUTED_VALUE"""),3.0)</f>
        <v>3</v>
      </c>
      <c r="V90" s="35">
        <f>IFERROR(__xludf.DUMMYFUNCTION("""COMPUTED_VALUE"""),3.0)</f>
        <v>3</v>
      </c>
      <c r="W90" s="35">
        <f>IFERROR(__xludf.DUMMYFUNCTION("""COMPUTED_VALUE"""),3.0)</f>
        <v>3</v>
      </c>
      <c r="X90" s="35">
        <f>IFERROR(__xludf.DUMMYFUNCTION("""COMPUTED_VALUE"""),3.0)</f>
        <v>3</v>
      </c>
      <c r="Y90" s="35">
        <f>IFERROR(__xludf.DUMMYFUNCTION("""COMPUTED_VALUE"""),4.0)</f>
        <v>4</v>
      </c>
      <c r="Z90" s="35">
        <f>IFERROR(__xludf.DUMMYFUNCTION("""COMPUTED_VALUE"""),3.0)</f>
        <v>3</v>
      </c>
    </row>
    <row r="91" ht="15.75" customHeight="1">
      <c r="C91" s="81">
        <v>7334.0</v>
      </c>
      <c r="D91" s="70" t="s">
        <v>242</v>
      </c>
      <c r="E91" s="71" t="str">
        <f>vlookup(C91,'NOC-List'!B$2:C$502,2,False)</f>
        <v>Motorcycle, all-terrain vehicle and other related mechanics</v>
      </c>
      <c r="F91" s="72">
        <v>3.0</v>
      </c>
      <c r="G91" s="72">
        <v>3.0</v>
      </c>
      <c r="H91" s="72">
        <v>3.0</v>
      </c>
      <c r="I91" s="72">
        <v>3.0</v>
      </c>
      <c r="J91" s="72">
        <v>3.0</v>
      </c>
      <c r="K91" s="72">
        <v>4.0</v>
      </c>
      <c r="L91" s="72">
        <v>3.0</v>
      </c>
      <c r="M91" s="72">
        <v>3.0</v>
      </c>
      <c r="N91" s="72">
        <v>3.0</v>
      </c>
      <c r="O91" s="73"/>
      <c r="P91" s="35">
        <f>IFERROR(__xludf.DUMMYFUNCTION("""COMPUTED_VALUE"""),3414.0)</f>
        <v>3414</v>
      </c>
      <c r="Q91" s="35" t="str">
        <f>IFERROR(__xludf.DUMMYFUNCTION("query(C91:N1084,""Select D,E,F,G,H,I,J,K,L,M WHERE ""&amp;P91&amp;"" =C Limit 1"")"),"Pharmacy Assistants")</f>
        <v>Pharmacy Assistants</v>
      </c>
      <c r="R91" s="35" t="str">
        <f>IFERROR(__xludf.DUMMYFUNCTION("""COMPUTED_VALUE"""),"Other assisting occupations in support of health services")</f>
        <v>Other assisting occupations in support of health services</v>
      </c>
      <c r="S91" s="35">
        <f>IFERROR(__xludf.DUMMYFUNCTION("""COMPUTED_VALUE"""),3.0)</f>
        <v>3</v>
      </c>
      <c r="T91" s="35">
        <f>IFERROR(__xludf.DUMMYFUNCTION("""COMPUTED_VALUE"""),4.0)</f>
        <v>4</v>
      </c>
      <c r="U91" s="35">
        <f>IFERROR(__xludf.DUMMYFUNCTION("""COMPUTED_VALUE"""),4.0)</f>
        <v>4</v>
      </c>
      <c r="V91" s="35">
        <f>IFERROR(__xludf.DUMMYFUNCTION("""COMPUTED_VALUE"""),4.0)</f>
        <v>4</v>
      </c>
      <c r="W91" s="35">
        <f>IFERROR(__xludf.DUMMYFUNCTION("""COMPUTED_VALUE"""),4.0)</f>
        <v>4</v>
      </c>
      <c r="X91" s="35">
        <f>IFERROR(__xludf.DUMMYFUNCTION("""COMPUTED_VALUE"""),3.0)</f>
        <v>3</v>
      </c>
      <c r="Y91" s="35">
        <f>IFERROR(__xludf.DUMMYFUNCTION("""COMPUTED_VALUE"""),4.0)</f>
        <v>4</v>
      </c>
      <c r="Z91" s="35">
        <f>IFERROR(__xludf.DUMMYFUNCTION("""COMPUTED_VALUE"""),3.0)</f>
        <v>3</v>
      </c>
    </row>
    <row r="92" ht="15.75" customHeight="1">
      <c r="C92" s="34">
        <v>9422.0</v>
      </c>
      <c r="D92" s="70" t="s">
        <v>243</v>
      </c>
      <c r="E92" s="71" t="str">
        <f>vlookup(C92,'NOC-List'!B$2:C$502,2,False)</f>
        <v>Plastics processing machine operators</v>
      </c>
      <c r="F92" s="72">
        <v>3.0</v>
      </c>
      <c r="G92" s="72">
        <v>4.0</v>
      </c>
      <c r="H92" s="72">
        <v>4.0</v>
      </c>
      <c r="I92" s="72">
        <v>3.0</v>
      </c>
      <c r="J92" s="72">
        <v>3.0</v>
      </c>
      <c r="K92" s="72">
        <v>4.0</v>
      </c>
      <c r="L92" s="72">
        <v>4.0</v>
      </c>
      <c r="M92" s="72">
        <v>4.0</v>
      </c>
      <c r="N92" s="72">
        <v>3.0</v>
      </c>
      <c r="O92" s="73"/>
      <c r="P92" s="35">
        <f>IFERROR(__xludf.DUMMYFUNCTION("""COMPUTED_VALUE"""),7243.0)</f>
        <v>7243</v>
      </c>
      <c r="Q92" s="35" t="str">
        <f>IFERROR(__xludf.DUMMYFUNCTION("query(C92:N1085,""Select D,E,F,G,H,I,J,K,L,M WHERE ""&amp;P92&amp;"" =C Limit 1"")"),"Power System Electricians")</f>
        <v>Power System Electricians</v>
      </c>
      <c r="R92" s="35" t="str">
        <f>IFERROR(__xludf.DUMMYFUNCTION("""COMPUTED_VALUE"""),"Power system electricians")</f>
        <v>Power system electricians</v>
      </c>
      <c r="S92" s="35">
        <f>IFERROR(__xludf.DUMMYFUNCTION("""COMPUTED_VALUE"""),3.0)</f>
        <v>3</v>
      </c>
      <c r="T92" s="35">
        <f>IFERROR(__xludf.DUMMYFUNCTION("""COMPUTED_VALUE"""),3.0)</f>
        <v>3</v>
      </c>
      <c r="U92" s="35">
        <f>IFERROR(__xludf.DUMMYFUNCTION("""COMPUTED_VALUE"""),3.0)</f>
        <v>3</v>
      </c>
      <c r="V92" s="35">
        <f>IFERROR(__xludf.DUMMYFUNCTION("""COMPUTED_VALUE"""),3.0)</f>
        <v>3</v>
      </c>
      <c r="W92" s="35">
        <f>IFERROR(__xludf.DUMMYFUNCTION("""COMPUTED_VALUE"""),3.0)</f>
        <v>3</v>
      </c>
      <c r="X92" s="35">
        <f>IFERROR(__xludf.DUMMYFUNCTION("""COMPUTED_VALUE"""),4.0)</f>
        <v>4</v>
      </c>
      <c r="Y92" s="35">
        <f>IFERROR(__xludf.DUMMYFUNCTION("""COMPUTED_VALUE"""),3.0)</f>
        <v>3</v>
      </c>
      <c r="Z92" s="35">
        <f>IFERROR(__xludf.DUMMYFUNCTION("""COMPUTED_VALUE"""),3.0)</f>
        <v>3</v>
      </c>
    </row>
    <row r="93" ht="15.75" customHeight="1">
      <c r="C93" s="34">
        <v>5133.0</v>
      </c>
      <c r="D93" s="70" t="s">
        <v>244</v>
      </c>
      <c r="E93" s="71" t="str">
        <f>vlookup(C93,'NOC-List'!B$2:C$502,2,False)</f>
        <v>Musicians and singers</v>
      </c>
      <c r="F93" s="72">
        <v>2.0</v>
      </c>
      <c r="G93" s="72">
        <v>2.0</v>
      </c>
      <c r="H93" s="72">
        <v>3.0</v>
      </c>
      <c r="I93" s="72">
        <v>4.0</v>
      </c>
      <c r="J93" s="72">
        <v>3.0</v>
      </c>
      <c r="K93" s="72">
        <v>3.0</v>
      </c>
      <c r="L93" s="72">
        <v>2.0</v>
      </c>
      <c r="M93" s="72">
        <v>1.0</v>
      </c>
      <c r="N93" s="72">
        <v>2.0</v>
      </c>
      <c r="O93" s="73"/>
      <c r="P93" s="35">
        <f>IFERROR(__xludf.DUMMYFUNCTION("""COMPUTED_VALUE"""),9472.0)</f>
        <v>9472</v>
      </c>
      <c r="Q93" s="35" t="str">
        <f>IFERROR(__xludf.DUMMYFUNCTION("query(C93:N1086,""Select D,E,F,G,H,I,J,K,L,M WHERE ""&amp;P93&amp;"" =C Limit 1"")"),"Proofmakers")</f>
        <v>Proofmakers</v>
      </c>
      <c r="R93" s="35" t="str">
        <f>IFERROR(__xludf.DUMMYFUNCTION("""COMPUTED_VALUE"""),"Camera, platemaking and other prepress occupations")</f>
        <v>Camera, platemaking and other prepress occupations</v>
      </c>
      <c r="S93" s="35">
        <f>IFERROR(__xludf.DUMMYFUNCTION("""COMPUTED_VALUE"""),3.0)</f>
        <v>3</v>
      </c>
      <c r="T93" s="35">
        <f>IFERROR(__xludf.DUMMYFUNCTION("""COMPUTED_VALUE"""),3.0)</f>
        <v>3</v>
      </c>
      <c r="U93" s="35">
        <f>IFERROR(__xludf.DUMMYFUNCTION("""COMPUTED_VALUE"""),4.0)</f>
        <v>4</v>
      </c>
      <c r="V93" s="35">
        <f>IFERROR(__xludf.DUMMYFUNCTION("""COMPUTED_VALUE"""),4.0)</f>
        <v>4</v>
      </c>
      <c r="W93" s="35">
        <f>IFERROR(__xludf.DUMMYFUNCTION("""COMPUTED_VALUE"""),3.0)</f>
        <v>3</v>
      </c>
      <c r="X93" s="35">
        <f>IFERROR(__xludf.DUMMYFUNCTION("""COMPUTED_VALUE"""),4.0)</f>
        <v>4</v>
      </c>
      <c r="Y93" s="35">
        <f>IFERROR(__xludf.DUMMYFUNCTION("""COMPUTED_VALUE"""),3.0)</f>
        <v>3</v>
      </c>
      <c r="Z93" s="35">
        <f>IFERROR(__xludf.DUMMYFUNCTION("""COMPUTED_VALUE"""),3.0)</f>
        <v>3</v>
      </c>
    </row>
    <row r="94" ht="15.75" customHeight="1">
      <c r="C94" s="81">
        <v>3125.0</v>
      </c>
      <c r="D94" s="70" t="s">
        <v>245</v>
      </c>
      <c r="E94" s="71" t="str">
        <f>vlookup(C94,'NOC-List'!B$2:C$502,2,False)</f>
        <v>Other professional occupations in health diagnosing and treating</v>
      </c>
      <c r="F94" s="72">
        <v>2.0</v>
      </c>
      <c r="G94" s="72">
        <v>2.0</v>
      </c>
      <c r="H94" s="72">
        <v>3.0</v>
      </c>
      <c r="I94" s="72">
        <v>3.0</v>
      </c>
      <c r="J94" s="72">
        <v>3.0</v>
      </c>
      <c r="K94" s="72">
        <v>4.0</v>
      </c>
      <c r="L94" s="72">
        <v>3.0</v>
      </c>
      <c r="M94" s="72">
        <v>3.0</v>
      </c>
      <c r="N94" s="72">
        <v>3.0</v>
      </c>
      <c r="O94" s="73"/>
      <c r="P94" s="35">
        <f>IFERROR(__xludf.DUMMYFUNCTION("""COMPUTED_VALUE"""),3215.0)</f>
        <v>3215</v>
      </c>
      <c r="Q94" s="35" t="str">
        <f>IFERROR(__xludf.DUMMYFUNCTION("query(C94:N1087,""Select D,E,F,G,H,I,J,K,L,M WHERE ""&amp;P94&amp;"" =C Limit 1"")"),"Radiation Therapists")</f>
        <v>Radiation Therapists</v>
      </c>
      <c r="R94" s="35" t="str">
        <f>IFERROR(__xludf.DUMMYFUNCTION("""COMPUTED_VALUE"""),"Medical radiation technologists")</f>
        <v>Medical radiation technologists</v>
      </c>
      <c r="S94" s="35">
        <f>IFERROR(__xludf.DUMMYFUNCTION("""COMPUTED_VALUE"""),3.0)</f>
        <v>3</v>
      </c>
      <c r="T94" s="35">
        <f>IFERROR(__xludf.DUMMYFUNCTION("""COMPUTED_VALUE"""),3.0)</f>
        <v>3</v>
      </c>
      <c r="U94" s="35">
        <f>IFERROR(__xludf.DUMMYFUNCTION("""COMPUTED_VALUE"""),3.0)</f>
        <v>3</v>
      </c>
      <c r="V94" s="35">
        <f>IFERROR(__xludf.DUMMYFUNCTION("""COMPUTED_VALUE"""),3.0)</f>
        <v>3</v>
      </c>
      <c r="W94" s="35">
        <f>IFERROR(__xludf.DUMMYFUNCTION("""COMPUTED_VALUE"""),3.0)</f>
        <v>3</v>
      </c>
      <c r="X94" s="35">
        <f>IFERROR(__xludf.DUMMYFUNCTION("""COMPUTED_VALUE"""),4.0)</f>
        <v>4</v>
      </c>
      <c r="Y94" s="35">
        <f>IFERROR(__xludf.DUMMYFUNCTION("""COMPUTED_VALUE"""),3.0)</f>
        <v>3</v>
      </c>
      <c r="Z94" s="35">
        <f>IFERROR(__xludf.DUMMYFUNCTION("""COMPUTED_VALUE"""),3.0)</f>
        <v>3</v>
      </c>
    </row>
    <row r="95" ht="15.75" customHeight="1">
      <c r="C95" s="34">
        <v>3012.0</v>
      </c>
      <c r="D95" s="70" t="s">
        <v>246</v>
      </c>
      <c r="E95" s="71" t="str">
        <f>vlookup(C95,'NOC-List'!B$2:C$502,2,False)</f>
        <v>Registered nurses and registered psychiatric nurses</v>
      </c>
      <c r="F95" s="72">
        <v>2.0</v>
      </c>
      <c r="G95" s="72">
        <v>2.0</v>
      </c>
      <c r="H95" s="72">
        <v>3.0</v>
      </c>
      <c r="I95" s="72">
        <v>3.0</v>
      </c>
      <c r="J95" s="72">
        <v>3.0</v>
      </c>
      <c r="K95" s="72">
        <v>4.0</v>
      </c>
      <c r="L95" s="72">
        <v>3.0</v>
      </c>
      <c r="M95" s="72">
        <v>3.0</v>
      </c>
      <c r="N95" s="72">
        <v>3.0</v>
      </c>
      <c r="O95" s="73"/>
      <c r="P95" s="35">
        <f>IFERROR(__xludf.DUMMYFUNCTION("""COMPUTED_VALUE"""),7313.0)</f>
        <v>7313</v>
      </c>
      <c r="Q95" s="35" t="str">
        <f>IFERROR(__xludf.DUMMYFUNCTION("query(C95:N1088,""Select D,E,F,G,H,I,J,K,L,M WHERE ""&amp;P95&amp;"" =C Limit 1"")"),"Refrigeration and Air Conditioning Mechanics")</f>
        <v>Refrigeration and Air Conditioning Mechanics</v>
      </c>
      <c r="R95" s="35" t="str">
        <f>IFERROR(__xludf.DUMMYFUNCTION("""COMPUTED_VALUE"""),"Refrigeration and air conditioning mechanics")</f>
        <v>Refrigeration and air conditioning mechanics</v>
      </c>
      <c r="S95" s="35">
        <f>IFERROR(__xludf.DUMMYFUNCTION("""COMPUTED_VALUE"""),3.0)</f>
        <v>3</v>
      </c>
      <c r="T95" s="35">
        <f>IFERROR(__xludf.DUMMYFUNCTION("""COMPUTED_VALUE"""),3.0)</f>
        <v>3</v>
      </c>
      <c r="U95" s="35">
        <f>IFERROR(__xludf.DUMMYFUNCTION("""COMPUTED_VALUE"""),3.0)</f>
        <v>3</v>
      </c>
      <c r="V95" s="35">
        <f>IFERROR(__xludf.DUMMYFUNCTION("""COMPUTED_VALUE"""),3.0)</f>
        <v>3</v>
      </c>
      <c r="W95" s="35">
        <f>IFERROR(__xludf.DUMMYFUNCTION("""COMPUTED_VALUE"""),3.0)</f>
        <v>3</v>
      </c>
      <c r="X95" s="35">
        <f>IFERROR(__xludf.DUMMYFUNCTION("""COMPUTED_VALUE"""),4.0)</f>
        <v>4</v>
      </c>
      <c r="Y95" s="35">
        <f>IFERROR(__xludf.DUMMYFUNCTION("""COMPUTED_VALUE"""),3.0)</f>
        <v>3</v>
      </c>
      <c r="Z95" s="35">
        <f>IFERROR(__xludf.DUMMYFUNCTION("""COMPUTED_VALUE"""),3.0)</f>
        <v>3</v>
      </c>
    </row>
    <row r="96" ht="15.75" customHeight="1">
      <c r="C96" s="34">
        <v>3143.0</v>
      </c>
      <c r="D96" s="70" t="s">
        <v>247</v>
      </c>
      <c r="E96" s="71" t="str">
        <f>vlookup(C96,'NOC-List'!B$2:C$502,2,False)</f>
        <v>Occupational therapists</v>
      </c>
      <c r="F96" s="72">
        <v>2.0</v>
      </c>
      <c r="G96" s="72">
        <v>2.0</v>
      </c>
      <c r="H96" s="72">
        <v>3.0</v>
      </c>
      <c r="I96" s="72">
        <v>3.0</v>
      </c>
      <c r="J96" s="72">
        <v>3.0</v>
      </c>
      <c r="K96" s="72">
        <v>3.0</v>
      </c>
      <c r="L96" s="72">
        <v>4.0</v>
      </c>
      <c r="M96" s="72">
        <v>3.0</v>
      </c>
      <c r="N96" s="72">
        <v>3.0</v>
      </c>
      <c r="O96" s="73"/>
      <c r="P96" s="35">
        <f>IFERROR(__xludf.DUMMYFUNCTION("""COMPUTED_VALUE"""),9431.0)</f>
        <v>9431</v>
      </c>
      <c r="Q96" s="35" t="str">
        <f>IFERROR(__xludf.DUMMYFUNCTION("query(C96:N1089,""Select D,E,F,G,H,I,J,K,L,M WHERE ""&amp;P96&amp;"" =C Limit 1"")"),"Sawmill Machine Operators")</f>
        <v>Sawmill Machine Operators</v>
      </c>
      <c r="R96" s="35" t="str">
        <f>IFERROR(__xludf.DUMMYFUNCTION("""COMPUTED_VALUE"""),"Sawmill machine operators")</f>
        <v>Sawmill machine operators</v>
      </c>
      <c r="S96" s="35">
        <f>IFERROR(__xludf.DUMMYFUNCTION("""COMPUTED_VALUE"""),3.0)</f>
        <v>3</v>
      </c>
      <c r="T96" s="35">
        <f>IFERROR(__xludf.DUMMYFUNCTION("""COMPUTED_VALUE"""),4.0)</f>
        <v>4</v>
      </c>
      <c r="U96" s="35">
        <f>IFERROR(__xludf.DUMMYFUNCTION("""COMPUTED_VALUE"""),4.0)</f>
        <v>4</v>
      </c>
      <c r="V96" s="35">
        <f>IFERROR(__xludf.DUMMYFUNCTION("""COMPUTED_VALUE"""),3.0)</f>
        <v>3</v>
      </c>
      <c r="W96" s="35">
        <f>IFERROR(__xludf.DUMMYFUNCTION("""COMPUTED_VALUE"""),3.0)</f>
        <v>3</v>
      </c>
      <c r="X96" s="35">
        <f>IFERROR(__xludf.DUMMYFUNCTION("""COMPUTED_VALUE"""),5.0)</f>
        <v>5</v>
      </c>
      <c r="Y96" s="35">
        <f>IFERROR(__xludf.DUMMYFUNCTION("""COMPUTED_VALUE"""),3.0)</f>
        <v>3</v>
      </c>
      <c r="Z96" s="35">
        <f>IFERROR(__xludf.DUMMYFUNCTION("""COMPUTED_VALUE"""),4.0)</f>
        <v>4</v>
      </c>
    </row>
    <row r="97" ht="15.75" customHeight="1">
      <c r="C97" s="34">
        <v>3219.0</v>
      </c>
      <c r="D97" s="70" t="s">
        <v>248</v>
      </c>
      <c r="E97" s="71" t="str">
        <f>vlookup(C97,'NOC-List'!B$2:C$502,2,False)</f>
        <v>Other medical technologists and technicians (except dental health)</v>
      </c>
      <c r="F97" s="72">
        <v>2.0</v>
      </c>
      <c r="G97" s="72">
        <v>3.0</v>
      </c>
      <c r="H97" s="72">
        <v>3.0</v>
      </c>
      <c r="I97" s="72">
        <v>2.0</v>
      </c>
      <c r="J97" s="72">
        <v>2.0</v>
      </c>
      <c r="K97" s="72">
        <v>4.0</v>
      </c>
      <c r="L97" s="72">
        <v>3.0</v>
      </c>
      <c r="M97" s="72">
        <v>2.0</v>
      </c>
      <c r="N97" s="72">
        <v>3.0</v>
      </c>
      <c r="O97" s="73"/>
      <c r="P97" s="35">
        <f>IFERROR(__xludf.DUMMYFUNCTION("""COMPUTED_VALUE"""),1423.0)</f>
        <v>1423</v>
      </c>
      <c r="Q97" s="35" t="str">
        <f>IFERROR(__xludf.DUMMYFUNCTION("query(C97:N1090,""Select D,E,F,G,H,I,J,K,L,M WHERE ""&amp;P97&amp;"" =C Limit 1"")"),"Scanner Operators")</f>
        <v>Scanner Operators</v>
      </c>
      <c r="R97" s="35" t="str">
        <f>IFERROR(__xludf.DUMMYFUNCTION("""COMPUTED_VALUE"""),"Desktop publishing operators and related occupations")</f>
        <v>Desktop publishing operators and related occupations</v>
      </c>
      <c r="S97" s="35">
        <f>IFERROR(__xludf.DUMMYFUNCTION("""COMPUTED_VALUE"""),3.0)</f>
        <v>3</v>
      </c>
      <c r="T97" s="35">
        <f>IFERROR(__xludf.DUMMYFUNCTION("""COMPUTED_VALUE"""),4.0)</f>
        <v>4</v>
      </c>
      <c r="U97" s="35">
        <f>IFERROR(__xludf.DUMMYFUNCTION("""COMPUTED_VALUE"""),3.0)</f>
        <v>3</v>
      </c>
      <c r="V97" s="35">
        <f>IFERROR(__xludf.DUMMYFUNCTION("""COMPUTED_VALUE"""),3.0)</f>
        <v>3</v>
      </c>
      <c r="W97" s="35">
        <f>IFERROR(__xludf.DUMMYFUNCTION("""COMPUTED_VALUE"""),2.0)</f>
        <v>2</v>
      </c>
      <c r="X97" s="35">
        <f>IFERROR(__xludf.DUMMYFUNCTION("""COMPUTED_VALUE"""),4.0)</f>
        <v>4</v>
      </c>
      <c r="Y97" s="35">
        <f>IFERROR(__xludf.DUMMYFUNCTION("""COMPUTED_VALUE"""),3.0)</f>
        <v>3</v>
      </c>
      <c r="Z97" s="35">
        <f>IFERROR(__xludf.DUMMYFUNCTION("""COMPUTED_VALUE"""),4.0)</f>
        <v>4</v>
      </c>
    </row>
    <row r="98" ht="15.75" customHeight="1">
      <c r="C98" s="34">
        <v>3237.0</v>
      </c>
      <c r="D98" s="70" t="s">
        <v>249</v>
      </c>
      <c r="E98" s="71" t="str">
        <f>vlookup(C98,'NOC-List'!B$2:C$502,2,False)</f>
        <v>Other technical occupations in therapy and assessment</v>
      </c>
      <c r="F98" s="72">
        <v>3.0</v>
      </c>
      <c r="G98" s="72">
        <v>3.0</v>
      </c>
      <c r="H98" s="72">
        <v>3.0</v>
      </c>
      <c r="I98" s="72">
        <v>3.0</v>
      </c>
      <c r="J98" s="72">
        <v>3.0</v>
      </c>
      <c r="K98" s="72">
        <v>3.0</v>
      </c>
      <c r="L98" s="72">
        <v>4.0</v>
      </c>
      <c r="M98" s="72">
        <v>3.0</v>
      </c>
      <c r="N98" s="72">
        <v>3.0</v>
      </c>
      <c r="O98" s="73"/>
      <c r="P98" s="35">
        <f>IFERROR(__xludf.DUMMYFUNCTION("""COMPUTED_VALUE"""),6343.0)</f>
        <v>6343</v>
      </c>
      <c r="Q98" s="35" t="str">
        <f>IFERROR(__xludf.DUMMYFUNCTION("query(C98:N1091,""Select D,E,F,G,H,I,J,K,L,M WHERE ""&amp;P98&amp;"" =C Limit 1"")"),"Shoe Repairers")</f>
        <v>Shoe Repairers</v>
      </c>
      <c r="R98" s="35" t="str">
        <f>IFERROR(__xludf.DUMMYFUNCTION("""COMPUTED_VALUE"""),"Shoe repairers and shoemakers")</f>
        <v>Shoe repairers and shoemakers</v>
      </c>
      <c r="S98" s="35">
        <f>IFERROR(__xludf.DUMMYFUNCTION("""COMPUTED_VALUE"""),3.0)</f>
        <v>3</v>
      </c>
      <c r="T98" s="35">
        <f>IFERROR(__xludf.DUMMYFUNCTION("""COMPUTED_VALUE"""),3.0)</f>
        <v>3</v>
      </c>
      <c r="U98" s="35">
        <f>IFERROR(__xludf.DUMMYFUNCTION("""COMPUTED_VALUE"""),4.0)</f>
        <v>4</v>
      </c>
      <c r="V98" s="35">
        <f>IFERROR(__xludf.DUMMYFUNCTION("""COMPUTED_VALUE"""),3.0)</f>
        <v>3</v>
      </c>
      <c r="W98" s="35">
        <f>IFERROR(__xludf.DUMMYFUNCTION("""COMPUTED_VALUE"""),3.0)</f>
        <v>3</v>
      </c>
      <c r="X98" s="35">
        <f>IFERROR(__xludf.DUMMYFUNCTION("""COMPUTED_VALUE"""),5.0)</f>
        <v>5</v>
      </c>
      <c r="Y98" s="35">
        <f>IFERROR(__xludf.DUMMYFUNCTION("""COMPUTED_VALUE"""),3.0)</f>
        <v>3</v>
      </c>
      <c r="Z98" s="35">
        <f>IFERROR(__xludf.DUMMYFUNCTION("""COMPUTED_VALUE"""),3.0)</f>
        <v>3</v>
      </c>
    </row>
    <row r="99" ht="15.75" customHeight="1">
      <c r="C99" s="34">
        <v>3121.0</v>
      </c>
      <c r="D99" s="70" t="s">
        <v>250</v>
      </c>
      <c r="E99" s="71" t="str">
        <f>vlookup(C99,'NOC-List'!B$2:C$502,2,False)</f>
        <v>Optometrists</v>
      </c>
      <c r="F99" s="72">
        <v>2.0</v>
      </c>
      <c r="G99" s="72">
        <v>2.0</v>
      </c>
      <c r="H99" s="72">
        <v>2.0</v>
      </c>
      <c r="I99" s="72">
        <v>2.0</v>
      </c>
      <c r="J99" s="72">
        <v>2.0</v>
      </c>
      <c r="K99" s="72">
        <v>3.0</v>
      </c>
      <c r="L99" s="72">
        <v>3.0</v>
      </c>
      <c r="M99" s="72">
        <v>3.0</v>
      </c>
      <c r="N99" s="72">
        <v>3.0</v>
      </c>
      <c r="O99" s="73"/>
      <c r="P99" s="35">
        <f>IFERROR(__xludf.DUMMYFUNCTION("""COMPUTED_VALUE"""),7252.0)</f>
        <v>7252</v>
      </c>
      <c r="Q99" s="35" t="str">
        <f>IFERROR(__xludf.DUMMYFUNCTION("query(C99:N1092,""Select D,E,F,G,H,I,J,K,L,M WHERE ""&amp;P99&amp;"" =C Limit 1"")"),"Sprinkler System Installers")</f>
        <v>Sprinkler System Installers</v>
      </c>
      <c r="R99" s="35" t="str">
        <f>IFERROR(__xludf.DUMMYFUNCTION("""COMPUTED_VALUE"""),"Steamfitters, pipefitters and sprinkler system installers")</f>
        <v>Steamfitters, pipefitters and sprinkler system installers</v>
      </c>
      <c r="S99" s="35">
        <f>IFERROR(__xludf.DUMMYFUNCTION("""COMPUTED_VALUE"""),3.0)</f>
        <v>3</v>
      </c>
      <c r="T99" s="35">
        <f>IFERROR(__xludf.DUMMYFUNCTION("""COMPUTED_VALUE"""),3.0)</f>
        <v>3</v>
      </c>
      <c r="U99" s="35">
        <f>IFERROR(__xludf.DUMMYFUNCTION("""COMPUTED_VALUE"""),3.0)</f>
        <v>3</v>
      </c>
      <c r="V99" s="35">
        <f>IFERROR(__xludf.DUMMYFUNCTION("""COMPUTED_VALUE"""),3.0)</f>
        <v>3</v>
      </c>
      <c r="W99" s="35">
        <f>IFERROR(__xludf.DUMMYFUNCTION("""COMPUTED_VALUE"""),3.0)</f>
        <v>3</v>
      </c>
      <c r="X99" s="35">
        <f>IFERROR(__xludf.DUMMYFUNCTION("""COMPUTED_VALUE"""),4.0)</f>
        <v>4</v>
      </c>
      <c r="Y99" s="35">
        <f>IFERROR(__xludf.DUMMYFUNCTION("""COMPUTED_VALUE"""),3.0)</f>
        <v>3</v>
      </c>
      <c r="Z99" s="35">
        <f>IFERROR(__xludf.DUMMYFUNCTION("""COMPUTED_VALUE"""),3.0)</f>
        <v>3</v>
      </c>
    </row>
    <row r="100" ht="15.75" customHeight="1">
      <c r="C100" s="34">
        <v>6532.0</v>
      </c>
      <c r="D100" s="70" t="s">
        <v>251</v>
      </c>
      <c r="E100" s="71" t="str">
        <f>vlookup(C100,'NOC-List'!B$2:C$502,2,False)</f>
        <v>Outdoor sport and recreational guides</v>
      </c>
      <c r="F100" s="72">
        <v>3.0</v>
      </c>
      <c r="G100" s="72">
        <v>3.0</v>
      </c>
      <c r="H100" s="72">
        <v>4.0</v>
      </c>
      <c r="I100" s="72">
        <v>3.0</v>
      </c>
      <c r="J100" s="72">
        <v>3.0</v>
      </c>
      <c r="K100" s="72">
        <v>4.0</v>
      </c>
      <c r="L100" s="72">
        <v>3.0</v>
      </c>
      <c r="M100" s="72">
        <v>4.0</v>
      </c>
      <c r="N100" s="72">
        <v>3.0</v>
      </c>
      <c r="O100" s="73"/>
      <c r="P100" s="35">
        <f>IFERROR(__xludf.DUMMYFUNCTION("""COMPUTED_VALUE"""),7304.0)</f>
        <v>7304</v>
      </c>
      <c r="Q100" s="35" t="str">
        <f>IFERROR(__xludf.DUMMYFUNCTION("query(C100:N1093,""Select D,E,F,G,H,I,J,K,L,M WHERE ""&amp;P100&amp;"" =C Limit 1"")"),"Supervisors, Railway Transport Operations")</f>
        <v>Supervisors, Railway Transport Operations</v>
      </c>
      <c r="R100" s="35" t="str">
        <f>IFERROR(__xludf.DUMMYFUNCTION("""COMPUTED_VALUE"""),"Supervisors, railway transport operations")</f>
        <v>Supervisors, railway transport operations</v>
      </c>
      <c r="S100" s="35">
        <f>IFERROR(__xludf.DUMMYFUNCTION("""COMPUTED_VALUE"""),3.0)</f>
        <v>3</v>
      </c>
      <c r="T100" s="35">
        <f>IFERROR(__xludf.DUMMYFUNCTION("""COMPUTED_VALUE"""),3.0)</f>
        <v>3</v>
      </c>
      <c r="U100" s="35">
        <f>IFERROR(__xludf.DUMMYFUNCTION("""COMPUTED_VALUE"""),4.0)</f>
        <v>4</v>
      </c>
      <c r="V100" s="35">
        <f>IFERROR(__xludf.DUMMYFUNCTION("""COMPUTED_VALUE"""),3.0)</f>
        <v>3</v>
      </c>
      <c r="W100" s="35">
        <f>IFERROR(__xludf.DUMMYFUNCTION("""COMPUTED_VALUE"""),3.0)</f>
        <v>3</v>
      </c>
      <c r="X100" s="35">
        <f>IFERROR(__xludf.DUMMYFUNCTION("""COMPUTED_VALUE"""),3.0)</f>
        <v>3</v>
      </c>
      <c r="Y100" s="35">
        <f>IFERROR(__xludf.DUMMYFUNCTION("""COMPUTED_VALUE"""),4.0)</f>
        <v>4</v>
      </c>
      <c r="Z100" s="35">
        <f>IFERROR(__xludf.DUMMYFUNCTION("""COMPUTED_VALUE"""),4.0)</f>
        <v>4</v>
      </c>
    </row>
    <row r="101" ht="15.75" customHeight="1">
      <c r="C101" s="34">
        <v>9422.0</v>
      </c>
      <c r="D101" s="70" t="s">
        <v>252</v>
      </c>
      <c r="E101" s="71" t="str">
        <f>vlookup(C101,'NOC-List'!B$2:C$502,2,False)</f>
        <v>Plastics processing machine operators</v>
      </c>
      <c r="F101" s="72">
        <v>3.0</v>
      </c>
      <c r="G101" s="72">
        <v>4.0</v>
      </c>
      <c r="H101" s="72">
        <v>4.0</v>
      </c>
      <c r="I101" s="72">
        <v>3.0</v>
      </c>
      <c r="J101" s="72">
        <v>3.0</v>
      </c>
      <c r="K101" s="72">
        <v>4.0</v>
      </c>
      <c r="L101" s="72">
        <v>4.0</v>
      </c>
      <c r="M101" s="72">
        <v>4.0</v>
      </c>
      <c r="N101" s="72">
        <v>3.0</v>
      </c>
      <c r="O101" s="73"/>
      <c r="P101" s="35">
        <f>IFERROR(__xludf.DUMMYFUNCTION("""COMPUTED_VALUE"""),7245.0)</f>
        <v>7245</v>
      </c>
      <c r="Q101" s="35" t="str">
        <f>IFERROR(__xludf.DUMMYFUNCTION("query(C101:N1094,""Select D,E,F,G,H,I,J,K,L,M WHERE ""&amp;P101&amp;"" =C Limit 1"")"),"Telecommunications Line and Cable Workers")</f>
        <v>Telecommunications Line and Cable Workers</v>
      </c>
      <c r="R101" s="35" t="str">
        <f>IFERROR(__xludf.DUMMYFUNCTION("""COMPUTED_VALUE"""),"Telecommunications line and cable workers")</f>
        <v>Telecommunications line and cable workers</v>
      </c>
      <c r="S101" s="35">
        <f>IFERROR(__xludf.DUMMYFUNCTION("""COMPUTED_VALUE"""),3.0)</f>
        <v>3</v>
      </c>
      <c r="T101" s="35">
        <f>IFERROR(__xludf.DUMMYFUNCTION("""COMPUTED_VALUE"""),3.0)</f>
        <v>3</v>
      </c>
      <c r="U101" s="35">
        <f>IFERROR(__xludf.DUMMYFUNCTION("""COMPUTED_VALUE"""),4.0)</f>
        <v>4</v>
      </c>
      <c r="V101" s="35">
        <f>IFERROR(__xludf.DUMMYFUNCTION("""COMPUTED_VALUE"""),3.0)</f>
        <v>3</v>
      </c>
      <c r="W101" s="35">
        <f>IFERROR(__xludf.DUMMYFUNCTION("""COMPUTED_VALUE"""),4.0)</f>
        <v>4</v>
      </c>
      <c r="X101" s="35">
        <f>IFERROR(__xludf.DUMMYFUNCTION("""COMPUTED_VALUE"""),4.0)</f>
        <v>4</v>
      </c>
      <c r="Y101" s="35">
        <f>IFERROR(__xludf.DUMMYFUNCTION("""COMPUTED_VALUE"""),3.0)</f>
        <v>3</v>
      </c>
      <c r="Z101" s="35">
        <f>IFERROR(__xludf.DUMMYFUNCTION("""COMPUTED_VALUE"""),3.0)</f>
        <v>3</v>
      </c>
    </row>
    <row r="102" ht="15.75" customHeight="1">
      <c r="C102" s="81">
        <v>9536.0</v>
      </c>
      <c r="D102" s="70" t="s">
        <v>253</v>
      </c>
      <c r="E102" s="71" t="str">
        <f>vlookup(C102,'NOC-List'!B$2:C$502,2,False)</f>
        <v>Industrial painters, coaters and metal finishing process operators</v>
      </c>
      <c r="F102" s="72">
        <v>4.0</v>
      </c>
      <c r="G102" s="72">
        <v>4.0</v>
      </c>
      <c r="H102" s="72">
        <v>4.0</v>
      </c>
      <c r="I102" s="72">
        <v>4.0</v>
      </c>
      <c r="J102" s="72">
        <v>3.0</v>
      </c>
      <c r="K102" s="72">
        <v>4.0</v>
      </c>
      <c r="L102" s="72">
        <v>3.0</v>
      </c>
      <c r="M102" s="72">
        <v>3.0</v>
      </c>
      <c r="N102" s="72">
        <v>3.0</v>
      </c>
      <c r="O102" s="73"/>
      <c r="P102" s="35">
        <f>IFERROR(__xludf.DUMMYFUNCTION("""COMPUTED_VALUE"""),9446.0)</f>
        <v>9446</v>
      </c>
      <c r="Q102" s="35" t="str">
        <f>IFERROR(__xludf.DUMMYFUNCTION("query(C102:N1095,""Select D,E,F,G,H,I,J,K,L,M WHERE ""&amp;P102&amp;"" =C Limit 1"")"),"Sewing Machine Operators")</f>
        <v>Sewing Machine Operators</v>
      </c>
      <c r="R102" s="35" t="str">
        <f>IFERROR(__xludf.DUMMYFUNCTION("""COMPUTED_VALUE"""),"Industrial sewing machine operators")</f>
        <v>Industrial sewing machine operators</v>
      </c>
      <c r="S102" s="35">
        <f>IFERROR(__xludf.DUMMYFUNCTION("""COMPUTED_VALUE"""),4.0)</f>
        <v>4</v>
      </c>
      <c r="T102" s="35">
        <f>IFERROR(__xludf.DUMMYFUNCTION("""COMPUTED_VALUE"""),4.0)</f>
        <v>4</v>
      </c>
      <c r="U102" s="35">
        <f>IFERROR(__xludf.DUMMYFUNCTION("""COMPUTED_VALUE"""),4.0)</f>
        <v>4</v>
      </c>
      <c r="V102" s="35">
        <f>IFERROR(__xludf.DUMMYFUNCTION("""COMPUTED_VALUE"""),3.0)</f>
        <v>3</v>
      </c>
      <c r="W102" s="35">
        <f>IFERROR(__xludf.DUMMYFUNCTION("""COMPUTED_VALUE"""),3.0)</f>
        <v>3</v>
      </c>
      <c r="X102" s="35">
        <f>IFERROR(__xludf.DUMMYFUNCTION("""COMPUTED_VALUE"""),5.0)</f>
        <v>5</v>
      </c>
      <c r="Y102" s="35">
        <f>IFERROR(__xludf.DUMMYFUNCTION("""COMPUTED_VALUE"""),3.0)</f>
        <v>3</v>
      </c>
      <c r="Z102" s="35">
        <f>IFERROR(__xludf.DUMMYFUNCTION("""COMPUTED_VALUE"""),3.0)</f>
        <v>3</v>
      </c>
    </row>
    <row r="103" ht="15.75" customHeight="1">
      <c r="C103" s="34">
        <v>9433.0</v>
      </c>
      <c r="D103" s="70" t="s">
        <v>254</v>
      </c>
      <c r="E103" s="71" t="str">
        <f>vlookup(C103,'NOC-List'!B$2:C$502,2,False)</f>
        <v>Papermaking and finishing machine operators</v>
      </c>
      <c r="F103" s="72">
        <v>4.0</v>
      </c>
      <c r="G103" s="72">
        <v>4.0</v>
      </c>
      <c r="H103" s="72">
        <v>4.0</v>
      </c>
      <c r="I103" s="72">
        <v>3.0</v>
      </c>
      <c r="J103" s="72">
        <v>3.0</v>
      </c>
      <c r="K103" s="72">
        <v>4.0</v>
      </c>
      <c r="L103" s="72">
        <v>3.0</v>
      </c>
      <c r="M103" s="72">
        <v>4.0</v>
      </c>
      <c r="N103" s="72">
        <v>3.0</v>
      </c>
      <c r="O103" s="73"/>
      <c r="P103" s="35">
        <f>IFERROR(__xludf.DUMMYFUNCTION("""COMPUTED_VALUE"""),3114.0)</f>
        <v>3114</v>
      </c>
      <c r="Q103" s="35" t="str">
        <f>IFERROR(__xludf.DUMMYFUNCTION("query(C103:N1096,""Select D,E,F,G,H,I,J,K,L,M WHERE ""&amp;P103&amp;"" =C Limit 1"")"),"Veterinarians")</f>
        <v>Veterinarians</v>
      </c>
      <c r="R103" s="35" t="str">
        <f>IFERROR(__xludf.DUMMYFUNCTION("""COMPUTED_VALUE"""),"Veterinarians")</f>
        <v>Veterinarians</v>
      </c>
      <c r="S103" s="35">
        <f>IFERROR(__xludf.DUMMYFUNCTION("""COMPUTED_VALUE"""),1.0)</f>
        <v>1</v>
      </c>
      <c r="T103" s="35">
        <f>IFERROR(__xludf.DUMMYFUNCTION("""COMPUTED_VALUE"""),1.0)</f>
        <v>1</v>
      </c>
      <c r="U103" s="35">
        <f>IFERROR(__xludf.DUMMYFUNCTION("""COMPUTED_VALUE"""),2.0)</f>
        <v>2</v>
      </c>
      <c r="V103" s="35">
        <f>IFERROR(__xludf.DUMMYFUNCTION("""COMPUTED_VALUE"""),1.0)</f>
        <v>1</v>
      </c>
      <c r="W103" s="35">
        <f>IFERROR(__xludf.DUMMYFUNCTION("""COMPUTED_VALUE"""),2.0)</f>
        <v>2</v>
      </c>
      <c r="X103" s="35">
        <f>IFERROR(__xludf.DUMMYFUNCTION("""COMPUTED_VALUE"""),3.0)</f>
        <v>3</v>
      </c>
      <c r="Y103" s="35">
        <f>IFERROR(__xludf.DUMMYFUNCTION("""COMPUTED_VALUE"""),2.0)</f>
        <v>2</v>
      </c>
      <c r="Z103" s="35">
        <f>IFERROR(__xludf.DUMMYFUNCTION("""COMPUTED_VALUE"""),2.0)</f>
        <v>2</v>
      </c>
    </row>
    <row r="104" ht="15.75" customHeight="1">
      <c r="C104" s="34">
        <v>5221.0</v>
      </c>
      <c r="D104" s="70" t="s">
        <v>255</v>
      </c>
      <c r="E104" s="71" t="str">
        <f>vlookup(C104,'NOC-List'!B$2:C$502,2,False)</f>
        <v>Photographers</v>
      </c>
      <c r="F104" s="72">
        <v>3.0</v>
      </c>
      <c r="G104" s="72">
        <v>3.0</v>
      </c>
      <c r="H104" s="72">
        <v>3.0</v>
      </c>
      <c r="I104" s="72">
        <v>2.0</v>
      </c>
      <c r="J104" s="72">
        <v>2.0</v>
      </c>
      <c r="K104" s="72">
        <v>4.0</v>
      </c>
      <c r="L104" s="72">
        <v>3.0</v>
      </c>
      <c r="M104" s="72">
        <v>3.0</v>
      </c>
      <c r="N104" s="72">
        <v>3.0</v>
      </c>
      <c r="O104" s="73"/>
      <c r="P104" s="35">
        <f>IFERROR(__xludf.DUMMYFUNCTION("""COMPUTED_VALUE"""),6344.0)</f>
        <v>6344</v>
      </c>
      <c r="Q104" s="35" t="str">
        <f>IFERROR(__xludf.DUMMYFUNCTION("query(C104:N1097,""Select D,E,F,G,H,I,J,K,L,M WHERE ""&amp;P104&amp;"" =C Limit 1"")"),"Watch Repairers")</f>
        <v>Watch Repairers</v>
      </c>
      <c r="R104" s="35" t="str">
        <f>IFERROR(__xludf.DUMMYFUNCTION("""COMPUTED_VALUE"""),"Jewellers, jewellery and watch repairers and related occupations")</f>
        <v>Jewellers, jewellery and watch repairers and related occupations</v>
      </c>
      <c r="S104" s="35">
        <f>IFERROR(__xludf.DUMMYFUNCTION("""COMPUTED_VALUE"""),3.0)</f>
        <v>3</v>
      </c>
      <c r="T104" s="35">
        <f>IFERROR(__xludf.DUMMYFUNCTION("""COMPUTED_VALUE"""),3.0)</f>
        <v>3</v>
      </c>
      <c r="U104" s="35">
        <f>IFERROR(__xludf.DUMMYFUNCTION("""COMPUTED_VALUE"""),3.0)</f>
        <v>3</v>
      </c>
      <c r="V104" s="35">
        <f>IFERROR(__xludf.DUMMYFUNCTION("""COMPUTED_VALUE"""),3.0)</f>
        <v>3</v>
      </c>
      <c r="W104" s="35">
        <f>IFERROR(__xludf.DUMMYFUNCTION("""COMPUTED_VALUE"""),2.0)</f>
        <v>2</v>
      </c>
      <c r="X104" s="35">
        <f>IFERROR(__xludf.DUMMYFUNCTION("""COMPUTED_VALUE"""),4.0)</f>
        <v>4</v>
      </c>
      <c r="Y104" s="35">
        <f>IFERROR(__xludf.DUMMYFUNCTION("""COMPUTED_VALUE"""),1.0)</f>
        <v>1</v>
      </c>
      <c r="Z104" s="35">
        <f>IFERROR(__xludf.DUMMYFUNCTION("""COMPUTED_VALUE"""),1.0)</f>
        <v>1</v>
      </c>
    </row>
    <row r="105" ht="15.75" customHeight="1">
      <c r="C105" s="34">
        <v>3142.0</v>
      </c>
      <c r="D105" s="70" t="s">
        <v>256</v>
      </c>
      <c r="E105" s="71" t="str">
        <f>vlookup(C105,'NOC-List'!B$2:C$502,2,False)</f>
        <v>Physiotherapists</v>
      </c>
      <c r="F105" s="72">
        <v>2.0</v>
      </c>
      <c r="G105" s="72">
        <v>2.0</v>
      </c>
      <c r="H105" s="72">
        <v>3.0</v>
      </c>
      <c r="I105" s="72">
        <v>3.0</v>
      </c>
      <c r="J105" s="72">
        <v>3.0</v>
      </c>
      <c r="K105" s="72">
        <v>3.0</v>
      </c>
      <c r="L105" s="72">
        <v>4.0</v>
      </c>
      <c r="M105" s="72">
        <v>3.0</v>
      </c>
      <c r="N105" s="72">
        <v>3.0</v>
      </c>
      <c r="O105" s="73"/>
      <c r="P105" s="35">
        <f>IFERROR(__xludf.DUMMYFUNCTION("""COMPUTED_VALUE"""),3232.0)</f>
        <v>3232</v>
      </c>
      <c r="Q105" s="35" t="str">
        <f>IFERROR(__xludf.DUMMYFUNCTION("query(C105:N1098,""Select D,E,F,G,H,I,J,K,L,M WHERE ""&amp;P105&amp;"" =C Limit 1"")"),"Acupuncturists")</f>
        <v>Acupuncturists</v>
      </c>
      <c r="R105" s="35" t="str">
        <f>IFERROR(__xludf.DUMMYFUNCTION("""COMPUTED_VALUE"""),"Practitioners of natural healing")</f>
        <v>Practitioners of natural healing</v>
      </c>
      <c r="S105" s="35">
        <f>IFERROR(__xludf.DUMMYFUNCTION("""COMPUTED_VALUE"""),3.0)</f>
        <v>3</v>
      </c>
      <c r="T105" s="35">
        <f>IFERROR(__xludf.DUMMYFUNCTION("""COMPUTED_VALUE"""),3.0)</f>
        <v>3</v>
      </c>
      <c r="U105" s="35">
        <f>IFERROR(__xludf.DUMMYFUNCTION("""COMPUTED_VALUE"""),4.0)</f>
        <v>4</v>
      </c>
      <c r="V105" s="35">
        <f>IFERROR(__xludf.DUMMYFUNCTION("""COMPUTED_VALUE"""),4.0)</f>
        <v>4</v>
      </c>
      <c r="W105" s="35">
        <f>IFERROR(__xludf.DUMMYFUNCTION("""COMPUTED_VALUE"""),4.0)</f>
        <v>4</v>
      </c>
      <c r="X105" s="35">
        <f>IFERROR(__xludf.DUMMYFUNCTION("""COMPUTED_VALUE"""),4.0)</f>
        <v>4</v>
      </c>
      <c r="Y105" s="35">
        <f>IFERROR(__xludf.DUMMYFUNCTION("""COMPUTED_VALUE"""),3.0)</f>
        <v>3</v>
      </c>
      <c r="Z105" s="35">
        <f>IFERROR(__xludf.DUMMYFUNCTION("""COMPUTED_VALUE"""),3.0)</f>
        <v>3</v>
      </c>
    </row>
    <row r="106" ht="15.75" customHeight="1">
      <c r="C106" s="81">
        <v>3414.0</v>
      </c>
      <c r="D106" s="70" t="s">
        <v>257</v>
      </c>
      <c r="E106" s="71" t="str">
        <f>vlookup(C106,'NOC-List'!B$2:C$502,2,False)</f>
        <v>Other assisting occupations in support of health services</v>
      </c>
      <c r="F106" s="72">
        <v>3.0</v>
      </c>
      <c r="G106" s="72">
        <v>4.0</v>
      </c>
      <c r="H106" s="72">
        <v>4.0</v>
      </c>
      <c r="I106" s="72">
        <v>4.0</v>
      </c>
      <c r="J106" s="72">
        <v>4.0</v>
      </c>
      <c r="K106" s="72">
        <v>3.0</v>
      </c>
      <c r="L106" s="72">
        <v>4.0</v>
      </c>
      <c r="M106" s="72">
        <v>3.0</v>
      </c>
      <c r="N106" s="72">
        <v>3.0</v>
      </c>
      <c r="O106" s="73"/>
      <c r="P106" s="35">
        <f>IFERROR(__xludf.DUMMYFUNCTION("""COMPUTED_VALUE"""),2272.0)</f>
        <v>2272</v>
      </c>
      <c r="Q106" s="35" t="str">
        <f>IFERROR(__xludf.DUMMYFUNCTION("query(C106:N1099,""Select D,E,F,G,H,I,J,K,L,M WHERE ""&amp;P106&amp;"" =C Limit 1"")"),"Air Traffic Controllers")</f>
        <v>Air Traffic Controllers</v>
      </c>
      <c r="R106" s="35" t="str">
        <f>IFERROR(__xludf.DUMMYFUNCTION("""COMPUTED_VALUE"""),"Air traffic controllers and related occupations")</f>
        <v>Air traffic controllers and related occupations</v>
      </c>
      <c r="S106" s="35">
        <f>IFERROR(__xludf.DUMMYFUNCTION("""COMPUTED_VALUE"""),2.0)</f>
        <v>2</v>
      </c>
      <c r="T106" s="35">
        <f>IFERROR(__xludf.DUMMYFUNCTION("""COMPUTED_VALUE"""),2.0)</f>
        <v>2</v>
      </c>
      <c r="U106" s="35">
        <f>IFERROR(__xludf.DUMMYFUNCTION("""COMPUTED_VALUE"""),3.0)</f>
        <v>3</v>
      </c>
      <c r="V106" s="35">
        <f>IFERROR(__xludf.DUMMYFUNCTION("""COMPUTED_VALUE"""),2.0)</f>
        <v>2</v>
      </c>
      <c r="W106" s="35">
        <f>IFERROR(__xludf.DUMMYFUNCTION("""COMPUTED_VALUE"""),3.0)</f>
        <v>3</v>
      </c>
      <c r="X106" s="35">
        <f>IFERROR(__xludf.DUMMYFUNCTION("""COMPUTED_VALUE"""),3.0)</f>
        <v>3</v>
      </c>
      <c r="Y106" s="35">
        <f>IFERROR(__xludf.DUMMYFUNCTION("""COMPUTED_VALUE"""),4.0)</f>
        <v>4</v>
      </c>
      <c r="Z106" s="35">
        <f>IFERROR(__xludf.DUMMYFUNCTION("""COMPUTED_VALUE"""),4.0)</f>
        <v>4</v>
      </c>
    </row>
    <row r="107" ht="15.75" customHeight="1">
      <c r="C107" s="34">
        <v>7243.0</v>
      </c>
      <c r="D107" s="70" t="s">
        <v>258</v>
      </c>
      <c r="E107" s="71" t="str">
        <f>vlookup(C107,'NOC-List'!B$2:C$502,2,False)</f>
        <v>Power system electricians</v>
      </c>
      <c r="F107" s="72">
        <v>3.0</v>
      </c>
      <c r="G107" s="72">
        <v>3.0</v>
      </c>
      <c r="H107" s="72">
        <v>3.0</v>
      </c>
      <c r="I107" s="72">
        <v>3.0</v>
      </c>
      <c r="J107" s="72">
        <v>3.0</v>
      </c>
      <c r="K107" s="72">
        <v>4.0</v>
      </c>
      <c r="L107" s="72">
        <v>3.0</v>
      </c>
      <c r="M107" s="72">
        <v>3.0</v>
      </c>
      <c r="N107" s="72">
        <v>3.0</v>
      </c>
      <c r="O107" s="73"/>
      <c r="P107" s="35">
        <f>IFERROR(__xludf.DUMMYFUNCTION("""COMPUTED_VALUE"""),2262.0)</f>
        <v>2262</v>
      </c>
      <c r="Q107" s="35" t="str">
        <f>IFERROR(__xludf.DUMMYFUNCTION("query(C107:N1100,""Select D,E,F,G,H,I,J,K,L,M WHERE ""&amp;P107&amp;"" =C Limit 1"")"),"Airworthiness Inspectors")</f>
        <v>Airworthiness Inspectors</v>
      </c>
      <c r="R107" s="35" t="str">
        <f>IFERROR(__xludf.DUMMYFUNCTION("""COMPUTED_VALUE"""),"Engineering inspectors and regulatory officers")</f>
        <v>Engineering inspectors and regulatory officers</v>
      </c>
      <c r="S107" s="35">
        <f>IFERROR(__xludf.DUMMYFUNCTION("""COMPUTED_VALUE"""),2.0)</f>
        <v>2</v>
      </c>
      <c r="T107" s="35">
        <f>IFERROR(__xludf.DUMMYFUNCTION("""COMPUTED_VALUE"""),3.0)</f>
        <v>3</v>
      </c>
      <c r="U107" s="35">
        <f>IFERROR(__xludf.DUMMYFUNCTION("""COMPUTED_VALUE"""),3.0)</f>
        <v>3</v>
      </c>
      <c r="V107" s="35">
        <f>IFERROR(__xludf.DUMMYFUNCTION("""COMPUTED_VALUE"""),3.0)</f>
        <v>3</v>
      </c>
      <c r="W107" s="35">
        <f>IFERROR(__xludf.DUMMYFUNCTION("""COMPUTED_VALUE"""),3.0)</f>
        <v>3</v>
      </c>
      <c r="X107" s="35">
        <f>IFERROR(__xludf.DUMMYFUNCTION("""COMPUTED_VALUE"""),3.0)</f>
        <v>3</v>
      </c>
      <c r="Y107" s="35">
        <f>IFERROR(__xludf.DUMMYFUNCTION("""COMPUTED_VALUE"""),4.0)</f>
        <v>4</v>
      </c>
      <c r="Z107" s="35">
        <f>IFERROR(__xludf.DUMMYFUNCTION("""COMPUTED_VALUE"""),4.0)</f>
        <v>4</v>
      </c>
    </row>
    <row r="108" ht="15.75" customHeight="1">
      <c r="C108" s="34">
        <v>9536.0</v>
      </c>
      <c r="D108" s="70" t="s">
        <v>259</v>
      </c>
      <c r="E108" s="71" t="str">
        <f>vlookup(C108,'NOC-List'!B$2:C$502,2,False)</f>
        <v>Industrial painters, coaters and metal finishing process operators</v>
      </c>
      <c r="F108" s="72">
        <v>3.0</v>
      </c>
      <c r="G108" s="72">
        <v>4.0</v>
      </c>
      <c r="H108" s="72">
        <v>4.0</v>
      </c>
      <c r="I108" s="72">
        <v>4.0</v>
      </c>
      <c r="J108" s="72">
        <v>3.0</v>
      </c>
      <c r="K108" s="72">
        <v>4.0</v>
      </c>
      <c r="L108" s="72">
        <v>3.0</v>
      </c>
      <c r="M108" s="72">
        <v>4.0</v>
      </c>
      <c r="N108" s="72">
        <v>3.0</v>
      </c>
      <c r="O108" s="73"/>
      <c r="P108" s="35">
        <f>IFERROR(__xludf.DUMMYFUNCTION("""COMPUTED_VALUE"""),3234.0)</f>
        <v>3234</v>
      </c>
      <c r="Q108" s="35" t="str">
        <f>IFERROR(__xludf.DUMMYFUNCTION("query(C108:N1101,""Select D,E,F,G,H,I,J,K,L,M WHERE ""&amp;P108&amp;"" =C Limit 1"")"),"Ambulance Attendants and Other Paramedical Occupations")</f>
        <v>Ambulance Attendants and Other Paramedical Occupations</v>
      </c>
      <c r="R108" s="35" t="str">
        <f>IFERROR(__xludf.DUMMYFUNCTION("""COMPUTED_VALUE"""),"Paramedical occupations")</f>
        <v>Paramedical occupations</v>
      </c>
      <c r="S108" s="35">
        <f>IFERROR(__xludf.DUMMYFUNCTION("""COMPUTED_VALUE"""),3.0)</f>
        <v>3</v>
      </c>
      <c r="T108" s="35">
        <f>IFERROR(__xludf.DUMMYFUNCTION("""COMPUTED_VALUE"""),3.0)</f>
        <v>3</v>
      </c>
      <c r="U108" s="35">
        <f>IFERROR(__xludf.DUMMYFUNCTION("""COMPUTED_VALUE"""),4.0)</f>
        <v>4</v>
      </c>
      <c r="V108" s="35">
        <f>IFERROR(__xludf.DUMMYFUNCTION("""COMPUTED_VALUE"""),4.0)</f>
        <v>4</v>
      </c>
      <c r="W108" s="35">
        <f>IFERROR(__xludf.DUMMYFUNCTION("""COMPUTED_VALUE"""),4.0)</f>
        <v>4</v>
      </c>
      <c r="X108" s="35">
        <f>IFERROR(__xludf.DUMMYFUNCTION("""COMPUTED_VALUE"""),4.0)</f>
        <v>4</v>
      </c>
      <c r="Y108" s="35">
        <f>IFERROR(__xludf.DUMMYFUNCTION("""COMPUTED_VALUE"""),3.0)</f>
        <v>3</v>
      </c>
      <c r="Z108" s="35">
        <f>IFERROR(__xludf.DUMMYFUNCTION("""COMPUTED_VALUE"""),3.0)</f>
        <v>3</v>
      </c>
    </row>
    <row r="109" ht="15.75" customHeight="1">
      <c r="C109" s="34">
        <v>9472.0</v>
      </c>
      <c r="D109" s="70" t="s">
        <v>260</v>
      </c>
      <c r="E109" s="71" t="str">
        <f>vlookup(C109,'NOC-List'!B$2:C$502,2,False)</f>
        <v>Camera, platemaking and other prepress occupations</v>
      </c>
      <c r="F109" s="72">
        <v>3.0</v>
      </c>
      <c r="G109" s="72">
        <v>3.0</v>
      </c>
      <c r="H109" s="72">
        <v>4.0</v>
      </c>
      <c r="I109" s="72">
        <v>4.0</v>
      </c>
      <c r="J109" s="72">
        <v>3.0</v>
      </c>
      <c r="K109" s="72">
        <v>4.0</v>
      </c>
      <c r="L109" s="72">
        <v>3.0</v>
      </c>
      <c r="M109" s="72">
        <v>3.0</v>
      </c>
      <c r="N109" s="72">
        <v>3.0</v>
      </c>
      <c r="O109" s="73"/>
      <c r="P109" s="35">
        <f>IFERROR(__xludf.DUMMYFUNCTION("""COMPUTED_VALUE"""),7291.0)</f>
        <v>7291</v>
      </c>
      <c r="Q109" s="35" t="str">
        <f>IFERROR(__xludf.DUMMYFUNCTION("query(C109:N1102,""Select D,E,F,G,H,I,J,K,L,M WHERE ""&amp;P109&amp;"" =C Limit 1"")"),"Shinglers")</f>
        <v>Shinglers</v>
      </c>
      <c r="R109" s="35" t="str">
        <f>IFERROR(__xludf.DUMMYFUNCTION("""COMPUTED_VALUE"""),"Roofers and shinglers")</f>
        <v>Roofers and shinglers</v>
      </c>
      <c r="S109" s="35">
        <f>IFERROR(__xludf.DUMMYFUNCTION("""COMPUTED_VALUE"""),3.0)</f>
        <v>3</v>
      </c>
      <c r="T109" s="35">
        <f>IFERROR(__xludf.DUMMYFUNCTION("""COMPUTED_VALUE"""),4.0)</f>
        <v>4</v>
      </c>
      <c r="U109" s="35">
        <f>IFERROR(__xludf.DUMMYFUNCTION("""COMPUTED_VALUE"""),3.0)</f>
        <v>3</v>
      </c>
      <c r="V109" s="35">
        <f>IFERROR(__xludf.DUMMYFUNCTION("""COMPUTED_VALUE"""),3.0)</f>
        <v>3</v>
      </c>
      <c r="W109" s="35">
        <f>IFERROR(__xludf.DUMMYFUNCTION("""COMPUTED_VALUE"""),4.0)</f>
        <v>4</v>
      </c>
      <c r="X109" s="35">
        <f>IFERROR(__xludf.DUMMYFUNCTION("""COMPUTED_VALUE"""),4.0)</f>
        <v>4</v>
      </c>
      <c r="Y109" s="35">
        <f>IFERROR(__xludf.DUMMYFUNCTION("""COMPUTED_VALUE"""),3.0)</f>
        <v>3</v>
      </c>
      <c r="Z109" s="35">
        <f>IFERROR(__xludf.DUMMYFUNCTION("""COMPUTED_VALUE"""),3.0)</f>
        <v>3</v>
      </c>
    </row>
    <row r="110" ht="15.75" customHeight="1">
      <c r="C110" s="34">
        <v>3012.0</v>
      </c>
      <c r="D110" s="70" t="s">
        <v>261</v>
      </c>
      <c r="E110" s="71" t="str">
        <f>vlookup(C110,'NOC-List'!B$2:C$502,2,False)</f>
        <v>Registered nurses and registered psychiatric nurses</v>
      </c>
      <c r="F110" s="72">
        <v>2.0</v>
      </c>
      <c r="G110" s="72">
        <v>2.0</v>
      </c>
      <c r="H110" s="72">
        <v>3.0</v>
      </c>
      <c r="I110" s="72">
        <v>3.0</v>
      </c>
      <c r="J110" s="72">
        <v>3.0</v>
      </c>
      <c r="K110" s="72">
        <v>4.0</v>
      </c>
      <c r="L110" s="72">
        <v>3.0</v>
      </c>
      <c r="M110" s="72">
        <v>3.0</v>
      </c>
      <c r="N110" s="72">
        <v>3.0</v>
      </c>
      <c r="O110" s="73"/>
      <c r="P110" s="35">
        <f>IFERROR(__xludf.DUMMYFUNCTION("""COMPUTED_VALUE"""),1414.0)</f>
        <v>1414</v>
      </c>
      <c r="Q110" s="35" t="str">
        <f>IFERROR(__xludf.DUMMYFUNCTION("query(C110:N1103,""Select D,E,F,G,H,I,J,K,L,M WHERE ""&amp;P110&amp;"" =C Limit 1"")"),"Answering Service Operators")</f>
        <v>Answering Service Operators</v>
      </c>
      <c r="R110" s="35" t="str">
        <f>IFERROR(__xludf.DUMMYFUNCTION("""COMPUTED_VALUE"""),"Receptionists")</f>
        <v>Receptionists</v>
      </c>
      <c r="S110" s="35">
        <f>IFERROR(__xludf.DUMMYFUNCTION("""COMPUTED_VALUE"""),3.0)</f>
        <v>3</v>
      </c>
      <c r="T110" s="35">
        <f>IFERROR(__xludf.DUMMYFUNCTION("""COMPUTED_VALUE"""),3.0)</f>
        <v>3</v>
      </c>
      <c r="U110" s="35">
        <f>IFERROR(__xludf.DUMMYFUNCTION("""COMPUTED_VALUE"""),4.0)</f>
        <v>4</v>
      </c>
      <c r="V110" s="35">
        <f>IFERROR(__xludf.DUMMYFUNCTION("""COMPUTED_VALUE"""),4.0)</f>
        <v>4</v>
      </c>
      <c r="W110" s="35">
        <f>IFERROR(__xludf.DUMMYFUNCTION("""COMPUTED_VALUE"""),4.0)</f>
        <v>4</v>
      </c>
      <c r="X110" s="35">
        <f>IFERROR(__xludf.DUMMYFUNCTION("""COMPUTED_VALUE"""),3.0)</f>
        <v>3</v>
      </c>
      <c r="Y110" s="35">
        <f>IFERROR(__xludf.DUMMYFUNCTION("""COMPUTED_VALUE"""),3.0)</f>
        <v>3</v>
      </c>
      <c r="Z110" s="35">
        <f>IFERROR(__xludf.DUMMYFUNCTION("""COMPUTED_VALUE"""),3.0)</f>
        <v>3</v>
      </c>
    </row>
    <row r="111" ht="15.75" customHeight="1">
      <c r="C111" s="81">
        <v>3215.0</v>
      </c>
      <c r="D111" s="70" t="s">
        <v>262</v>
      </c>
      <c r="E111" s="71" t="str">
        <f>vlookup(C111,'NOC-List'!B$2:C$502,2,False)</f>
        <v>Medical radiation technologists</v>
      </c>
      <c r="F111" s="72">
        <v>3.0</v>
      </c>
      <c r="G111" s="72">
        <v>3.0</v>
      </c>
      <c r="H111" s="72">
        <v>3.0</v>
      </c>
      <c r="I111" s="72">
        <v>3.0</v>
      </c>
      <c r="J111" s="72">
        <v>3.0</v>
      </c>
      <c r="K111" s="72">
        <v>4.0</v>
      </c>
      <c r="L111" s="72">
        <v>3.0</v>
      </c>
      <c r="M111" s="72">
        <v>3.0</v>
      </c>
      <c r="N111" s="72">
        <v>3.0</v>
      </c>
      <c r="O111" s="73"/>
      <c r="P111" s="35">
        <f>IFERROR(__xludf.DUMMYFUNCTION("""COMPUTED_VALUE"""),2151.0)</f>
        <v>2151</v>
      </c>
      <c r="Q111" s="35" t="str">
        <f>IFERROR(__xludf.DUMMYFUNCTION("query(C111:N1104,""Select D,E,F,G,H,I,J,K,L,M WHERE ""&amp;P111&amp;"" =C Limit 1"")"),"Architects")</f>
        <v>Architects</v>
      </c>
      <c r="R111" s="35" t="str">
        <f>IFERROR(__xludf.DUMMYFUNCTION("""COMPUTED_VALUE"""),"Architects")</f>
        <v>Architects</v>
      </c>
      <c r="S111" s="35">
        <f>IFERROR(__xludf.DUMMYFUNCTION("""COMPUTED_VALUE"""),1.0)</f>
        <v>1</v>
      </c>
      <c r="T111" s="35">
        <f>IFERROR(__xludf.DUMMYFUNCTION("""COMPUTED_VALUE"""),2.0)</f>
        <v>2</v>
      </c>
      <c r="U111" s="35">
        <f>IFERROR(__xludf.DUMMYFUNCTION("""COMPUTED_VALUE"""),1.0)</f>
        <v>1</v>
      </c>
      <c r="V111" s="35">
        <f>IFERROR(__xludf.DUMMYFUNCTION("""COMPUTED_VALUE"""),1.0)</f>
        <v>1</v>
      </c>
      <c r="W111" s="35">
        <f>IFERROR(__xludf.DUMMYFUNCTION("""COMPUTED_VALUE"""),2.0)</f>
        <v>2</v>
      </c>
      <c r="X111" s="35">
        <f>IFERROR(__xludf.DUMMYFUNCTION("""COMPUTED_VALUE"""),3.0)</f>
        <v>3</v>
      </c>
      <c r="Y111" s="35">
        <f>IFERROR(__xludf.DUMMYFUNCTION("""COMPUTED_VALUE"""),3.0)</f>
        <v>3</v>
      </c>
      <c r="Z111" s="35">
        <f>IFERROR(__xludf.DUMMYFUNCTION("""COMPUTED_VALUE"""),3.0)</f>
        <v>3</v>
      </c>
    </row>
    <row r="112" ht="15.75" customHeight="1">
      <c r="C112" s="34">
        <v>3215.0</v>
      </c>
      <c r="D112" s="70" t="s">
        <v>263</v>
      </c>
      <c r="E112" s="71" t="str">
        <f>vlookup(C112,'NOC-List'!B$2:C$502,2,False)</f>
        <v>Medical radiation technologists</v>
      </c>
      <c r="F112" s="72">
        <v>3.0</v>
      </c>
      <c r="G112" s="72">
        <v>3.0</v>
      </c>
      <c r="H112" s="72">
        <v>3.0</v>
      </c>
      <c r="I112" s="72">
        <v>3.0</v>
      </c>
      <c r="J112" s="72">
        <v>3.0</v>
      </c>
      <c r="K112" s="72">
        <v>4.0</v>
      </c>
      <c r="L112" s="72">
        <v>3.0</v>
      </c>
      <c r="M112" s="72">
        <v>3.0</v>
      </c>
      <c r="N112" s="72">
        <v>3.0</v>
      </c>
      <c r="O112" s="73"/>
      <c r="P112" s="35">
        <f>IFERROR(__xludf.DUMMYFUNCTION("""COMPUTED_VALUE"""),8611.0)</f>
        <v>8611</v>
      </c>
      <c r="Q112" s="35" t="str">
        <f>IFERROR(__xludf.DUMMYFUNCTION("query(C112:N1105,""Select D,E,F,G,H,I,J,K,L,M WHERE ""&amp;P112&amp;"" =C Limit 1"")"),"Harvesting Labourers")</f>
        <v>Harvesting Labourers</v>
      </c>
      <c r="R112" s="35" t="str">
        <f>IFERROR(__xludf.DUMMYFUNCTION("""COMPUTED_VALUE"""),"Harvesting labourers")</f>
        <v>Harvesting labourers</v>
      </c>
      <c r="S112" s="35">
        <f>IFERROR(__xludf.DUMMYFUNCTION("""COMPUTED_VALUE"""),4.0)</f>
        <v>4</v>
      </c>
      <c r="T112" s="35">
        <f>IFERROR(__xludf.DUMMYFUNCTION("""COMPUTED_VALUE"""),4.0)</f>
        <v>4</v>
      </c>
      <c r="U112" s="35">
        <f>IFERROR(__xludf.DUMMYFUNCTION("""COMPUTED_VALUE"""),4.0)</f>
        <v>4</v>
      </c>
      <c r="V112" s="35">
        <f>IFERROR(__xludf.DUMMYFUNCTION("""COMPUTED_VALUE"""),4.0)</f>
        <v>4</v>
      </c>
      <c r="W112" s="35">
        <f>IFERROR(__xludf.DUMMYFUNCTION("""COMPUTED_VALUE"""),4.0)</f>
        <v>4</v>
      </c>
      <c r="X112" s="35">
        <f>IFERROR(__xludf.DUMMYFUNCTION("""COMPUTED_VALUE"""),5.0)</f>
        <v>5</v>
      </c>
      <c r="Y112" s="35">
        <f>IFERROR(__xludf.DUMMYFUNCTION("""COMPUTED_VALUE"""),3.0)</f>
        <v>3</v>
      </c>
      <c r="Z112" s="35">
        <f>IFERROR(__xludf.DUMMYFUNCTION("""COMPUTED_VALUE"""),4.0)</f>
        <v>4</v>
      </c>
    </row>
    <row r="113" ht="15.75" customHeight="1">
      <c r="C113" s="34">
        <v>7313.0</v>
      </c>
      <c r="D113" s="70" t="s">
        <v>264</v>
      </c>
      <c r="E113" s="71" t="str">
        <f>vlookup(C113,'NOC-List'!B$2:C$502,2,False)</f>
        <v>Refrigeration and air conditioning mechanics</v>
      </c>
      <c r="F113" s="72">
        <v>3.0</v>
      </c>
      <c r="G113" s="72">
        <v>3.0</v>
      </c>
      <c r="H113" s="72">
        <v>3.0</v>
      </c>
      <c r="I113" s="72">
        <v>3.0</v>
      </c>
      <c r="J113" s="72">
        <v>3.0</v>
      </c>
      <c r="K113" s="72">
        <v>4.0</v>
      </c>
      <c r="L113" s="72">
        <v>3.0</v>
      </c>
      <c r="M113" s="72">
        <v>3.0</v>
      </c>
      <c r="N113" s="72">
        <v>3.0</v>
      </c>
      <c r="O113" s="73"/>
      <c r="P113" s="35">
        <f>IFERROR(__xludf.DUMMYFUNCTION("""COMPUTED_VALUE"""),3011.0)</f>
        <v>3011</v>
      </c>
      <c r="Q113" s="35" t="str">
        <f>IFERROR(__xludf.DUMMYFUNCTION("query(C113:N1106,""Select D,E,F,G,H,I,J,K,L,M WHERE ""&amp;P113&amp;"" =C Limit 1"")"),"Head Nurses and Supervisors")</f>
        <v>Head Nurses and Supervisors</v>
      </c>
      <c r="R113" s="35" t="str">
        <f>IFERROR(__xludf.DUMMYFUNCTION("""COMPUTED_VALUE"""),"Nursing co-ordinators and supervisors")</f>
        <v>Nursing co-ordinators and supervisors</v>
      </c>
      <c r="S113" s="35">
        <f>IFERROR(__xludf.DUMMYFUNCTION("""COMPUTED_VALUE"""),2.0)</f>
        <v>2</v>
      </c>
      <c r="T113" s="35">
        <f>IFERROR(__xludf.DUMMYFUNCTION("""COMPUTED_VALUE"""),2.0)</f>
        <v>2</v>
      </c>
      <c r="U113" s="35">
        <f>IFERROR(__xludf.DUMMYFUNCTION("""COMPUTED_VALUE"""),3.0)</f>
        <v>3</v>
      </c>
      <c r="V113" s="35">
        <f>IFERROR(__xludf.DUMMYFUNCTION("""COMPUTED_VALUE"""),3.0)</f>
        <v>3</v>
      </c>
      <c r="W113" s="35">
        <f>IFERROR(__xludf.DUMMYFUNCTION("""COMPUTED_VALUE"""),3.0)</f>
        <v>3</v>
      </c>
      <c r="X113" s="35">
        <f>IFERROR(__xludf.DUMMYFUNCTION("""COMPUTED_VALUE"""),2.0)</f>
        <v>2</v>
      </c>
      <c r="Y113" s="35">
        <f>IFERROR(__xludf.DUMMYFUNCTION("""COMPUTED_VALUE"""),4.0)</f>
        <v>4</v>
      </c>
      <c r="Z113" s="35">
        <f>IFERROR(__xludf.DUMMYFUNCTION("""COMPUTED_VALUE"""),4.0)</f>
        <v>4</v>
      </c>
    </row>
    <row r="114" ht="15.75" customHeight="1">
      <c r="C114" s="34">
        <v>3214.0</v>
      </c>
      <c r="D114" s="70" t="s">
        <v>265</v>
      </c>
      <c r="E114" s="71" t="str">
        <f>vlookup(C114,'NOC-List'!B$2:C$502,2,False)</f>
        <v>Respiratory therapists, clinical perfusionists and cardiopulmonary technologists</v>
      </c>
      <c r="F114" s="72">
        <v>3.0</v>
      </c>
      <c r="G114" s="72">
        <v>3.0</v>
      </c>
      <c r="H114" s="72">
        <v>3.0</v>
      </c>
      <c r="I114" s="72">
        <v>3.0</v>
      </c>
      <c r="J114" s="72">
        <v>3.0</v>
      </c>
      <c r="K114" s="72">
        <v>4.0</v>
      </c>
      <c r="L114" s="72">
        <v>3.0</v>
      </c>
      <c r="M114" s="72">
        <v>3.0</v>
      </c>
      <c r="N114" s="72">
        <v>3.0</v>
      </c>
      <c r="O114" s="73"/>
      <c r="P114" s="35">
        <f>IFERROR(__xludf.DUMMYFUNCTION("""COMPUTED_VALUE"""),4164.0)</f>
        <v>4164</v>
      </c>
      <c r="Q114" s="35" t="str">
        <f>IFERROR(__xludf.DUMMYFUNCTION("query(C114:N1107,""Select D,E,F,G,H,I,J,K,L,M WHERE ""&amp;P114&amp;"" =C Limit 1"")"),"Home Economists")</f>
        <v>Home Economists</v>
      </c>
      <c r="R114" s="35" t="str">
        <f>IFERROR(__xludf.DUMMYFUNCTION("""COMPUTED_VALUE"""),"Social policy researchers, consultants and program officers")</f>
        <v>Social policy researchers, consultants and program officers</v>
      </c>
      <c r="S114" s="35">
        <f>IFERROR(__xludf.DUMMYFUNCTION("""COMPUTED_VALUE"""),2.0)</f>
        <v>2</v>
      </c>
      <c r="T114" s="35">
        <f>IFERROR(__xludf.DUMMYFUNCTION("""COMPUTED_VALUE"""),2.0)</f>
        <v>2</v>
      </c>
      <c r="U114" s="35">
        <f>IFERROR(__xludf.DUMMYFUNCTION("""COMPUTED_VALUE"""),3.0)</f>
        <v>3</v>
      </c>
      <c r="V114" s="35">
        <f>IFERROR(__xludf.DUMMYFUNCTION("""COMPUTED_VALUE"""),4.0)</f>
        <v>4</v>
      </c>
      <c r="W114" s="35">
        <f>IFERROR(__xludf.DUMMYFUNCTION("""COMPUTED_VALUE"""),3.0)</f>
        <v>3</v>
      </c>
      <c r="X114" s="35">
        <f>IFERROR(__xludf.DUMMYFUNCTION("""COMPUTED_VALUE"""),3.0)</f>
        <v>3</v>
      </c>
      <c r="Y114" s="35">
        <f>IFERROR(__xludf.DUMMYFUNCTION("""COMPUTED_VALUE"""),4.0)</f>
        <v>4</v>
      </c>
      <c r="Z114" s="35">
        <f>IFERROR(__xludf.DUMMYFUNCTION("""COMPUTED_VALUE"""),4.0)</f>
        <v>4</v>
      </c>
    </row>
    <row r="115" ht="15.75" customHeight="1">
      <c r="C115" s="34">
        <v>9472.0</v>
      </c>
      <c r="D115" s="70" t="s">
        <v>266</v>
      </c>
      <c r="E115" s="71" t="str">
        <f>vlookup(C115,'NOC-List'!B$2:C$502,2,False)</f>
        <v>Camera, platemaking and other prepress occupations</v>
      </c>
      <c r="F115" s="72">
        <v>3.0</v>
      </c>
      <c r="G115" s="72">
        <v>4.0</v>
      </c>
      <c r="H115" s="72">
        <v>3.0</v>
      </c>
      <c r="I115" s="72">
        <v>3.0</v>
      </c>
      <c r="J115" s="72">
        <v>2.0</v>
      </c>
      <c r="K115" s="72">
        <v>4.0</v>
      </c>
      <c r="L115" s="72">
        <v>3.0</v>
      </c>
      <c r="M115" s="72">
        <v>4.0</v>
      </c>
      <c r="N115" s="72">
        <v>4.0</v>
      </c>
      <c r="O115" s="73"/>
      <c r="P115" s="35">
        <f>IFERROR(__xludf.DUMMYFUNCTION("""COMPUTED_VALUE"""),6561.0)</f>
        <v>6561</v>
      </c>
      <c r="Q115" s="35" t="str">
        <f>IFERROR(__xludf.DUMMYFUNCTION("query(C115:N1108,""Select D,E,F,G,H,I,J,K,L,M WHERE ""&amp;P115&amp;"" =C Limit 1"")"),"Image Consultants")</f>
        <v>Image Consultants</v>
      </c>
      <c r="R115" s="35" t="str">
        <f>IFERROR(__xludf.DUMMYFUNCTION("""COMPUTED_VALUE"""),"Image, social and other personal consultants")</f>
        <v>Image, social and other personal consultants</v>
      </c>
      <c r="S115" s="35">
        <f>IFERROR(__xludf.DUMMYFUNCTION("""COMPUTED_VALUE"""),3.0)</f>
        <v>3</v>
      </c>
      <c r="T115" s="35">
        <f>IFERROR(__xludf.DUMMYFUNCTION("""COMPUTED_VALUE"""),3.0)</f>
        <v>3</v>
      </c>
      <c r="U115" s="35">
        <f>IFERROR(__xludf.DUMMYFUNCTION("""COMPUTED_VALUE"""),4.0)</f>
        <v>4</v>
      </c>
      <c r="V115" s="35">
        <f>IFERROR(__xludf.DUMMYFUNCTION("""COMPUTED_VALUE"""),4.0)</f>
        <v>4</v>
      </c>
      <c r="W115" s="35">
        <f>IFERROR(__xludf.DUMMYFUNCTION("""COMPUTED_VALUE"""),3.0)</f>
        <v>3</v>
      </c>
      <c r="X115" s="35">
        <f>IFERROR(__xludf.DUMMYFUNCTION("""COMPUTED_VALUE"""),4.0)</f>
        <v>4</v>
      </c>
      <c r="Y115" s="35">
        <f>IFERROR(__xludf.DUMMYFUNCTION("""COMPUTED_VALUE"""),4.0)</f>
        <v>4</v>
      </c>
      <c r="Z115" s="35">
        <f>IFERROR(__xludf.DUMMYFUNCTION("""COMPUTED_VALUE"""),4.0)</f>
        <v>4</v>
      </c>
    </row>
    <row r="116" ht="15.75" customHeight="1">
      <c r="C116" s="34">
        <v>6562.0</v>
      </c>
      <c r="D116" s="70" t="s">
        <v>267</v>
      </c>
      <c r="E116" s="71" t="str">
        <f>vlookup(C116,'NOC-List'!B$2:C$502,2,False)</f>
        <v>Estheticians, electrologists and related occupations</v>
      </c>
      <c r="F116" s="72">
        <v>3.0</v>
      </c>
      <c r="G116" s="72">
        <v>3.0</v>
      </c>
      <c r="H116" s="72">
        <v>4.0</v>
      </c>
      <c r="I116" s="72">
        <v>4.0</v>
      </c>
      <c r="J116" s="72">
        <v>3.0</v>
      </c>
      <c r="K116" s="72">
        <v>4.0</v>
      </c>
      <c r="L116" s="72">
        <v>3.0</v>
      </c>
      <c r="M116" s="72">
        <v>3.0</v>
      </c>
      <c r="N116" s="72">
        <v>3.0</v>
      </c>
      <c r="O116" s="73"/>
      <c r="P116" s="35">
        <f>IFERROR(__xludf.DUMMYFUNCTION("""COMPUTED_VALUE"""),9462.0)</f>
        <v>9462</v>
      </c>
      <c r="Q116" s="35" t="str">
        <f>IFERROR(__xludf.DUMMYFUNCTION("query(C116:N1109,""Select D,E,F,G,H,I,J,K,L,M WHERE ""&amp;P116&amp;"" =C Limit 1"")"),"Industrial Butchers")</f>
        <v>Industrial Butchers</v>
      </c>
      <c r="R116" s="35" t="str">
        <f>IFERROR(__xludf.DUMMYFUNCTION("""COMPUTED_VALUE"""),"Industrial butchers and meat cutters, poultry preparers and related workers")</f>
        <v>Industrial butchers and meat cutters, poultry preparers and related workers</v>
      </c>
      <c r="S116" s="35">
        <f>IFERROR(__xludf.DUMMYFUNCTION("""COMPUTED_VALUE"""),3.0)</f>
        <v>3</v>
      </c>
      <c r="T116" s="35">
        <f>IFERROR(__xludf.DUMMYFUNCTION("""COMPUTED_VALUE"""),4.0)</f>
        <v>4</v>
      </c>
      <c r="U116" s="35">
        <f>IFERROR(__xludf.DUMMYFUNCTION("""COMPUTED_VALUE"""),4.0)</f>
        <v>4</v>
      </c>
      <c r="V116" s="35">
        <f>IFERROR(__xludf.DUMMYFUNCTION("""COMPUTED_VALUE"""),4.0)</f>
        <v>4</v>
      </c>
      <c r="W116" s="35">
        <f>IFERROR(__xludf.DUMMYFUNCTION("""COMPUTED_VALUE"""),4.0)</f>
        <v>4</v>
      </c>
      <c r="X116" s="35">
        <f>IFERROR(__xludf.DUMMYFUNCTION("""COMPUTED_VALUE"""),5.0)</f>
        <v>5</v>
      </c>
      <c r="Y116" s="35">
        <f>IFERROR(__xludf.DUMMYFUNCTION("""COMPUTED_VALUE"""),4.0)</f>
        <v>4</v>
      </c>
      <c r="Z116" s="35">
        <f>IFERROR(__xludf.DUMMYFUNCTION("""COMPUTED_VALUE"""),4.0)</f>
        <v>4</v>
      </c>
    </row>
    <row r="117" ht="15.75" customHeight="1">
      <c r="C117" s="34">
        <v>9461.0</v>
      </c>
      <c r="D117" s="70" t="s">
        <v>268</v>
      </c>
      <c r="E117" s="71" t="str">
        <f>vlookup(C117,'NOC-List'!B$2:C$502,2,False)</f>
        <v>Process control and machine operators, food, beverage and associated products processing</v>
      </c>
      <c r="F117" s="72">
        <v>3.0</v>
      </c>
      <c r="G117" s="72">
        <v>4.0</v>
      </c>
      <c r="H117" s="72">
        <v>4.0</v>
      </c>
      <c r="I117" s="72">
        <v>4.0</v>
      </c>
      <c r="J117" s="72">
        <v>3.0</v>
      </c>
      <c r="K117" s="72">
        <v>4.0</v>
      </c>
      <c r="L117" s="72">
        <v>3.0</v>
      </c>
      <c r="M117" s="72">
        <v>4.0</v>
      </c>
      <c r="N117" s="72">
        <v>3.0</v>
      </c>
      <c r="O117" s="73"/>
      <c r="P117" s="35">
        <f>IFERROR(__xludf.DUMMYFUNCTION("""COMPUTED_VALUE"""),2171.0)</f>
        <v>2171</v>
      </c>
      <c r="Q117" s="35" t="str">
        <f>IFERROR(__xludf.DUMMYFUNCTION("query(C117:N1110,""Select D,E,F,G,H,I,J,K,L,M WHERE ""&amp;P117&amp;"" =C Limit 1"")"),"Information Systems Quality Assurance Analysts")</f>
        <v>Information Systems Quality Assurance Analysts</v>
      </c>
      <c r="R117" s="35" t="str">
        <f>IFERROR(__xludf.DUMMYFUNCTION("""COMPUTED_VALUE"""),"Information systems analysts and consultants")</f>
        <v>Information systems analysts and consultants</v>
      </c>
      <c r="S117" s="35">
        <f>IFERROR(__xludf.DUMMYFUNCTION("""COMPUTED_VALUE"""),2.0)</f>
        <v>2</v>
      </c>
      <c r="T117" s="35">
        <f>IFERROR(__xludf.DUMMYFUNCTION("""COMPUTED_VALUE"""),2.0)</f>
        <v>2</v>
      </c>
      <c r="U117" s="35">
        <f>IFERROR(__xludf.DUMMYFUNCTION("""COMPUTED_VALUE"""),2.0)</f>
        <v>2</v>
      </c>
      <c r="V117" s="35">
        <f>IFERROR(__xludf.DUMMYFUNCTION("""COMPUTED_VALUE"""),2.0)</f>
        <v>2</v>
      </c>
      <c r="W117" s="35">
        <f>IFERROR(__xludf.DUMMYFUNCTION("""COMPUTED_VALUE"""),2.0)</f>
        <v>2</v>
      </c>
      <c r="X117" s="35">
        <f>IFERROR(__xludf.DUMMYFUNCTION("""COMPUTED_VALUE"""),3.0)</f>
        <v>3</v>
      </c>
      <c r="Y117" s="35">
        <f>IFERROR(__xludf.DUMMYFUNCTION("""COMPUTED_VALUE"""),4.0)</f>
        <v>4</v>
      </c>
      <c r="Z117" s="35">
        <f>IFERROR(__xludf.DUMMYFUNCTION("""COMPUTED_VALUE"""),4.0)</f>
        <v>4</v>
      </c>
    </row>
    <row r="118" ht="15.75" customHeight="1">
      <c r="C118" s="34">
        <v>9431.0</v>
      </c>
      <c r="D118" s="70" t="s">
        <v>269</v>
      </c>
      <c r="E118" s="71" t="str">
        <f>vlookup(C118,'NOC-List'!B$2:C$502,2,False)</f>
        <v>Sawmill machine operators</v>
      </c>
      <c r="F118" s="72">
        <v>3.0</v>
      </c>
      <c r="G118" s="72">
        <v>4.0</v>
      </c>
      <c r="H118" s="72">
        <v>4.0</v>
      </c>
      <c r="I118" s="72">
        <v>3.0</v>
      </c>
      <c r="J118" s="72">
        <v>3.0</v>
      </c>
      <c r="K118" s="72">
        <v>5.0</v>
      </c>
      <c r="L118" s="72">
        <v>3.0</v>
      </c>
      <c r="M118" s="72">
        <v>4.0</v>
      </c>
      <c r="N118" s="72">
        <v>3.0</v>
      </c>
      <c r="O118" s="73"/>
      <c r="P118" s="35">
        <f>IFERROR(__xludf.DUMMYFUNCTION("""COMPUTED_VALUE"""),9525.0)</f>
        <v>9525</v>
      </c>
      <c r="Q118" s="35" t="str">
        <f>IFERROR(__xludf.DUMMYFUNCTION("query(C118:N1111,""Select D,E,F,G,H,I,J,K,L,M WHERE ""&amp;P118&amp;"" =C Limit 1"")"),"Inspectors, Industrial Electrical Motors and Transformers")</f>
        <v>Inspectors, Industrial Electrical Motors and Transformers</v>
      </c>
      <c r="R118" s="35" t="str">
        <f>IFERROR(__xludf.DUMMYFUNCTION("""COMPUTED_VALUE"""),"Assemblers, fabricators and inspectors, industrial electrical motors and transformers")</f>
        <v>Assemblers, fabricators and inspectors, industrial electrical motors and transformers</v>
      </c>
      <c r="S118" s="35">
        <f>IFERROR(__xludf.DUMMYFUNCTION("""COMPUTED_VALUE"""),3.0)</f>
        <v>3</v>
      </c>
      <c r="T118" s="35">
        <f>IFERROR(__xludf.DUMMYFUNCTION("""COMPUTED_VALUE"""),3.0)</f>
        <v>3</v>
      </c>
      <c r="U118" s="35">
        <f>IFERROR(__xludf.DUMMYFUNCTION("""COMPUTED_VALUE"""),3.0)</f>
        <v>3</v>
      </c>
      <c r="V118" s="35">
        <f>IFERROR(__xludf.DUMMYFUNCTION("""COMPUTED_VALUE"""),3.0)</f>
        <v>3</v>
      </c>
      <c r="W118" s="35">
        <f>IFERROR(__xludf.DUMMYFUNCTION("""COMPUTED_VALUE"""),3.0)</f>
        <v>3</v>
      </c>
      <c r="X118" s="35">
        <f>IFERROR(__xludf.DUMMYFUNCTION("""COMPUTED_VALUE"""),4.0)</f>
        <v>4</v>
      </c>
      <c r="Y118" s="35">
        <f>IFERROR(__xludf.DUMMYFUNCTION("""COMPUTED_VALUE"""),4.0)</f>
        <v>4</v>
      </c>
      <c r="Z118" s="35">
        <f>IFERROR(__xludf.DUMMYFUNCTION("""COMPUTED_VALUE"""),4.0)</f>
        <v>4</v>
      </c>
    </row>
    <row r="119" ht="15.75" customHeight="1">
      <c r="C119" s="34">
        <v>1423.0</v>
      </c>
      <c r="D119" s="70" t="s">
        <v>270</v>
      </c>
      <c r="E119" s="71" t="str">
        <f>vlookup(C119,'NOC-List'!B$2:C$502,2,False)</f>
        <v>Desktop publishing operators and related occupations</v>
      </c>
      <c r="F119" s="72">
        <v>3.0</v>
      </c>
      <c r="G119" s="72">
        <v>4.0</v>
      </c>
      <c r="H119" s="72">
        <v>3.0</v>
      </c>
      <c r="I119" s="72">
        <v>3.0</v>
      </c>
      <c r="J119" s="72">
        <v>2.0</v>
      </c>
      <c r="K119" s="72">
        <v>4.0</v>
      </c>
      <c r="L119" s="72">
        <v>3.0</v>
      </c>
      <c r="M119" s="72">
        <v>4.0</v>
      </c>
      <c r="N119" s="72">
        <v>4.0</v>
      </c>
      <c r="O119" s="73"/>
      <c r="P119" s="35">
        <f>IFERROR(__xludf.DUMMYFUNCTION("""COMPUTED_VALUE"""),6733.0)</f>
        <v>6733</v>
      </c>
      <c r="Q119" s="35" t="str">
        <f>IFERROR(__xludf.DUMMYFUNCTION("query(C119:N1112,""Select D,E,F,G,H,I,J,K,L,M WHERE ""&amp;P119&amp;"" =C Limit 1"")"),"Janitors, Caretakers and Building Superintendents")</f>
        <v>Janitors, Caretakers and Building Superintendents</v>
      </c>
      <c r="R119" s="35" t="str">
        <f>IFERROR(__xludf.DUMMYFUNCTION("""COMPUTED_VALUE"""),"Janitors, caretakers and building superintendents")</f>
        <v>Janitors, caretakers and building superintendents</v>
      </c>
      <c r="S119" s="35">
        <f>IFERROR(__xludf.DUMMYFUNCTION("""COMPUTED_VALUE"""),4.0)</f>
        <v>4</v>
      </c>
      <c r="T119" s="35">
        <f>IFERROR(__xludf.DUMMYFUNCTION("""COMPUTED_VALUE"""),4.0)</f>
        <v>4</v>
      </c>
      <c r="U119" s="35">
        <f>IFERROR(__xludf.DUMMYFUNCTION("""COMPUTED_VALUE"""),4.0)</f>
        <v>4</v>
      </c>
      <c r="V119" s="35">
        <f>IFERROR(__xludf.DUMMYFUNCTION("""COMPUTED_VALUE"""),4.0)</f>
        <v>4</v>
      </c>
      <c r="W119" s="35">
        <f>IFERROR(__xludf.DUMMYFUNCTION("""COMPUTED_VALUE"""),4.0)</f>
        <v>4</v>
      </c>
      <c r="X119" s="35">
        <f>IFERROR(__xludf.DUMMYFUNCTION("""COMPUTED_VALUE"""),4.0)</f>
        <v>4</v>
      </c>
      <c r="Y119" s="35">
        <f>IFERROR(__xludf.DUMMYFUNCTION("""COMPUTED_VALUE"""),4.0)</f>
        <v>4</v>
      </c>
      <c r="Z119" s="35">
        <f>IFERROR(__xludf.DUMMYFUNCTION("""COMPUTED_VALUE"""),4.0)</f>
        <v>4</v>
      </c>
    </row>
    <row r="120" ht="15.75" customHeight="1">
      <c r="C120" s="34">
        <v>6343.0</v>
      </c>
      <c r="D120" s="70" t="s">
        <v>271</v>
      </c>
      <c r="E120" s="71" t="str">
        <f>vlookup(C120,'NOC-List'!B$2:C$502,2,False)</f>
        <v>Shoe repairers and shoemakers</v>
      </c>
      <c r="F120" s="72">
        <v>3.0</v>
      </c>
      <c r="G120" s="72">
        <v>3.0</v>
      </c>
      <c r="H120" s="72">
        <v>4.0</v>
      </c>
      <c r="I120" s="72">
        <v>3.0</v>
      </c>
      <c r="J120" s="72">
        <v>3.0</v>
      </c>
      <c r="K120" s="72">
        <v>5.0</v>
      </c>
      <c r="L120" s="72">
        <v>3.0</v>
      </c>
      <c r="M120" s="72">
        <v>3.0</v>
      </c>
      <c r="N120" s="72">
        <v>3.0</v>
      </c>
      <c r="O120" s="73"/>
      <c r="P120" s="35">
        <f>IFERROR(__xludf.DUMMYFUNCTION("""COMPUTED_VALUE"""),9613.0)</f>
        <v>9613</v>
      </c>
      <c r="Q120" s="35" t="str">
        <f>IFERROR(__xludf.DUMMYFUNCTION("query(C120:N1113,""Select D,E,F,G,H,I,J,K,L,M WHERE ""&amp;P120&amp;"" =C Limit 1"")"),"Labourers in Chemical Products Processing and Utilities")</f>
        <v>Labourers in Chemical Products Processing and Utilities</v>
      </c>
      <c r="R120" s="35" t="str">
        <f>IFERROR(__xludf.DUMMYFUNCTION("""COMPUTED_VALUE"""),"Labourers in chemical products processing and utilities")</f>
        <v>Labourers in chemical products processing and utilities</v>
      </c>
      <c r="S120" s="35">
        <f>IFERROR(__xludf.DUMMYFUNCTION("""COMPUTED_VALUE"""),4.0)</f>
        <v>4</v>
      </c>
      <c r="T120" s="35">
        <f>IFERROR(__xludf.DUMMYFUNCTION("""COMPUTED_VALUE"""),4.0)</f>
        <v>4</v>
      </c>
      <c r="U120" s="35">
        <f>IFERROR(__xludf.DUMMYFUNCTION("""COMPUTED_VALUE"""),4.0)</f>
        <v>4</v>
      </c>
      <c r="V120" s="35">
        <f>IFERROR(__xludf.DUMMYFUNCTION("""COMPUTED_VALUE"""),4.0)</f>
        <v>4</v>
      </c>
      <c r="W120" s="35">
        <f>IFERROR(__xludf.DUMMYFUNCTION("""COMPUTED_VALUE"""),4.0)</f>
        <v>4</v>
      </c>
      <c r="X120" s="35">
        <f>IFERROR(__xludf.DUMMYFUNCTION("""COMPUTED_VALUE"""),5.0)</f>
        <v>5</v>
      </c>
      <c r="Y120" s="35">
        <f>IFERROR(__xludf.DUMMYFUNCTION("""COMPUTED_VALUE"""),3.0)</f>
        <v>3</v>
      </c>
      <c r="Z120" s="35">
        <f>IFERROR(__xludf.DUMMYFUNCTION("""COMPUTED_VALUE"""),4.0)</f>
        <v>4</v>
      </c>
    </row>
    <row r="121" ht="15.75" customHeight="1">
      <c r="C121" s="34">
        <v>6343.0</v>
      </c>
      <c r="D121" s="70" t="s">
        <v>272</v>
      </c>
      <c r="E121" s="71" t="str">
        <f>vlookup(C121,'NOC-List'!B$2:C$502,2,False)</f>
        <v>Shoe repairers and shoemakers</v>
      </c>
      <c r="F121" s="72">
        <v>3.0</v>
      </c>
      <c r="G121" s="72">
        <v>3.0</v>
      </c>
      <c r="H121" s="72">
        <v>4.0</v>
      </c>
      <c r="I121" s="72">
        <v>3.0</v>
      </c>
      <c r="J121" s="72">
        <v>3.0</v>
      </c>
      <c r="K121" s="72">
        <v>4.0</v>
      </c>
      <c r="L121" s="72">
        <v>3.0</v>
      </c>
      <c r="M121" s="72">
        <v>2.0</v>
      </c>
      <c r="N121" s="72">
        <v>3.0</v>
      </c>
      <c r="O121" s="73"/>
      <c r="P121" s="35">
        <f>IFERROR(__xludf.DUMMYFUNCTION("""COMPUTED_VALUE"""),9527.0)</f>
        <v>9527</v>
      </c>
      <c r="Q121" s="35" t="str">
        <f>IFERROR(__xludf.DUMMYFUNCTION("query(C121:N1114,""Select D,E,F,G,H,I,J,K,L,M WHERE ""&amp;P121&amp;"" =C Limit 1"")"),"Machine Operators, Electrical Apparatus Manufacturing")</f>
        <v>Machine Operators, Electrical Apparatus Manufacturing</v>
      </c>
      <c r="R121" s="35" t="str">
        <f>IFERROR(__xludf.DUMMYFUNCTION("""COMPUTED_VALUE"""),"Machine operators and inspectors, electrical apparatus manufacturing")</f>
        <v>Machine operators and inspectors, electrical apparatus manufacturing</v>
      </c>
      <c r="S121" s="35">
        <f>IFERROR(__xludf.DUMMYFUNCTION("""COMPUTED_VALUE"""),4.0)</f>
        <v>4</v>
      </c>
      <c r="T121" s="35">
        <f>IFERROR(__xludf.DUMMYFUNCTION("""COMPUTED_VALUE"""),4.0)</f>
        <v>4</v>
      </c>
      <c r="U121" s="35">
        <f>IFERROR(__xludf.DUMMYFUNCTION("""COMPUTED_VALUE"""),4.0)</f>
        <v>4</v>
      </c>
      <c r="V121" s="35">
        <f>IFERROR(__xludf.DUMMYFUNCTION("""COMPUTED_VALUE"""),4.0)</f>
        <v>4</v>
      </c>
      <c r="W121" s="35">
        <f>IFERROR(__xludf.DUMMYFUNCTION("""COMPUTED_VALUE"""),4.0)</f>
        <v>4</v>
      </c>
      <c r="X121" s="35">
        <f>IFERROR(__xludf.DUMMYFUNCTION("""COMPUTED_VALUE"""),5.0)</f>
        <v>5</v>
      </c>
      <c r="Y121" s="35">
        <f>IFERROR(__xludf.DUMMYFUNCTION("""COMPUTED_VALUE"""),3.0)</f>
        <v>3</v>
      </c>
      <c r="Z121" s="35">
        <f>IFERROR(__xludf.DUMMYFUNCTION("""COMPUTED_VALUE"""),4.0)</f>
        <v>4</v>
      </c>
    </row>
    <row r="122" ht="15.75" customHeight="1">
      <c r="C122" s="34">
        <v>7332.0</v>
      </c>
      <c r="D122" s="70" t="s">
        <v>273</v>
      </c>
      <c r="E122" s="71" t="str">
        <f>vlookup(C122,'NOC-List'!B$2:C$502,2,False)</f>
        <v>Appliance servicers and repairers</v>
      </c>
      <c r="F122" s="72">
        <v>3.0</v>
      </c>
      <c r="G122" s="72">
        <v>3.0</v>
      </c>
      <c r="H122" s="72">
        <v>3.0</v>
      </c>
      <c r="I122" s="72">
        <v>3.0</v>
      </c>
      <c r="J122" s="72">
        <v>3.0</v>
      </c>
      <c r="K122" s="72">
        <v>4.0</v>
      </c>
      <c r="L122" s="72">
        <v>3.0</v>
      </c>
      <c r="M122" s="72">
        <v>3.0</v>
      </c>
      <c r="N122" s="72">
        <v>3.0</v>
      </c>
      <c r="O122" s="73"/>
      <c r="P122" s="35">
        <f>IFERROR(__xludf.DUMMYFUNCTION("""COMPUTED_VALUE"""),714.0)</f>
        <v>714</v>
      </c>
      <c r="Q122" s="35" t="str">
        <f>IFERROR(__xludf.DUMMYFUNCTION("query(C122:N1115,""Select D,E,F,G,H,I,J,K,L,M WHERE ""&amp;P122&amp;"" =C Limit 1"")"),"Maintenance Managers")</f>
        <v>Maintenance Managers</v>
      </c>
      <c r="R122" s="35" t="str">
        <f>IFERROR(__xludf.DUMMYFUNCTION("""COMPUTED_VALUE"""),"Facility operation and maintenance managers")</f>
        <v>Facility operation and maintenance managers</v>
      </c>
      <c r="S122" s="35">
        <f>IFERROR(__xludf.DUMMYFUNCTION("""COMPUTED_VALUE"""),2.0)</f>
        <v>2</v>
      </c>
      <c r="T122" s="35">
        <f>IFERROR(__xludf.DUMMYFUNCTION("""COMPUTED_VALUE"""),3.0)</f>
        <v>3</v>
      </c>
      <c r="U122" s="35">
        <f>IFERROR(__xludf.DUMMYFUNCTION("""COMPUTED_VALUE"""),3.0)</f>
        <v>3</v>
      </c>
      <c r="V122" s="35">
        <f>IFERROR(__xludf.DUMMYFUNCTION("""COMPUTED_VALUE"""),4.0)</f>
        <v>4</v>
      </c>
      <c r="W122" s="35">
        <f>IFERROR(__xludf.DUMMYFUNCTION("""COMPUTED_VALUE"""),4.0)</f>
        <v>4</v>
      </c>
      <c r="X122" s="35">
        <f>IFERROR(__xludf.DUMMYFUNCTION("""COMPUTED_VALUE"""),3.0)</f>
        <v>3</v>
      </c>
      <c r="Y122" s="35">
        <f>IFERROR(__xludf.DUMMYFUNCTION("""COMPUTED_VALUE"""),4.0)</f>
        <v>4</v>
      </c>
      <c r="Z122" s="35">
        <f>IFERROR(__xludf.DUMMYFUNCTION("""COMPUTED_VALUE"""),4.0)</f>
        <v>4</v>
      </c>
    </row>
    <row r="123" ht="15.75" customHeight="1">
      <c r="C123" s="34">
        <v>9473.0</v>
      </c>
      <c r="D123" s="70" t="s">
        <v>274</v>
      </c>
      <c r="E123" s="71" t="str">
        <f>vlookup(C123,'NOC-List'!B$2:C$502,2,False)</f>
        <v>Binding and finishing machine operators</v>
      </c>
      <c r="F123" s="72">
        <v>3.0</v>
      </c>
      <c r="G123" s="72">
        <v>3.0</v>
      </c>
      <c r="H123" s="72">
        <v>4.0</v>
      </c>
      <c r="I123" s="72">
        <v>3.0</v>
      </c>
      <c r="J123" s="72">
        <v>3.0</v>
      </c>
      <c r="K123" s="72">
        <v>4.0</v>
      </c>
      <c r="L123" s="72">
        <v>3.0</v>
      </c>
      <c r="M123" s="72">
        <v>4.0</v>
      </c>
      <c r="N123" s="72">
        <v>3.0</v>
      </c>
      <c r="O123" s="73"/>
      <c r="P123" s="35">
        <f>IFERROR(__xludf.DUMMYFUNCTION("""COMPUTED_VALUE"""),911.0)</f>
        <v>911</v>
      </c>
      <c r="Q123" s="35" t="str">
        <f>IFERROR(__xludf.DUMMYFUNCTION("query(C123:N1116,""Select D,E,F,G,H,I,J,K,L,M WHERE ""&amp;P123&amp;"" =C Limit 1"")"),"Manufacturing Managers")</f>
        <v>Manufacturing Managers</v>
      </c>
      <c r="R123" s="35" t="str">
        <f>IFERROR(__xludf.DUMMYFUNCTION("""COMPUTED_VALUE"""),"Manufacturing managers")</f>
        <v>Manufacturing managers</v>
      </c>
      <c r="S123" s="35">
        <f>IFERROR(__xludf.DUMMYFUNCTION("""COMPUTED_VALUE"""),2.0)</f>
        <v>2</v>
      </c>
      <c r="T123" s="35">
        <f>IFERROR(__xludf.DUMMYFUNCTION("""COMPUTED_VALUE"""),2.0)</f>
        <v>2</v>
      </c>
      <c r="U123" s="35">
        <f>IFERROR(__xludf.DUMMYFUNCTION("""COMPUTED_VALUE"""),2.0)</f>
        <v>2</v>
      </c>
      <c r="V123" s="35">
        <f>IFERROR(__xludf.DUMMYFUNCTION("""COMPUTED_VALUE"""),3.0)</f>
        <v>3</v>
      </c>
      <c r="W123" s="35">
        <f>IFERROR(__xludf.DUMMYFUNCTION("""COMPUTED_VALUE"""),3.0)</f>
        <v>3</v>
      </c>
      <c r="X123" s="35">
        <f>IFERROR(__xludf.DUMMYFUNCTION("""COMPUTED_VALUE"""),3.0)</f>
        <v>3</v>
      </c>
      <c r="Y123" s="35">
        <f>IFERROR(__xludf.DUMMYFUNCTION("""COMPUTED_VALUE"""),4.0)</f>
        <v>4</v>
      </c>
      <c r="Z123" s="35">
        <f>IFERROR(__xludf.DUMMYFUNCTION("""COMPUTED_VALUE"""),4.0)</f>
        <v>4</v>
      </c>
    </row>
    <row r="124" ht="15.75" customHeight="1">
      <c r="C124" s="34">
        <v>7252.0</v>
      </c>
      <c r="D124" s="70" t="s">
        <v>275</v>
      </c>
      <c r="E124" s="71" t="str">
        <f>vlookup(C124,'NOC-List'!B$2:C$502,2,False)</f>
        <v>Steamfitters, pipefitters and sprinkler system installers</v>
      </c>
      <c r="F124" s="72">
        <v>3.0</v>
      </c>
      <c r="G124" s="72">
        <v>3.0</v>
      </c>
      <c r="H124" s="72">
        <v>3.0</v>
      </c>
      <c r="I124" s="72">
        <v>3.0</v>
      </c>
      <c r="J124" s="72">
        <v>3.0</v>
      </c>
      <c r="K124" s="72">
        <v>4.0</v>
      </c>
      <c r="L124" s="72">
        <v>3.0</v>
      </c>
      <c r="M124" s="72">
        <v>3.0</v>
      </c>
      <c r="N124" s="72">
        <v>3.0</v>
      </c>
      <c r="O124" s="73"/>
      <c r="P124" s="35">
        <f>IFERROR(__xludf.DUMMYFUNCTION("""COMPUTED_VALUE"""),6621.0)</f>
        <v>6621</v>
      </c>
      <c r="Q124" s="35" t="str">
        <f>IFERROR(__xludf.DUMMYFUNCTION("query(C124:N1117,""Select D,E,F,G,H,I,J,K,L,M WHERE ""&amp;P124&amp;"" =C Limit 1"")"),"Marina Service Station Attendants")</f>
        <v>Marina Service Station Attendants</v>
      </c>
      <c r="R124" s="35" t="str">
        <f>IFERROR(__xludf.DUMMYFUNCTION("""COMPUTED_VALUE"""),"Service station attendants")</f>
        <v>Service station attendants</v>
      </c>
      <c r="S124" s="35">
        <f>IFERROR(__xludf.DUMMYFUNCTION("""COMPUTED_VALUE"""),4.0)</f>
        <v>4</v>
      </c>
      <c r="T124" s="35">
        <f>IFERROR(__xludf.DUMMYFUNCTION("""COMPUTED_VALUE"""),4.0)</f>
        <v>4</v>
      </c>
      <c r="U124" s="35">
        <f>IFERROR(__xludf.DUMMYFUNCTION("""COMPUTED_VALUE"""),4.0)</f>
        <v>4</v>
      </c>
      <c r="V124" s="35">
        <f>IFERROR(__xludf.DUMMYFUNCTION("""COMPUTED_VALUE"""),4.0)</f>
        <v>4</v>
      </c>
      <c r="W124" s="35">
        <f>IFERROR(__xludf.DUMMYFUNCTION("""COMPUTED_VALUE"""),4.0)</f>
        <v>4</v>
      </c>
      <c r="X124" s="35">
        <f>IFERROR(__xludf.DUMMYFUNCTION("""COMPUTED_VALUE"""),4.0)</f>
        <v>4</v>
      </c>
      <c r="Y124" s="35">
        <f>IFERROR(__xludf.DUMMYFUNCTION("""COMPUTED_VALUE"""),4.0)</f>
        <v>4</v>
      </c>
      <c r="Z124" s="35">
        <f>IFERROR(__xludf.DUMMYFUNCTION("""COMPUTED_VALUE"""),4.0)</f>
        <v>4</v>
      </c>
    </row>
    <row r="125" ht="15.75" customHeight="1">
      <c r="C125" s="34">
        <v>7252.0</v>
      </c>
      <c r="D125" s="70" t="s">
        <v>276</v>
      </c>
      <c r="E125" s="71" t="str">
        <f>vlookup(C125,'NOC-List'!B$2:C$502,2,False)</f>
        <v>Steamfitters, pipefitters and sprinkler system installers</v>
      </c>
      <c r="F125" s="72">
        <v>3.0</v>
      </c>
      <c r="G125" s="72">
        <v>3.0</v>
      </c>
      <c r="H125" s="72">
        <v>3.0</v>
      </c>
      <c r="I125" s="72">
        <v>3.0</v>
      </c>
      <c r="J125" s="72">
        <v>3.0</v>
      </c>
      <c r="K125" s="72">
        <v>4.0</v>
      </c>
      <c r="L125" s="72">
        <v>3.0</v>
      </c>
      <c r="M125" s="72">
        <v>3.0</v>
      </c>
      <c r="N125" s="72">
        <v>3.0</v>
      </c>
      <c r="O125" s="73"/>
      <c r="P125" s="35">
        <f>IFERROR(__xludf.DUMMYFUNCTION("""COMPUTED_VALUE"""),8613.0)</f>
        <v>8613</v>
      </c>
      <c r="Q125" s="35" t="str">
        <f>IFERROR(__xludf.DUMMYFUNCTION("query(C125:N1118,""Select D,E,F,G,H,I,J,K,L,M WHERE ""&amp;P125&amp;"" =C Limit 1"")"),"Marine Plant Gatherers")</f>
        <v>Marine Plant Gatherers</v>
      </c>
      <c r="R125" s="35" t="str">
        <f>IFERROR(__xludf.DUMMYFUNCTION("""COMPUTED_VALUE"""),"Aquaculture and marine harvest labourers")</f>
        <v>Aquaculture and marine harvest labourers</v>
      </c>
      <c r="S125" s="35">
        <f>IFERROR(__xludf.DUMMYFUNCTION("""COMPUTED_VALUE"""),4.0)</f>
        <v>4</v>
      </c>
      <c r="T125" s="35">
        <f>IFERROR(__xludf.DUMMYFUNCTION("""COMPUTED_VALUE"""),4.0)</f>
        <v>4</v>
      </c>
      <c r="U125" s="35">
        <f>IFERROR(__xludf.DUMMYFUNCTION("""COMPUTED_VALUE"""),4.0)</f>
        <v>4</v>
      </c>
      <c r="V125" s="35">
        <f>IFERROR(__xludf.DUMMYFUNCTION("""COMPUTED_VALUE"""),4.0)</f>
        <v>4</v>
      </c>
      <c r="W125" s="35">
        <f>IFERROR(__xludf.DUMMYFUNCTION("""COMPUTED_VALUE"""),4.0)</f>
        <v>4</v>
      </c>
      <c r="X125" s="35">
        <f>IFERROR(__xludf.DUMMYFUNCTION("""COMPUTED_VALUE"""),4.0)</f>
        <v>4</v>
      </c>
      <c r="Y125" s="35">
        <f>IFERROR(__xludf.DUMMYFUNCTION("""COMPUTED_VALUE"""),4.0)</f>
        <v>4</v>
      </c>
      <c r="Z125" s="35">
        <f>IFERROR(__xludf.DUMMYFUNCTION("""COMPUTED_VALUE"""),3.0)</f>
        <v>3</v>
      </c>
    </row>
    <row r="126" ht="15.75" customHeight="1">
      <c r="C126" s="81">
        <v>5226.0</v>
      </c>
      <c r="D126" s="70" t="s">
        <v>277</v>
      </c>
      <c r="E126" s="71" t="str">
        <f>vlookup(C126,'NOC-List'!B$2:C$502,2,False)</f>
        <v>Other technical and co-ordinating occupations in motion pictures, broadcasting and the performing arts</v>
      </c>
      <c r="F126" s="72">
        <v>3.0</v>
      </c>
      <c r="G126" s="72">
        <v>3.0</v>
      </c>
      <c r="H126" s="72">
        <v>3.0</v>
      </c>
      <c r="I126" s="72">
        <v>2.0</v>
      </c>
      <c r="J126" s="72">
        <v>3.0</v>
      </c>
      <c r="K126" s="72">
        <v>4.0</v>
      </c>
      <c r="L126" s="72">
        <v>3.0</v>
      </c>
      <c r="M126" s="72">
        <v>4.0</v>
      </c>
      <c r="N126" s="72">
        <v>3.0</v>
      </c>
      <c r="O126" s="73"/>
      <c r="P126" s="35">
        <f>IFERROR(__xludf.DUMMYFUNCTION("""COMPUTED_VALUE"""),811.0)</f>
        <v>811</v>
      </c>
      <c r="Q126" s="35" t="str">
        <f>IFERROR(__xludf.DUMMYFUNCTION("query(C126:N1119,""Select D,E,F,G,H,I,J,K,L,M WHERE ""&amp;P126&amp;"" =C Limit 1"")"),"Natural Gas Supply Managers")</f>
        <v>Natural Gas Supply Managers</v>
      </c>
      <c r="R126" s="35" t="str">
        <f>IFERROR(__xludf.DUMMYFUNCTION("""COMPUTED_VALUE"""),"Managers in natural resources production and fishing")</f>
        <v>Managers in natural resources production and fishing</v>
      </c>
      <c r="S126" s="35">
        <f>IFERROR(__xludf.DUMMYFUNCTION("""COMPUTED_VALUE"""),2.0)</f>
        <v>2</v>
      </c>
      <c r="T126" s="35">
        <f>IFERROR(__xludf.DUMMYFUNCTION("""COMPUTED_VALUE"""),2.0)</f>
        <v>2</v>
      </c>
      <c r="U126" s="35">
        <f>IFERROR(__xludf.DUMMYFUNCTION("""COMPUTED_VALUE"""),2.0)</f>
        <v>2</v>
      </c>
      <c r="V126" s="35">
        <f>IFERROR(__xludf.DUMMYFUNCTION("""COMPUTED_VALUE"""),3.0)</f>
        <v>3</v>
      </c>
      <c r="W126" s="35">
        <f>IFERROR(__xludf.DUMMYFUNCTION("""COMPUTED_VALUE"""),3.0)</f>
        <v>3</v>
      </c>
      <c r="X126" s="35">
        <f>IFERROR(__xludf.DUMMYFUNCTION("""COMPUTED_VALUE"""),3.0)</f>
        <v>3</v>
      </c>
      <c r="Y126" s="35">
        <f>IFERROR(__xludf.DUMMYFUNCTION("""COMPUTED_VALUE"""),4.0)</f>
        <v>4</v>
      </c>
      <c r="Z126" s="35">
        <f>IFERROR(__xludf.DUMMYFUNCTION("""COMPUTED_VALUE"""),4.0)</f>
        <v>4</v>
      </c>
    </row>
    <row r="127" ht="15.75" customHeight="1">
      <c r="C127" s="34">
        <v>7304.0</v>
      </c>
      <c r="D127" s="70" t="s">
        <v>278</v>
      </c>
      <c r="E127" s="71" t="str">
        <f>vlookup(C127,'NOC-List'!B$2:C$502,2,False)</f>
        <v>Supervisors, railway transport operations</v>
      </c>
      <c r="F127" s="72">
        <v>3.0</v>
      </c>
      <c r="G127" s="72">
        <v>3.0</v>
      </c>
      <c r="H127" s="72">
        <v>4.0</v>
      </c>
      <c r="I127" s="72">
        <v>3.0</v>
      </c>
      <c r="J127" s="72">
        <v>3.0</v>
      </c>
      <c r="K127" s="72">
        <v>3.0</v>
      </c>
      <c r="L127" s="72">
        <v>4.0</v>
      </c>
      <c r="M127" s="72">
        <v>4.0</v>
      </c>
      <c r="N127" s="72">
        <v>3.0</v>
      </c>
      <c r="O127" s="73"/>
      <c r="P127" s="35">
        <f>IFERROR(__xludf.DUMMYFUNCTION("""COMPUTED_VALUE"""),8432.0)</f>
        <v>8432</v>
      </c>
      <c r="Q127" s="35" t="str">
        <f>IFERROR(__xludf.DUMMYFUNCTION("query(C127:N1120,""Select D,E,F,G,H,I,J,K,L,M WHERE ""&amp;P127&amp;"" =C Limit 1"")"),"Nursery and Greenhouse Workers")</f>
        <v>Nursery and Greenhouse Workers</v>
      </c>
      <c r="R127" s="35" t="str">
        <f>IFERROR(__xludf.DUMMYFUNCTION("""COMPUTED_VALUE"""),"Nursery and greenhouse workers")</f>
        <v>Nursery and greenhouse workers</v>
      </c>
      <c r="S127" s="35">
        <f>IFERROR(__xludf.DUMMYFUNCTION("""COMPUTED_VALUE"""),4.0)</f>
        <v>4</v>
      </c>
      <c r="T127" s="35">
        <f>IFERROR(__xludf.DUMMYFUNCTION("""COMPUTED_VALUE"""),4.0)</f>
        <v>4</v>
      </c>
      <c r="U127" s="35">
        <f>IFERROR(__xludf.DUMMYFUNCTION("""COMPUTED_VALUE"""),4.0)</f>
        <v>4</v>
      </c>
      <c r="V127" s="35">
        <f>IFERROR(__xludf.DUMMYFUNCTION("""COMPUTED_VALUE"""),4.0)</f>
        <v>4</v>
      </c>
      <c r="W127" s="35">
        <f>IFERROR(__xludf.DUMMYFUNCTION("""COMPUTED_VALUE"""),4.0)</f>
        <v>4</v>
      </c>
      <c r="X127" s="35">
        <f>IFERROR(__xludf.DUMMYFUNCTION("""COMPUTED_VALUE"""),5.0)</f>
        <v>5</v>
      </c>
      <c r="Y127" s="35">
        <f>IFERROR(__xludf.DUMMYFUNCTION("""COMPUTED_VALUE"""),3.0)</f>
        <v>3</v>
      </c>
      <c r="Z127" s="35">
        <f>IFERROR(__xludf.DUMMYFUNCTION("""COMPUTED_VALUE"""),4.0)</f>
        <v>4</v>
      </c>
    </row>
    <row r="128" ht="15.75" customHeight="1">
      <c r="C128" s="34">
        <v>6342.0</v>
      </c>
      <c r="D128" s="70" t="s">
        <v>279</v>
      </c>
      <c r="E128" s="71" t="str">
        <f>vlookup(C128,'NOC-List'!B$2:C$502,2,False)</f>
        <v>Tailors, dressmakers, furriers and milliners</v>
      </c>
      <c r="F128" s="72">
        <v>3.0</v>
      </c>
      <c r="G128" s="72">
        <v>3.0</v>
      </c>
      <c r="H128" s="72">
        <v>4.0</v>
      </c>
      <c r="I128" s="72">
        <v>3.0</v>
      </c>
      <c r="J128" s="72">
        <v>3.0</v>
      </c>
      <c r="K128" s="72">
        <v>4.0</v>
      </c>
      <c r="L128" s="72">
        <v>3.0</v>
      </c>
      <c r="M128" s="72">
        <v>2.0</v>
      </c>
      <c r="N128" s="72">
        <v>3.0</v>
      </c>
      <c r="O128" s="73"/>
      <c r="P128" s="35">
        <f>IFERROR(__xludf.DUMMYFUNCTION("""COMPUTED_VALUE"""),4161.0)</f>
        <v>4161</v>
      </c>
      <c r="Q128" s="35" t="str">
        <f>IFERROR(__xludf.DUMMYFUNCTION("query(C128:N1121,""Select D,E,F,G,H,I,J,K,L,M WHERE ""&amp;P128&amp;"" =C Limit 1"")"),"Occupational/Industrial Hygienists")</f>
        <v>Occupational/Industrial Hygienists</v>
      </c>
      <c r="R128" s="35" t="str">
        <f>IFERROR(__xludf.DUMMYFUNCTION("""COMPUTED_VALUE"""),"Natural and applied science policy researchers, consultants and program officers")</f>
        <v>Natural and applied science policy researchers, consultants and program officers</v>
      </c>
      <c r="S128" s="35">
        <f>IFERROR(__xludf.DUMMYFUNCTION("""COMPUTED_VALUE"""),2.0)</f>
        <v>2</v>
      </c>
      <c r="T128" s="35">
        <f>IFERROR(__xludf.DUMMYFUNCTION("""COMPUTED_VALUE"""),2.0)</f>
        <v>2</v>
      </c>
      <c r="U128" s="35">
        <f>IFERROR(__xludf.DUMMYFUNCTION("""COMPUTED_VALUE"""),2.0)</f>
        <v>2</v>
      </c>
      <c r="V128" s="35">
        <f>IFERROR(__xludf.DUMMYFUNCTION("""COMPUTED_VALUE"""),3.0)</f>
        <v>3</v>
      </c>
      <c r="W128" s="35">
        <f>IFERROR(__xludf.DUMMYFUNCTION("""COMPUTED_VALUE"""),3.0)</f>
        <v>3</v>
      </c>
      <c r="X128" s="35">
        <f>IFERROR(__xludf.DUMMYFUNCTION("""COMPUTED_VALUE"""),3.0)</f>
        <v>3</v>
      </c>
      <c r="Y128" s="35">
        <f>IFERROR(__xludf.DUMMYFUNCTION("""COMPUTED_VALUE"""),4.0)</f>
        <v>4</v>
      </c>
      <c r="Z128" s="35">
        <f>IFERROR(__xludf.DUMMYFUNCTION("""COMPUTED_VALUE"""),4.0)</f>
        <v>4</v>
      </c>
    </row>
    <row r="129" ht="15.75" customHeight="1">
      <c r="C129" s="34">
        <v>7512.0</v>
      </c>
      <c r="D129" s="70" t="s">
        <v>280</v>
      </c>
      <c r="E129" s="71" t="str">
        <f>vlookup(C129,'NOC-List'!B$2:C$502,2,False)</f>
        <v>Bus drivers, subway operators and other transit operators</v>
      </c>
      <c r="F129" s="72">
        <v>3.0</v>
      </c>
      <c r="G129" s="72">
        <v>4.0</v>
      </c>
      <c r="H129" s="72">
        <v>4.0</v>
      </c>
      <c r="I129" s="72">
        <v>3.0</v>
      </c>
      <c r="J129" s="72">
        <v>4.0</v>
      </c>
      <c r="K129" s="72">
        <v>4.0</v>
      </c>
      <c r="L129" s="72">
        <v>3.0</v>
      </c>
      <c r="M129" s="72">
        <v>4.0</v>
      </c>
      <c r="N129" s="72">
        <v>3.0</v>
      </c>
      <c r="O129" s="73"/>
      <c r="P129" s="35">
        <f>IFERROR(__xludf.DUMMYFUNCTION("""COMPUTED_VALUE"""),8615.0)</f>
        <v>8615</v>
      </c>
      <c r="Q129" s="35" t="str">
        <f>IFERROR(__xludf.DUMMYFUNCTION("query(C129:N1122,""Select D,E,F,G,H,I,J,K,L,M WHERE ""&amp;P129&amp;"" =C Limit 1"")"),"Oil and Gas Drilling, Servicing and Related Labourers")</f>
        <v>Oil and Gas Drilling, Servicing and Related Labourers</v>
      </c>
      <c r="R129" s="35" t="str">
        <f>IFERROR(__xludf.DUMMYFUNCTION("""COMPUTED_VALUE"""),"Oil and gas drilling, servicing and related labourers")</f>
        <v>Oil and gas drilling, servicing and related labourers</v>
      </c>
      <c r="S129" s="35">
        <f>IFERROR(__xludf.DUMMYFUNCTION("""COMPUTED_VALUE"""),4.0)</f>
        <v>4</v>
      </c>
      <c r="T129" s="35">
        <f>IFERROR(__xludf.DUMMYFUNCTION("""COMPUTED_VALUE"""),4.0)</f>
        <v>4</v>
      </c>
      <c r="U129" s="35">
        <f>IFERROR(__xludf.DUMMYFUNCTION("""COMPUTED_VALUE"""),4.0)</f>
        <v>4</v>
      </c>
      <c r="V129" s="35">
        <f>IFERROR(__xludf.DUMMYFUNCTION("""COMPUTED_VALUE"""),4.0)</f>
        <v>4</v>
      </c>
      <c r="W129" s="35">
        <f>IFERROR(__xludf.DUMMYFUNCTION("""COMPUTED_VALUE"""),4.0)</f>
        <v>4</v>
      </c>
      <c r="X129" s="35">
        <f>IFERROR(__xludf.DUMMYFUNCTION("""COMPUTED_VALUE"""),5.0)</f>
        <v>5</v>
      </c>
      <c r="Y129" s="35">
        <f>IFERROR(__xludf.DUMMYFUNCTION("""COMPUTED_VALUE"""),3.0)</f>
        <v>3</v>
      </c>
      <c r="Z129" s="35">
        <f>IFERROR(__xludf.DUMMYFUNCTION("""COMPUTED_VALUE"""),4.0)</f>
        <v>4</v>
      </c>
    </row>
    <row r="130" ht="15.75" customHeight="1">
      <c r="C130" s="34">
        <v>5212.0</v>
      </c>
      <c r="D130" s="70" t="s">
        <v>281</v>
      </c>
      <c r="E130" s="71" t="str">
        <f>vlookup(C130,'NOC-List'!B$2:C$502,2,False)</f>
        <v>Technical occupations related to museums and art galleries</v>
      </c>
      <c r="F130" s="72">
        <v>3.0</v>
      </c>
      <c r="G130" s="72">
        <v>3.0</v>
      </c>
      <c r="H130" s="72">
        <v>3.0</v>
      </c>
      <c r="I130" s="72">
        <v>2.0</v>
      </c>
      <c r="J130" s="72">
        <v>2.0</v>
      </c>
      <c r="K130" s="72">
        <v>4.0</v>
      </c>
      <c r="L130" s="72">
        <v>3.0</v>
      </c>
      <c r="M130" s="72">
        <v>3.0</v>
      </c>
      <c r="N130" s="72">
        <v>3.0</v>
      </c>
      <c r="O130" s="73"/>
      <c r="P130" s="35">
        <f>IFERROR(__xludf.DUMMYFUNCTION("""COMPUTED_VALUE"""),9418.0)</f>
        <v>9418</v>
      </c>
      <c r="Q130" s="35" t="str">
        <f>IFERROR(__xludf.DUMMYFUNCTION("query(C130:N1123,""Select D,E,F,G,H,I,J,K,L,M WHERE ""&amp;P130&amp;"" =C Limit 1"")"),"Other Metal Products Machine Operators")</f>
        <v>Other Metal Products Machine Operators</v>
      </c>
      <c r="R130" s="35" t="str">
        <f>IFERROR(__xludf.DUMMYFUNCTION("""COMPUTED_VALUE"""),"Other metal products machine operators")</f>
        <v>Other metal products machine operators</v>
      </c>
      <c r="S130" s="35">
        <f>IFERROR(__xludf.DUMMYFUNCTION("""COMPUTED_VALUE"""),4.0)</f>
        <v>4</v>
      </c>
      <c r="T130" s="35">
        <f>IFERROR(__xludf.DUMMYFUNCTION("""COMPUTED_VALUE"""),4.0)</f>
        <v>4</v>
      </c>
      <c r="U130" s="35">
        <f>IFERROR(__xludf.DUMMYFUNCTION("""COMPUTED_VALUE"""),4.0)</f>
        <v>4</v>
      </c>
      <c r="V130" s="35">
        <f>IFERROR(__xludf.DUMMYFUNCTION("""COMPUTED_VALUE"""),4.0)</f>
        <v>4</v>
      </c>
      <c r="W130" s="35">
        <f>IFERROR(__xludf.DUMMYFUNCTION("""COMPUTED_VALUE"""),4.0)</f>
        <v>4</v>
      </c>
      <c r="X130" s="35">
        <f>IFERROR(__xludf.DUMMYFUNCTION("""COMPUTED_VALUE"""),4.0)</f>
        <v>4</v>
      </c>
      <c r="Y130" s="35">
        <f>IFERROR(__xludf.DUMMYFUNCTION("""COMPUTED_VALUE"""),4.0)</f>
        <v>4</v>
      </c>
      <c r="Z130" s="35">
        <f>IFERROR(__xludf.DUMMYFUNCTION("""COMPUTED_VALUE"""),4.0)</f>
        <v>4</v>
      </c>
    </row>
    <row r="131" ht="15.75" customHeight="1">
      <c r="C131" s="34">
        <v>7245.0</v>
      </c>
      <c r="D131" s="70" t="s">
        <v>282</v>
      </c>
      <c r="E131" s="71" t="str">
        <f>vlookup(C131,'NOC-List'!B$2:C$502,2,False)</f>
        <v>Telecommunications line and cable workers</v>
      </c>
      <c r="F131" s="72">
        <v>3.0</v>
      </c>
      <c r="G131" s="72">
        <v>3.0</v>
      </c>
      <c r="H131" s="72">
        <v>4.0</v>
      </c>
      <c r="I131" s="72">
        <v>3.0</v>
      </c>
      <c r="J131" s="72">
        <v>4.0</v>
      </c>
      <c r="K131" s="72">
        <v>4.0</v>
      </c>
      <c r="L131" s="72">
        <v>3.0</v>
      </c>
      <c r="M131" s="72">
        <v>3.0</v>
      </c>
      <c r="N131" s="72">
        <v>3.0</v>
      </c>
      <c r="O131" s="73"/>
      <c r="P131" s="35">
        <f>IFERROR(__xludf.DUMMYFUNCTION("""COMPUTED_VALUE"""),6313.0)</f>
        <v>6313</v>
      </c>
      <c r="Q131" s="35" t="str">
        <f>IFERROR(__xludf.DUMMYFUNCTION("query(C131:N1124,""Select D,E,F,G,H,I,J,K,L,M WHERE ""&amp;P131&amp;"" =C Limit 1"")"),"Other Service Supervisors")</f>
        <v>Other Service Supervisors</v>
      </c>
      <c r="R131" s="35" t="str">
        <f>IFERROR(__xludf.DUMMYFUNCTION("""COMPUTED_VALUE"""),"Accommodation, travel, tourism and related services supervisors")</f>
        <v>Accommodation, travel, tourism and related services supervisors</v>
      </c>
      <c r="S131" s="35">
        <f>IFERROR(__xludf.DUMMYFUNCTION("""COMPUTED_VALUE"""),3.0)</f>
        <v>3</v>
      </c>
      <c r="T131" s="35">
        <f>IFERROR(__xludf.DUMMYFUNCTION("""COMPUTED_VALUE"""),3.0)</f>
        <v>3</v>
      </c>
      <c r="U131" s="35">
        <f>IFERROR(__xludf.DUMMYFUNCTION("""COMPUTED_VALUE"""),4.0)</f>
        <v>4</v>
      </c>
      <c r="V131" s="35">
        <f>IFERROR(__xludf.DUMMYFUNCTION("""COMPUTED_VALUE"""),4.0)</f>
        <v>4</v>
      </c>
      <c r="W131" s="35">
        <f>IFERROR(__xludf.DUMMYFUNCTION("""COMPUTED_VALUE"""),4.0)</f>
        <v>4</v>
      </c>
      <c r="X131" s="35">
        <f>IFERROR(__xludf.DUMMYFUNCTION("""COMPUTED_VALUE"""),3.0)</f>
        <v>3</v>
      </c>
      <c r="Y131" s="35">
        <f>IFERROR(__xludf.DUMMYFUNCTION("""COMPUTED_VALUE"""),4.0)</f>
        <v>4</v>
      </c>
      <c r="Z131" s="35">
        <f>IFERROR(__xludf.DUMMYFUNCTION("""COMPUTED_VALUE"""),4.0)</f>
        <v>4</v>
      </c>
    </row>
    <row r="132" ht="15.75" customHeight="1">
      <c r="C132" s="34">
        <v>9446.0</v>
      </c>
      <c r="D132" s="70" t="s">
        <v>283</v>
      </c>
      <c r="E132" s="71" t="str">
        <f>vlookup(C132,'NOC-List'!B$2:C$502,2,False)</f>
        <v>Industrial sewing machine operators</v>
      </c>
      <c r="F132" s="72">
        <v>4.0</v>
      </c>
      <c r="G132" s="72">
        <v>4.0</v>
      </c>
      <c r="H132" s="72">
        <v>4.0</v>
      </c>
      <c r="I132" s="72">
        <v>3.0</v>
      </c>
      <c r="J132" s="72">
        <v>3.0</v>
      </c>
      <c r="K132" s="72">
        <v>5.0</v>
      </c>
      <c r="L132" s="72">
        <v>3.0</v>
      </c>
      <c r="M132" s="72">
        <v>3.0</v>
      </c>
      <c r="N132" s="72">
        <v>3.0</v>
      </c>
      <c r="O132" s="73"/>
      <c r="P132" s="35">
        <f>IFERROR(__xludf.DUMMYFUNCTION("""COMPUTED_VALUE"""),9533.0)</f>
        <v>9533</v>
      </c>
      <c r="Q132" s="35" t="str">
        <f>IFERROR(__xludf.DUMMYFUNCTION("query(C132:N1125,""Select D,E,F,G,H,I,J,K,L,M WHERE ""&amp;P132&amp;"" =C Limit 1"")"),"Other Wood Products Assemblers")</f>
        <v>Other Wood Products Assemblers</v>
      </c>
      <c r="R132" s="35" t="str">
        <f>IFERROR(__xludf.DUMMYFUNCTION("""COMPUTED_VALUE"""),"Other wood products assemblers and inspectors")</f>
        <v>Other wood products assemblers and inspectors</v>
      </c>
      <c r="S132" s="35">
        <f>IFERROR(__xludf.DUMMYFUNCTION("""COMPUTED_VALUE"""),4.0)</f>
        <v>4</v>
      </c>
      <c r="T132" s="35">
        <f>IFERROR(__xludf.DUMMYFUNCTION("""COMPUTED_VALUE"""),4.0)</f>
        <v>4</v>
      </c>
      <c r="U132" s="35">
        <f>IFERROR(__xludf.DUMMYFUNCTION("""COMPUTED_VALUE"""),5.0)</f>
        <v>5</v>
      </c>
      <c r="V132" s="35">
        <f>IFERROR(__xludf.DUMMYFUNCTION("""COMPUTED_VALUE"""),4.0)</f>
        <v>4</v>
      </c>
      <c r="W132" s="35">
        <f>IFERROR(__xludf.DUMMYFUNCTION("""COMPUTED_VALUE"""),4.0)</f>
        <v>4</v>
      </c>
      <c r="X132" s="35">
        <f>IFERROR(__xludf.DUMMYFUNCTION("""COMPUTED_VALUE"""),4.0)</f>
        <v>4</v>
      </c>
      <c r="Y132" s="35">
        <f>IFERROR(__xludf.DUMMYFUNCTION("""COMPUTED_VALUE"""),3.0)</f>
        <v>3</v>
      </c>
      <c r="Z132" s="35">
        <f>IFERROR(__xludf.DUMMYFUNCTION("""COMPUTED_VALUE"""),4.0)</f>
        <v>4</v>
      </c>
    </row>
    <row r="133" ht="15.75" customHeight="1">
      <c r="C133" s="34">
        <v>7232.0</v>
      </c>
      <c r="D133" s="70" t="s">
        <v>284</v>
      </c>
      <c r="E133" s="71" t="str">
        <f>vlookup(C133,'NOC-List'!B$2:C$502,2,False)</f>
        <v>Tool and die makers</v>
      </c>
      <c r="F133" s="72">
        <v>3.0</v>
      </c>
      <c r="G133" s="72">
        <v>3.0</v>
      </c>
      <c r="H133" s="72">
        <v>3.0</v>
      </c>
      <c r="I133" s="72">
        <v>2.0</v>
      </c>
      <c r="J133" s="72">
        <v>2.0</v>
      </c>
      <c r="K133" s="72">
        <v>4.0</v>
      </c>
      <c r="L133" s="72">
        <v>3.0</v>
      </c>
      <c r="M133" s="72">
        <v>2.0</v>
      </c>
      <c r="N133" s="72">
        <v>2.0</v>
      </c>
      <c r="O133" s="73"/>
      <c r="P133" s="35">
        <f>IFERROR(__xludf.DUMMYFUNCTION("""COMPUTED_VALUE"""),9436.0)</f>
        <v>9436</v>
      </c>
      <c r="Q133" s="35" t="str">
        <f>IFERROR(__xludf.DUMMYFUNCTION("query(C133:N1126,""Select D,E,F,G,H,I,J,K,L,M WHERE ""&amp;P133&amp;"" =C Limit 1"")"),"Other Wood Products Inspectors")</f>
        <v>Other Wood Products Inspectors</v>
      </c>
      <c r="R133" s="35" t="str">
        <f>IFERROR(__xludf.DUMMYFUNCTION("""COMPUTED_VALUE"""),"Lumber graders and other wood processing inspectors and graders")</f>
        <v>Lumber graders and other wood processing inspectors and graders</v>
      </c>
      <c r="S133" s="35">
        <f>IFERROR(__xludf.DUMMYFUNCTION("""COMPUTED_VALUE"""),4.0)</f>
        <v>4</v>
      </c>
      <c r="T133" s="35">
        <f>IFERROR(__xludf.DUMMYFUNCTION("""COMPUTED_VALUE"""),4.0)</f>
        <v>4</v>
      </c>
      <c r="U133" s="35">
        <f>IFERROR(__xludf.DUMMYFUNCTION("""COMPUTED_VALUE"""),5.0)</f>
        <v>5</v>
      </c>
      <c r="V133" s="35">
        <f>IFERROR(__xludf.DUMMYFUNCTION("""COMPUTED_VALUE"""),4.0)</f>
        <v>4</v>
      </c>
      <c r="W133" s="35">
        <f>IFERROR(__xludf.DUMMYFUNCTION("""COMPUTED_VALUE"""),4.0)</f>
        <v>4</v>
      </c>
      <c r="X133" s="35">
        <f>IFERROR(__xludf.DUMMYFUNCTION("""COMPUTED_VALUE"""),4.0)</f>
        <v>4</v>
      </c>
      <c r="Y133" s="35">
        <f>IFERROR(__xludf.DUMMYFUNCTION("""COMPUTED_VALUE"""),3.0)</f>
        <v>3</v>
      </c>
      <c r="Z133" s="35">
        <f>IFERROR(__xludf.DUMMYFUNCTION("""COMPUTED_VALUE"""),4.0)</f>
        <v>4</v>
      </c>
    </row>
    <row r="134" ht="15.75" customHeight="1">
      <c r="C134" s="34">
        <v>3114.0</v>
      </c>
      <c r="D134" s="70" t="s">
        <v>285</v>
      </c>
      <c r="E134" s="71" t="str">
        <f>vlookup(C134,'NOC-List'!B$2:C$502,2,False)</f>
        <v>Veterinarians</v>
      </c>
      <c r="F134" s="72">
        <v>1.0</v>
      </c>
      <c r="G134" s="72">
        <v>1.0</v>
      </c>
      <c r="H134" s="72">
        <v>2.0</v>
      </c>
      <c r="I134" s="72">
        <v>1.0</v>
      </c>
      <c r="J134" s="72">
        <v>2.0</v>
      </c>
      <c r="K134" s="72">
        <v>3.0</v>
      </c>
      <c r="L134" s="72">
        <v>2.0</v>
      </c>
      <c r="M134" s="72">
        <v>2.0</v>
      </c>
      <c r="N134" s="72">
        <v>2.0</v>
      </c>
      <c r="O134" s="73"/>
      <c r="P134" s="35">
        <f>IFERROR(__xludf.DUMMYFUNCTION("""COMPUTED_VALUE"""),912.0)</f>
        <v>912</v>
      </c>
      <c r="Q134" s="35" t="str">
        <f>IFERROR(__xludf.DUMMYFUNCTION("query(C134:N1127,""Select D,E,F,G,H,I,J,K,L,M WHERE ""&amp;P134&amp;"" =C Limit 1"")"),"Petroleum Product Distribution Managers")</f>
        <v>Petroleum Product Distribution Managers</v>
      </c>
      <c r="R134" s="35" t="str">
        <f>IFERROR(__xludf.DUMMYFUNCTION("""COMPUTED_VALUE"""),"Utilities managers")</f>
        <v>Utilities managers</v>
      </c>
      <c r="S134" s="35">
        <f>IFERROR(__xludf.DUMMYFUNCTION("""COMPUTED_VALUE"""),2.0)</f>
        <v>2</v>
      </c>
      <c r="T134" s="35">
        <f>IFERROR(__xludf.DUMMYFUNCTION("""COMPUTED_VALUE"""),2.0)</f>
        <v>2</v>
      </c>
      <c r="U134" s="35">
        <f>IFERROR(__xludf.DUMMYFUNCTION("""COMPUTED_VALUE"""),2.0)</f>
        <v>2</v>
      </c>
      <c r="V134" s="35">
        <f>IFERROR(__xludf.DUMMYFUNCTION("""COMPUTED_VALUE"""),3.0)</f>
        <v>3</v>
      </c>
      <c r="W134" s="35">
        <f>IFERROR(__xludf.DUMMYFUNCTION("""COMPUTED_VALUE"""),3.0)</f>
        <v>3</v>
      </c>
      <c r="X134" s="35">
        <f>IFERROR(__xludf.DUMMYFUNCTION("""COMPUTED_VALUE"""),3.0)</f>
        <v>3</v>
      </c>
      <c r="Y134" s="35">
        <f>IFERROR(__xludf.DUMMYFUNCTION("""COMPUTED_VALUE"""),4.0)</f>
        <v>4</v>
      </c>
      <c r="Z134" s="35">
        <f>IFERROR(__xludf.DUMMYFUNCTION("""COMPUTED_VALUE"""),4.0)</f>
        <v>4</v>
      </c>
    </row>
    <row r="135" ht="15.75" customHeight="1">
      <c r="C135" s="34">
        <v>6344.0</v>
      </c>
      <c r="D135" s="70" t="s">
        <v>286</v>
      </c>
      <c r="E135" s="71" t="str">
        <f>vlookup(C135,'NOC-List'!B$2:C$502,2,False)</f>
        <v>Jewellers, jewellery and watch repairers and related occupations</v>
      </c>
      <c r="F135" s="72">
        <v>3.0</v>
      </c>
      <c r="G135" s="72">
        <v>3.0</v>
      </c>
      <c r="H135" s="72">
        <v>3.0</v>
      </c>
      <c r="I135" s="72">
        <v>3.0</v>
      </c>
      <c r="J135" s="72">
        <v>2.0</v>
      </c>
      <c r="K135" s="72">
        <v>4.0</v>
      </c>
      <c r="L135" s="72">
        <v>1.0</v>
      </c>
      <c r="M135" s="72">
        <v>1.0</v>
      </c>
      <c r="N135" s="72">
        <v>2.0</v>
      </c>
      <c r="O135" s="73"/>
      <c r="P135" s="35">
        <f>IFERROR(__xludf.DUMMYFUNCTION("""COMPUTED_VALUE"""),2111.0)</f>
        <v>2111</v>
      </c>
      <c r="Q135" s="35" t="str">
        <f>IFERROR(__xludf.DUMMYFUNCTION("query(C135:N1128,""Select D,E,F,G,H,I,J,K,L,M WHERE ""&amp;P135&amp;"" =C Limit 1"")"),"Physicists")</f>
        <v>Physicists</v>
      </c>
      <c r="R135" s="35" t="str">
        <f>IFERROR(__xludf.DUMMYFUNCTION("""COMPUTED_VALUE"""),"Physicists and astronomers")</f>
        <v>Physicists and astronomers</v>
      </c>
      <c r="S135" s="35">
        <f>IFERROR(__xludf.DUMMYFUNCTION("""COMPUTED_VALUE"""),1.0)</f>
        <v>1</v>
      </c>
      <c r="T135" s="35">
        <f>IFERROR(__xludf.DUMMYFUNCTION("""COMPUTED_VALUE"""),1.0)</f>
        <v>1</v>
      </c>
      <c r="U135" s="35">
        <f>IFERROR(__xludf.DUMMYFUNCTION("""COMPUTED_VALUE"""),1.0)</f>
        <v>1</v>
      </c>
      <c r="V135" s="35">
        <f>IFERROR(__xludf.DUMMYFUNCTION("""COMPUTED_VALUE"""),1.0)</f>
        <v>1</v>
      </c>
      <c r="W135" s="35">
        <f>IFERROR(__xludf.DUMMYFUNCTION("""COMPUTED_VALUE"""),1.0)</f>
        <v>1</v>
      </c>
      <c r="X135" s="35">
        <f>IFERROR(__xludf.DUMMYFUNCTION("""COMPUTED_VALUE"""),3.0)</f>
        <v>3</v>
      </c>
      <c r="Y135" s="35">
        <f>IFERROR(__xludf.DUMMYFUNCTION("""COMPUTED_VALUE"""),3.0)</f>
        <v>3</v>
      </c>
      <c r="Z135" s="35">
        <f>IFERROR(__xludf.DUMMYFUNCTION("""COMPUTED_VALUE"""),3.0)</f>
        <v>3</v>
      </c>
    </row>
    <row r="136" ht="15.75" customHeight="1">
      <c r="C136" s="81">
        <v>3232.0</v>
      </c>
      <c r="D136" s="70" t="s">
        <v>287</v>
      </c>
      <c r="E136" s="71" t="str">
        <f>vlookup(C136,'NOC-List'!B$2:C$502,2,False)</f>
        <v>Practitioners of natural healing</v>
      </c>
      <c r="F136" s="72">
        <v>3.0</v>
      </c>
      <c r="G136" s="72">
        <v>3.0</v>
      </c>
      <c r="H136" s="72">
        <v>4.0</v>
      </c>
      <c r="I136" s="72">
        <v>4.0</v>
      </c>
      <c r="J136" s="72">
        <v>4.0</v>
      </c>
      <c r="K136" s="72">
        <v>4.0</v>
      </c>
      <c r="L136" s="72">
        <v>3.0</v>
      </c>
      <c r="M136" s="72">
        <v>3.0</v>
      </c>
      <c r="N136" s="72">
        <v>3.0</v>
      </c>
      <c r="O136" s="73"/>
      <c r="P136" s="35">
        <f>IFERROR(__xludf.DUMMYFUNCTION("""COMPUTED_VALUE"""),1511.0)</f>
        <v>1511</v>
      </c>
      <c r="Q136" s="35" t="str">
        <f>IFERROR(__xludf.DUMMYFUNCTION("query(C136:N1129,""Select D,E,F,G,H,I,J,K,L,M WHERE ""&amp;P136&amp;"" =C Limit 1"")"),"Postal Clerks")</f>
        <v>Postal Clerks</v>
      </c>
      <c r="R136" s="35" t="str">
        <f>IFERROR(__xludf.DUMMYFUNCTION("""COMPUTED_VALUE"""),"Mail, postal and related workers")</f>
        <v>Mail, postal and related workers</v>
      </c>
      <c r="S136" s="35">
        <f>IFERROR(__xludf.DUMMYFUNCTION("""COMPUTED_VALUE"""),3.0)</f>
        <v>3</v>
      </c>
      <c r="T136" s="35">
        <f>IFERROR(__xludf.DUMMYFUNCTION("""COMPUTED_VALUE"""),3.0)</f>
        <v>3</v>
      </c>
      <c r="U136" s="35">
        <f>IFERROR(__xludf.DUMMYFUNCTION("""COMPUTED_VALUE"""),3.0)</f>
        <v>3</v>
      </c>
      <c r="V136" s="35">
        <f>IFERROR(__xludf.DUMMYFUNCTION("""COMPUTED_VALUE"""),4.0)</f>
        <v>4</v>
      </c>
      <c r="W136" s="35">
        <f>IFERROR(__xludf.DUMMYFUNCTION("""COMPUTED_VALUE"""),4.0)</f>
        <v>4</v>
      </c>
      <c r="X136" s="35">
        <f>IFERROR(__xludf.DUMMYFUNCTION("""COMPUTED_VALUE"""),3.0)</f>
        <v>3</v>
      </c>
      <c r="Y136" s="35">
        <f>IFERROR(__xludf.DUMMYFUNCTION("""COMPUTED_VALUE"""),4.0)</f>
        <v>4</v>
      </c>
      <c r="Z136" s="35">
        <f>IFERROR(__xludf.DUMMYFUNCTION("""COMPUTED_VALUE"""),3.0)</f>
        <v>3</v>
      </c>
    </row>
    <row r="137" ht="15.75" customHeight="1">
      <c r="C137" s="34">
        <v>2272.0</v>
      </c>
      <c r="D137" s="70" t="s">
        <v>288</v>
      </c>
      <c r="E137" s="71" t="str">
        <f>vlookup(C137,'NOC-List'!B$2:C$502,2,False)</f>
        <v>Air traffic controllers and related occupations</v>
      </c>
      <c r="F137" s="72">
        <v>2.0</v>
      </c>
      <c r="G137" s="72">
        <v>2.0</v>
      </c>
      <c r="H137" s="72">
        <v>3.0</v>
      </c>
      <c r="I137" s="72">
        <v>2.0</v>
      </c>
      <c r="J137" s="72">
        <v>3.0</v>
      </c>
      <c r="K137" s="72">
        <v>3.0</v>
      </c>
      <c r="L137" s="72">
        <v>4.0</v>
      </c>
      <c r="M137" s="72">
        <v>4.0</v>
      </c>
      <c r="N137" s="72">
        <v>4.0</v>
      </c>
      <c r="O137" s="73"/>
      <c r="P137" s="35">
        <f>IFERROR(__xludf.DUMMYFUNCTION("""COMPUTED_VALUE"""),9241.0)</f>
        <v>9241</v>
      </c>
      <c r="Q137" s="35" t="str">
        <f>IFERROR(__xludf.DUMMYFUNCTION("query(C137:N1130,""Select D,E,F,G,H,I,J,K,L,M WHERE ""&amp;P137&amp;"" =C Limit 1"")"),"Power Station Operators")</f>
        <v>Power Station Operators</v>
      </c>
      <c r="R137" s="35" t="str">
        <f>IFERROR(__xludf.DUMMYFUNCTION("""COMPUTED_VALUE"""),"Power engineers and power systems operators")</f>
        <v>Power engineers and power systems operators</v>
      </c>
      <c r="S137" s="35">
        <f>IFERROR(__xludf.DUMMYFUNCTION("""COMPUTED_VALUE"""),3.0)</f>
        <v>3</v>
      </c>
      <c r="T137" s="35">
        <f>IFERROR(__xludf.DUMMYFUNCTION("""COMPUTED_VALUE"""),3.0)</f>
        <v>3</v>
      </c>
      <c r="U137" s="35">
        <f>IFERROR(__xludf.DUMMYFUNCTION("""COMPUTED_VALUE"""),3.0)</f>
        <v>3</v>
      </c>
      <c r="V137" s="35">
        <f>IFERROR(__xludf.DUMMYFUNCTION("""COMPUTED_VALUE"""),4.0)</f>
        <v>4</v>
      </c>
      <c r="W137" s="35">
        <f>IFERROR(__xludf.DUMMYFUNCTION("""COMPUTED_VALUE"""),3.0)</f>
        <v>3</v>
      </c>
      <c r="X137" s="35">
        <f>IFERROR(__xludf.DUMMYFUNCTION("""COMPUTED_VALUE"""),3.0)</f>
        <v>3</v>
      </c>
      <c r="Y137" s="35">
        <f>IFERROR(__xludf.DUMMYFUNCTION("""COMPUTED_VALUE"""),4.0)</f>
        <v>4</v>
      </c>
      <c r="Z137" s="35">
        <f>IFERROR(__xludf.DUMMYFUNCTION("""COMPUTED_VALUE"""),4.0)</f>
        <v>4</v>
      </c>
    </row>
    <row r="138" ht="15.75" customHeight="1">
      <c r="C138" s="81">
        <v>2244.0</v>
      </c>
      <c r="D138" s="70" t="s">
        <v>289</v>
      </c>
      <c r="E138" s="71" t="str">
        <f>vlookup(C138,'NOC-List'!B$2:C$502,2,False)</f>
        <v>Aircraft instrument, electrical and avionics mechanics, technicians and inspectors</v>
      </c>
      <c r="F138" s="72">
        <v>3.0</v>
      </c>
      <c r="G138" s="72">
        <v>3.0</v>
      </c>
      <c r="H138" s="72">
        <v>3.0</v>
      </c>
      <c r="I138" s="72">
        <v>2.0</v>
      </c>
      <c r="J138" s="72">
        <v>2.0</v>
      </c>
      <c r="K138" s="72">
        <v>4.0</v>
      </c>
      <c r="L138" s="72">
        <v>2.0</v>
      </c>
      <c r="M138" s="72">
        <v>1.0</v>
      </c>
      <c r="N138" s="72">
        <v>1.0</v>
      </c>
      <c r="O138" s="73"/>
      <c r="P138" s="35">
        <f>IFERROR(__xludf.DUMMYFUNCTION("""COMPUTED_VALUE"""),1215.0)</f>
        <v>1215</v>
      </c>
      <c r="Q138" s="35" t="str">
        <f>IFERROR(__xludf.DUMMYFUNCTION("query(C138:N1131,""Select D,E,F,G,H,I,J,K,L,M WHERE ""&amp;P138&amp;"" =C Limit 1"")"),"Primary Production Managers (Except Agriculture)")</f>
        <v>Primary Production Managers (Except Agriculture)</v>
      </c>
      <c r="R138" s="35" t="str">
        <f>IFERROR(__xludf.DUMMYFUNCTION("""COMPUTED_VALUE"""),"Supervisors, supply chain, tracking and scheduling co-ordination occupations")</f>
        <v>Supervisors, supply chain, tracking and scheduling co-ordination occupations</v>
      </c>
      <c r="S138" s="35">
        <f>IFERROR(__xludf.DUMMYFUNCTION("""COMPUTED_VALUE"""),2.0)</f>
        <v>2</v>
      </c>
      <c r="T138" s="35">
        <f>IFERROR(__xludf.DUMMYFUNCTION("""COMPUTED_VALUE"""),2.0)</f>
        <v>2</v>
      </c>
      <c r="U138" s="35">
        <f>IFERROR(__xludf.DUMMYFUNCTION("""COMPUTED_VALUE"""),2.0)</f>
        <v>2</v>
      </c>
      <c r="V138" s="35">
        <f>IFERROR(__xludf.DUMMYFUNCTION("""COMPUTED_VALUE"""),3.0)</f>
        <v>3</v>
      </c>
      <c r="W138" s="35">
        <f>IFERROR(__xludf.DUMMYFUNCTION("""COMPUTED_VALUE"""),3.0)</f>
        <v>3</v>
      </c>
      <c r="X138" s="35">
        <f>IFERROR(__xludf.DUMMYFUNCTION("""COMPUTED_VALUE"""),3.0)</f>
        <v>3</v>
      </c>
      <c r="Y138" s="35">
        <f>IFERROR(__xludf.DUMMYFUNCTION("""COMPUTED_VALUE"""),4.0)</f>
        <v>4</v>
      </c>
      <c r="Z138" s="35">
        <f>IFERROR(__xludf.DUMMYFUNCTION("""COMPUTED_VALUE"""),4.0)</f>
        <v>4</v>
      </c>
    </row>
    <row r="139" ht="15.75" customHeight="1">
      <c r="C139" s="34">
        <v>2244.0</v>
      </c>
      <c r="D139" s="70" t="s">
        <v>290</v>
      </c>
      <c r="E139" s="71" t="str">
        <f>vlookup(C139,'NOC-List'!B$2:C$502,2,False)</f>
        <v>Aircraft instrument, electrical and avionics mechanics, technicians and inspectors</v>
      </c>
      <c r="F139" s="72">
        <v>3.0</v>
      </c>
      <c r="G139" s="72">
        <v>3.0</v>
      </c>
      <c r="H139" s="72">
        <v>3.0</v>
      </c>
      <c r="I139" s="72">
        <v>2.0</v>
      </c>
      <c r="J139" s="72">
        <v>2.0</v>
      </c>
      <c r="K139" s="72">
        <v>4.0</v>
      </c>
      <c r="L139" s="72">
        <v>2.0</v>
      </c>
      <c r="M139" s="72">
        <v>1.0</v>
      </c>
      <c r="N139" s="72">
        <v>1.0</v>
      </c>
      <c r="O139" s="73"/>
      <c r="P139" s="35">
        <f>IFERROR(__xludf.DUMMYFUNCTION("""COMPUTED_VALUE"""),6541.0)</f>
        <v>6541</v>
      </c>
      <c r="Q139" s="35" t="str">
        <f>IFERROR(__xludf.DUMMYFUNCTION("query(C139:N1132,""Select D,E,F,G,H,I,J,K,L,M WHERE ""&amp;P139&amp;"" =C Limit 1"")"),"Private Investigators")</f>
        <v>Private Investigators</v>
      </c>
      <c r="R139" s="35" t="str">
        <f>IFERROR(__xludf.DUMMYFUNCTION("""COMPUTED_VALUE"""),"Security guards and related security service occupations")</f>
        <v>Security guards and related security service occupations</v>
      </c>
      <c r="S139" s="35">
        <f>IFERROR(__xludf.DUMMYFUNCTION("""COMPUTED_VALUE"""),3.0)</f>
        <v>3</v>
      </c>
      <c r="T139" s="35">
        <f>IFERROR(__xludf.DUMMYFUNCTION("""COMPUTED_VALUE"""),3.0)</f>
        <v>3</v>
      </c>
      <c r="U139" s="35">
        <f>IFERROR(__xludf.DUMMYFUNCTION("""COMPUTED_VALUE"""),4.0)</f>
        <v>4</v>
      </c>
      <c r="V139" s="35">
        <f>IFERROR(__xludf.DUMMYFUNCTION("""COMPUTED_VALUE"""),4.0)</f>
        <v>4</v>
      </c>
      <c r="W139" s="35">
        <f>IFERROR(__xludf.DUMMYFUNCTION("""COMPUTED_VALUE"""),3.0)</f>
        <v>3</v>
      </c>
      <c r="X139" s="35">
        <f>IFERROR(__xludf.DUMMYFUNCTION("""COMPUTED_VALUE"""),4.0)</f>
        <v>4</v>
      </c>
      <c r="Y139" s="35">
        <f>IFERROR(__xludf.DUMMYFUNCTION("""COMPUTED_VALUE"""),4.0)</f>
        <v>4</v>
      </c>
      <c r="Z139" s="35">
        <f>IFERROR(__xludf.DUMMYFUNCTION("""COMPUTED_VALUE"""),4.0)</f>
        <v>4</v>
      </c>
    </row>
    <row r="140" ht="15.75" customHeight="1">
      <c r="C140" s="34">
        <v>2262.0</v>
      </c>
      <c r="D140" s="70" t="s">
        <v>291</v>
      </c>
      <c r="E140" s="71" t="str">
        <f>vlookup(C140,'NOC-List'!B$2:C$502,2,False)</f>
        <v>Engineering inspectors and regulatory officers</v>
      </c>
      <c r="F140" s="72">
        <v>2.0</v>
      </c>
      <c r="G140" s="72">
        <v>3.0</v>
      </c>
      <c r="H140" s="72">
        <v>3.0</v>
      </c>
      <c r="I140" s="72">
        <v>3.0</v>
      </c>
      <c r="J140" s="72">
        <v>3.0</v>
      </c>
      <c r="K140" s="72">
        <v>3.0</v>
      </c>
      <c r="L140" s="72">
        <v>4.0</v>
      </c>
      <c r="M140" s="72">
        <v>4.0</v>
      </c>
      <c r="N140" s="72">
        <v>4.0</v>
      </c>
      <c r="O140" s="73"/>
      <c r="P140" s="35">
        <f>IFERROR(__xludf.DUMMYFUNCTION("""COMPUTED_VALUE"""),7362.0)</f>
        <v>7362</v>
      </c>
      <c r="Q140" s="35" t="str">
        <f>IFERROR(__xludf.DUMMYFUNCTION("query(C140:N1133,""Select D,E,F,G,H,I,J,K,L,M WHERE ""&amp;P140&amp;"" =C Limit 1"")"),"Railway Conductors")</f>
        <v>Railway Conductors</v>
      </c>
      <c r="R140" s="35" t="str">
        <f>IFERROR(__xludf.DUMMYFUNCTION("""COMPUTED_VALUE"""),"Railway conductors and brakemen/women")</f>
        <v>Railway conductors and brakemen/women</v>
      </c>
      <c r="S140" s="35">
        <f>IFERROR(__xludf.DUMMYFUNCTION("""COMPUTED_VALUE"""),3.0)</f>
        <v>3</v>
      </c>
      <c r="T140" s="35">
        <f>IFERROR(__xludf.DUMMYFUNCTION("""COMPUTED_VALUE"""),3.0)</f>
        <v>3</v>
      </c>
      <c r="U140" s="35">
        <f>IFERROR(__xludf.DUMMYFUNCTION("""COMPUTED_VALUE"""),4.0)</f>
        <v>4</v>
      </c>
      <c r="V140" s="35">
        <f>IFERROR(__xludf.DUMMYFUNCTION("""COMPUTED_VALUE"""),4.0)</f>
        <v>4</v>
      </c>
      <c r="W140" s="35">
        <f>IFERROR(__xludf.DUMMYFUNCTION("""COMPUTED_VALUE"""),4.0)</f>
        <v>4</v>
      </c>
      <c r="X140" s="35">
        <f>IFERROR(__xludf.DUMMYFUNCTION("""COMPUTED_VALUE"""),3.0)</f>
        <v>3</v>
      </c>
      <c r="Y140" s="35">
        <f>IFERROR(__xludf.DUMMYFUNCTION("""COMPUTED_VALUE"""),4.0)</f>
        <v>4</v>
      </c>
      <c r="Z140" s="35">
        <f>IFERROR(__xludf.DUMMYFUNCTION("""COMPUTED_VALUE"""),4.0)</f>
        <v>4</v>
      </c>
    </row>
    <row r="141" ht="15.75" customHeight="1">
      <c r="C141" s="81">
        <v>3234.0</v>
      </c>
      <c r="D141" s="70" t="s">
        <v>292</v>
      </c>
      <c r="E141" s="71" t="str">
        <f>vlookup(C141,'NOC-List'!B$2:C$502,2,False)</f>
        <v>Paramedical occupations</v>
      </c>
      <c r="F141" s="72">
        <v>3.0</v>
      </c>
      <c r="G141" s="72">
        <v>3.0</v>
      </c>
      <c r="H141" s="72">
        <v>4.0</v>
      </c>
      <c r="I141" s="72">
        <v>4.0</v>
      </c>
      <c r="J141" s="72">
        <v>4.0</v>
      </c>
      <c r="K141" s="72">
        <v>4.0</v>
      </c>
      <c r="L141" s="72">
        <v>3.0</v>
      </c>
      <c r="M141" s="72">
        <v>3.0</v>
      </c>
      <c r="N141" s="72">
        <v>3.0</v>
      </c>
      <c r="O141" s="73"/>
      <c r="P141" s="35">
        <f>IFERROR(__xludf.DUMMYFUNCTION("""COMPUTED_VALUE"""),4167.0)</f>
        <v>4167</v>
      </c>
      <c r="Q141" s="35" t="str">
        <f>IFERROR(__xludf.DUMMYFUNCTION("query(C141:N1134,""Select D,E,F,G,H,I,J,K,L,M WHERE ""&amp;P141&amp;"" =C Limit 1"")"),"Recreation Consultants")</f>
        <v>Recreation Consultants</v>
      </c>
      <c r="R141" s="35" t="str">
        <f>IFERROR(__xludf.DUMMYFUNCTION("""COMPUTED_VALUE"""),"Recreation, sports and fitness policy researchers, consultants and program officers")</f>
        <v>Recreation, sports and fitness policy researchers, consultants and program officers</v>
      </c>
      <c r="S141" s="35">
        <f>IFERROR(__xludf.DUMMYFUNCTION("""COMPUTED_VALUE"""),3.0)</f>
        <v>3</v>
      </c>
      <c r="T141" s="35">
        <f>IFERROR(__xludf.DUMMYFUNCTION("""COMPUTED_VALUE"""),2.0)</f>
        <v>2</v>
      </c>
      <c r="U141" s="35">
        <f>IFERROR(__xludf.DUMMYFUNCTION("""COMPUTED_VALUE"""),3.0)</f>
        <v>3</v>
      </c>
      <c r="V141" s="35">
        <f>IFERROR(__xludf.DUMMYFUNCTION("""COMPUTED_VALUE"""),3.0)</f>
        <v>3</v>
      </c>
      <c r="W141" s="35">
        <f>IFERROR(__xludf.DUMMYFUNCTION("""COMPUTED_VALUE"""),3.0)</f>
        <v>3</v>
      </c>
      <c r="X141" s="35">
        <f>IFERROR(__xludf.DUMMYFUNCTION("""COMPUTED_VALUE"""),4.0)</f>
        <v>4</v>
      </c>
      <c r="Y141" s="35">
        <f>IFERROR(__xludf.DUMMYFUNCTION("""COMPUTED_VALUE"""),3.0)</f>
        <v>3</v>
      </c>
      <c r="Z141" s="35">
        <f>IFERROR(__xludf.DUMMYFUNCTION("""COMPUTED_VALUE"""),4.0)</f>
        <v>4</v>
      </c>
    </row>
    <row r="142" ht="15.75" customHeight="1">
      <c r="C142" s="34">
        <v>7291.0</v>
      </c>
      <c r="D142" s="70" t="s">
        <v>293</v>
      </c>
      <c r="E142" s="71" t="str">
        <f>vlookup(C142,'NOC-List'!B$2:C$502,2,False)</f>
        <v>Roofers and shinglers</v>
      </c>
      <c r="F142" s="72">
        <v>3.0</v>
      </c>
      <c r="G142" s="72">
        <v>4.0</v>
      </c>
      <c r="H142" s="72">
        <v>3.0</v>
      </c>
      <c r="I142" s="72">
        <v>3.0</v>
      </c>
      <c r="J142" s="72">
        <v>4.0</v>
      </c>
      <c r="K142" s="72">
        <v>4.0</v>
      </c>
      <c r="L142" s="72">
        <v>3.0</v>
      </c>
      <c r="M142" s="72">
        <v>3.0</v>
      </c>
      <c r="N142" s="72">
        <v>3.0</v>
      </c>
      <c r="O142" s="73"/>
      <c r="P142" s="35">
        <f>IFERROR(__xludf.DUMMYFUNCTION("""COMPUTED_VALUE"""),4421.0)</f>
        <v>4421</v>
      </c>
      <c r="Q142" s="35" t="str">
        <f>IFERROR(__xludf.DUMMYFUNCTION("query(C142:N1135,""Select D,E,F,G,H,I,J,K,L,M WHERE ""&amp;P142&amp;"" =C Limit 1"")"),"Sheriffs and Bailiffs")</f>
        <v>Sheriffs and Bailiffs</v>
      </c>
      <c r="R142" s="35" t="str">
        <f>IFERROR(__xludf.DUMMYFUNCTION("""COMPUTED_VALUE"""),"Sheriffs and bailiffs")</f>
        <v>Sheriffs and bailiffs</v>
      </c>
      <c r="S142" s="35">
        <f>IFERROR(__xludf.DUMMYFUNCTION("""COMPUTED_VALUE"""),3.0)</f>
        <v>3</v>
      </c>
      <c r="T142" s="35">
        <f>IFERROR(__xludf.DUMMYFUNCTION("""COMPUTED_VALUE"""),3.0)</f>
        <v>3</v>
      </c>
      <c r="U142" s="35">
        <f>IFERROR(__xludf.DUMMYFUNCTION("""COMPUTED_VALUE"""),4.0)</f>
        <v>4</v>
      </c>
      <c r="V142" s="35">
        <f>IFERROR(__xludf.DUMMYFUNCTION("""COMPUTED_VALUE"""),4.0)</f>
        <v>4</v>
      </c>
      <c r="W142" s="35">
        <f>IFERROR(__xludf.DUMMYFUNCTION("""COMPUTED_VALUE"""),4.0)</f>
        <v>4</v>
      </c>
      <c r="X142" s="35">
        <f>IFERROR(__xludf.DUMMYFUNCTION("""COMPUTED_VALUE"""),3.0)</f>
        <v>3</v>
      </c>
      <c r="Y142" s="35">
        <f>IFERROR(__xludf.DUMMYFUNCTION("""COMPUTED_VALUE"""),4.0)</f>
        <v>4</v>
      </c>
      <c r="Z142" s="35">
        <f>IFERROR(__xludf.DUMMYFUNCTION("""COMPUTED_VALUE"""),4.0)</f>
        <v>4</v>
      </c>
    </row>
    <row r="143" ht="15.75" customHeight="1">
      <c r="C143" s="34">
        <v>1414.0</v>
      </c>
      <c r="D143" s="70" t="s">
        <v>294</v>
      </c>
      <c r="E143" s="71" t="str">
        <f>vlookup(C143,'NOC-List'!B$2:C$502,2,False)</f>
        <v>Receptionists</v>
      </c>
      <c r="F143" s="72">
        <v>3.0</v>
      </c>
      <c r="G143" s="72">
        <v>3.0</v>
      </c>
      <c r="H143" s="72">
        <v>4.0</v>
      </c>
      <c r="I143" s="72">
        <v>4.0</v>
      </c>
      <c r="J143" s="72">
        <v>4.0</v>
      </c>
      <c r="K143" s="72">
        <v>3.0</v>
      </c>
      <c r="L143" s="72">
        <v>3.0</v>
      </c>
      <c r="M143" s="72">
        <v>3.0</v>
      </c>
      <c r="N143" s="72">
        <v>4.0</v>
      </c>
      <c r="O143" s="73"/>
      <c r="P143" s="35">
        <f>IFERROR(__xludf.DUMMYFUNCTION("""COMPUTED_VALUE"""),6522.0)</f>
        <v>6522</v>
      </c>
      <c r="Q143" s="35" t="str">
        <f>IFERROR(__xludf.DUMMYFUNCTION("query(C143:N1136,""Select D,E,F,G,H,I,J,K,L,M WHERE ""&amp;P143&amp;"" =C Limit 1"")"),"Ship Pursers")</f>
        <v>Ship Pursers</v>
      </c>
      <c r="R143" s="35" t="str">
        <f>IFERROR(__xludf.DUMMYFUNCTION("""COMPUTED_VALUE"""),"Pursers and flight attendants")</f>
        <v>Pursers and flight attendants</v>
      </c>
      <c r="S143" s="35">
        <f>IFERROR(__xludf.DUMMYFUNCTION("""COMPUTED_VALUE"""),3.0)</f>
        <v>3</v>
      </c>
      <c r="T143" s="35">
        <f>IFERROR(__xludf.DUMMYFUNCTION("""COMPUTED_VALUE"""),3.0)</f>
        <v>3</v>
      </c>
      <c r="U143" s="35">
        <f>IFERROR(__xludf.DUMMYFUNCTION("""COMPUTED_VALUE"""),4.0)</f>
        <v>4</v>
      </c>
      <c r="V143" s="35">
        <f>IFERROR(__xludf.DUMMYFUNCTION("""COMPUTED_VALUE"""),4.0)</f>
        <v>4</v>
      </c>
      <c r="W143" s="35">
        <f>IFERROR(__xludf.DUMMYFUNCTION("""COMPUTED_VALUE"""),4.0)</f>
        <v>4</v>
      </c>
      <c r="X143" s="35">
        <f>IFERROR(__xludf.DUMMYFUNCTION("""COMPUTED_VALUE"""),3.0)</f>
        <v>3</v>
      </c>
      <c r="Y143" s="35">
        <f>IFERROR(__xludf.DUMMYFUNCTION("""COMPUTED_VALUE"""),4.0)</f>
        <v>4</v>
      </c>
      <c r="Z143" s="35">
        <f>IFERROR(__xludf.DUMMYFUNCTION("""COMPUTED_VALUE"""),4.0)</f>
        <v>4</v>
      </c>
    </row>
    <row r="144" ht="15.75" customHeight="1">
      <c r="C144" s="34">
        <v>2151.0</v>
      </c>
      <c r="D144" s="70" t="s">
        <v>295</v>
      </c>
      <c r="E144" s="71" t="str">
        <f>vlookup(C144,'NOC-List'!B$2:C$502,2,False)</f>
        <v>Architects</v>
      </c>
      <c r="F144" s="72">
        <v>1.0</v>
      </c>
      <c r="G144" s="72">
        <v>2.0</v>
      </c>
      <c r="H144" s="72">
        <v>1.0</v>
      </c>
      <c r="I144" s="72">
        <v>1.0</v>
      </c>
      <c r="J144" s="72">
        <v>2.0</v>
      </c>
      <c r="K144" s="72">
        <v>3.0</v>
      </c>
      <c r="L144" s="72">
        <v>3.0</v>
      </c>
      <c r="M144" s="72">
        <v>3.0</v>
      </c>
      <c r="N144" s="72">
        <v>3.0</v>
      </c>
      <c r="O144" s="73"/>
      <c r="P144" s="35">
        <f>IFERROR(__xludf.DUMMYFUNCTION("""COMPUTED_VALUE"""),9217.0)</f>
        <v>9217</v>
      </c>
      <c r="Q144" s="35" t="str">
        <f>IFERROR(__xludf.DUMMYFUNCTION("query(C144:N1137,""Select D,E,F,G,H,I,J,K,L,M WHERE ""&amp;P144&amp;"" =C Limit 1"")"),"Supervisors, Fabric, Fur and Leather Products Manufacturing")</f>
        <v>Supervisors, Fabric, Fur and Leather Products Manufacturing</v>
      </c>
      <c r="R144" s="35" t="str">
        <f>IFERROR(__xludf.DUMMYFUNCTION("""COMPUTED_VALUE"""),"Supervisors, textile, fabric, fur and leather products processing and manufacturing")</f>
        <v>Supervisors, textile, fabric, fur and leather products processing and manufacturing</v>
      </c>
      <c r="S144" s="35">
        <f>IFERROR(__xludf.DUMMYFUNCTION("""COMPUTED_VALUE"""),3.0)</f>
        <v>3</v>
      </c>
      <c r="T144" s="35">
        <f>IFERROR(__xludf.DUMMYFUNCTION("""COMPUTED_VALUE"""),3.0)</f>
        <v>3</v>
      </c>
      <c r="U144" s="35">
        <f>IFERROR(__xludf.DUMMYFUNCTION("""COMPUTED_VALUE"""),3.0)</f>
        <v>3</v>
      </c>
      <c r="V144" s="35">
        <f>IFERROR(__xludf.DUMMYFUNCTION("""COMPUTED_VALUE"""),4.0)</f>
        <v>4</v>
      </c>
      <c r="W144" s="35">
        <f>IFERROR(__xludf.DUMMYFUNCTION("""COMPUTED_VALUE"""),3.0)</f>
        <v>3</v>
      </c>
      <c r="X144" s="35">
        <f>IFERROR(__xludf.DUMMYFUNCTION("""COMPUTED_VALUE"""),3.0)</f>
        <v>3</v>
      </c>
      <c r="Y144" s="35">
        <f>IFERROR(__xludf.DUMMYFUNCTION("""COMPUTED_VALUE"""),4.0)</f>
        <v>4</v>
      </c>
      <c r="Z144" s="35">
        <f>IFERROR(__xludf.DUMMYFUNCTION("""COMPUTED_VALUE"""),4.0)</f>
        <v>4</v>
      </c>
    </row>
    <row r="145" ht="15.75" customHeight="1">
      <c r="C145" s="34">
        <v>8611.0</v>
      </c>
      <c r="D145" s="70" t="s">
        <v>296</v>
      </c>
      <c r="E145" s="71" t="str">
        <f>vlookup(C145,'NOC-List'!B$2:C$502,2,False)</f>
        <v>Harvesting labourers</v>
      </c>
      <c r="F145" s="72">
        <v>4.0</v>
      </c>
      <c r="G145" s="72">
        <v>4.0</v>
      </c>
      <c r="H145" s="72">
        <v>4.0</v>
      </c>
      <c r="I145" s="72">
        <v>4.0</v>
      </c>
      <c r="J145" s="72">
        <v>4.0</v>
      </c>
      <c r="K145" s="72">
        <v>5.0</v>
      </c>
      <c r="L145" s="72">
        <v>3.0</v>
      </c>
      <c r="M145" s="72">
        <v>4.0</v>
      </c>
      <c r="N145" s="72">
        <v>3.0</v>
      </c>
      <c r="O145" s="73"/>
      <c r="P145" s="35">
        <f>IFERROR(__xludf.DUMMYFUNCTION("""COMPUTED_VALUE"""),9224.0)</f>
        <v>9224</v>
      </c>
      <c r="Q145" s="35" t="str">
        <f>IFERROR(__xludf.DUMMYFUNCTION("query(C145:N1138,""Select D,E,F,G,H,I,J,K,L,M WHERE ""&amp;P145&amp;"" =C Limit 1"")"),"Supervisors, Furniture and Fixtures Manufacturing")</f>
        <v>Supervisors, Furniture and Fixtures Manufacturing</v>
      </c>
      <c r="R145" s="35" t="str">
        <f>IFERROR(__xludf.DUMMYFUNCTION("""COMPUTED_VALUE"""),"Supervisors, furniture and fixtures manufacturing")</f>
        <v>Supervisors, furniture and fixtures manufacturing</v>
      </c>
      <c r="S145" s="35">
        <f>IFERROR(__xludf.DUMMYFUNCTION("""COMPUTED_VALUE"""),3.0)</f>
        <v>3</v>
      </c>
      <c r="T145" s="35">
        <f>IFERROR(__xludf.DUMMYFUNCTION("""COMPUTED_VALUE"""),3.0)</f>
        <v>3</v>
      </c>
      <c r="U145" s="35">
        <f>IFERROR(__xludf.DUMMYFUNCTION("""COMPUTED_VALUE"""),3.0)</f>
        <v>3</v>
      </c>
      <c r="V145" s="35">
        <f>IFERROR(__xludf.DUMMYFUNCTION("""COMPUTED_VALUE"""),4.0)</f>
        <v>4</v>
      </c>
      <c r="W145" s="35">
        <f>IFERROR(__xludf.DUMMYFUNCTION("""COMPUTED_VALUE"""),3.0)</f>
        <v>3</v>
      </c>
      <c r="X145" s="35">
        <f>IFERROR(__xludf.DUMMYFUNCTION("""COMPUTED_VALUE"""),3.0)</f>
        <v>3</v>
      </c>
      <c r="Y145" s="35">
        <f>IFERROR(__xludf.DUMMYFUNCTION("""COMPUTED_VALUE"""),4.0)</f>
        <v>4</v>
      </c>
      <c r="Z145" s="35">
        <f>IFERROR(__xludf.DUMMYFUNCTION("""COMPUTED_VALUE"""),4.0)</f>
        <v>4</v>
      </c>
    </row>
    <row r="146" ht="15.75" customHeight="1">
      <c r="C146" s="34">
        <v>3011.0</v>
      </c>
      <c r="D146" s="70" t="s">
        <v>297</v>
      </c>
      <c r="E146" s="71" t="str">
        <f>vlookup(C146,'NOC-List'!B$2:C$502,2,False)</f>
        <v>Nursing co-ordinators and supervisors</v>
      </c>
      <c r="F146" s="72">
        <v>2.0</v>
      </c>
      <c r="G146" s="72">
        <v>2.0</v>
      </c>
      <c r="H146" s="72">
        <v>3.0</v>
      </c>
      <c r="I146" s="72">
        <v>3.0</v>
      </c>
      <c r="J146" s="72">
        <v>3.0</v>
      </c>
      <c r="K146" s="72">
        <v>2.0</v>
      </c>
      <c r="L146" s="72">
        <v>4.0</v>
      </c>
      <c r="M146" s="72">
        <v>4.0</v>
      </c>
      <c r="N146" s="72">
        <v>4.0</v>
      </c>
      <c r="O146" s="73"/>
      <c r="P146" s="35">
        <f>IFERROR(__xludf.DUMMYFUNCTION("""COMPUTED_VALUE"""),8211.0)</f>
        <v>8211</v>
      </c>
      <c r="Q146" s="35" t="str">
        <f>IFERROR(__xludf.DUMMYFUNCTION("query(C146:N1139,""Select D,E,F,G,H,I,J,K,L,M WHERE ""&amp;P146&amp;"" =C Limit 1"")"),"Supervisors, Logging and Forestry")</f>
        <v>Supervisors, Logging and Forestry</v>
      </c>
      <c r="R146" s="35" t="str">
        <f>IFERROR(__xludf.DUMMYFUNCTION("""COMPUTED_VALUE"""),"Supervisors, logging and forestry")</f>
        <v>Supervisors, logging and forestry</v>
      </c>
      <c r="S146" s="35">
        <f>IFERROR(__xludf.DUMMYFUNCTION("""COMPUTED_VALUE"""),3.0)</f>
        <v>3</v>
      </c>
      <c r="T146" s="35">
        <f>IFERROR(__xludf.DUMMYFUNCTION("""COMPUTED_VALUE"""),3.0)</f>
        <v>3</v>
      </c>
      <c r="U146" s="35">
        <f>IFERROR(__xludf.DUMMYFUNCTION("""COMPUTED_VALUE"""),3.0)</f>
        <v>3</v>
      </c>
      <c r="V146" s="35">
        <f>IFERROR(__xludf.DUMMYFUNCTION("""COMPUTED_VALUE"""),3.0)</f>
        <v>3</v>
      </c>
      <c r="W146" s="35">
        <f>IFERROR(__xludf.DUMMYFUNCTION("""COMPUTED_VALUE"""),4.0)</f>
        <v>4</v>
      </c>
      <c r="X146" s="35">
        <f>IFERROR(__xludf.DUMMYFUNCTION("""COMPUTED_VALUE"""),3.0)</f>
        <v>3</v>
      </c>
      <c r="Y146" s="35">
        <f>IFERROR(__xludf.DUMMYFUNCTION("""COMPUTED_VALUE"""),4.0)</f>
        <v>4</v>
      </c>
      <c r="Z146" s="35">
        <f>IFERROR(__xludf.DUMMYFUNCTION("""COMPUTED_VALUE"""),4.0)</f>
        <v>4</v>
      </c>
    </row>
    <row r="147" ht="15.75" customHeight="1">
      <c r="C147" s="34">
        <v>4164.0</v>
      </c>
      <c r="D147" s="70" t="s">
        <v>298</v>
      </c>
      <c r="E147" s="71" t="str">
        <f>vlookup(C147,'NOC-List'!B$2:C$502,2,False)</f>
        <v>Social policy researchers, consultants and program officers</v>
      </c>
      <c r="F147" s="72">
        <v>2.0</v>
      </c>
      <c r="G147" s="72">
        <v>2.0</v>
      </c>
      <c r="H147" s="72">
        <v>3.0</v>
      </c>
      <c r="I147" s="72">
        <v>4.0</v>
      </c>
      <c r="J147" s="72">
        <v>3.0</v>
      </c>
      <c r="K147" s="72">
        <v>3.0</v>
      </c>
      <c r="L147" s="72">
        <v>4.0</v>
      </c>
      <c r="M147" s="72">
        <v>4.0</v>
      </c>
      <c r="N147" s="72">
        <v>4.0</v>
      </c>
      <c r="O147" s="73"/>
      <c r="P147" s="35">
        <f>IFERROR(__xludf.DUMMYFUNCTION("""COMPUTED_VALUE"""),9221.0)</f>
        <v>9221</v>
      </c>
      <c r="Q147" s="35" t="str">
        <f>IFERROR(__xludf.DUMMYFUNCTION("query(C147:N1140,""Select D,E,F,G,H,I,J,K,L,M WHERE ""&amp;P147&amp;"" =C Limit 1"")"),"Supervisors, Motor Vehicle Assembling")</f>
        <v>Supervisors, Motor Vehicle Assembling</v>
      </c>
      <c r="R147" s="35" t="str">
        <f>IFERROR(__xludf.DUMMYFUNCTION("""COMPUTED_VALUE"""),"Supervisors, motor vehicle assembling")</f>
        <v>Supervisors, motor vehicle assembling</v>
      </c>
      <c r="S147" s="35">
        <f>IFERROR(__xludf.DUMMYFUNCTION("""COMPUTED_VALUE"""),3.0)</f>
        <v>3</v>
      </c>
      <c r="T147" s="35">
        <f>IFERROR(__xludf.DUMMYFUNCTION("""COMPUTED_VALUE"""),3.0)</f>
        <v>3</v>
      </c>
      <c r="U147" s="35">
        <f>IFERROR(__xludf.DUMMYFUNCTION("""COMPUTED_VALUE"""),3.0)</f>
        <v>3</v>
      </c>
      <c r="V147" s="35">
        <f>IFERROR(__xludf.DUMMYFUNCTION("""COMPUTED_VALUE"""),4.0)</f>
        <v>4</v>
      </c>
      <c r="W147" s="35">
        <f>IFERROR(__xludf.DUMMYFUNCTION("""COMPUTED_VALUE"""),3.0)</f>
        <v>3</v>
      </c>
      <c r="X147" s="35">
        <f>IFERROR(__xludf.DUMMYFUNCTION("""COMPUTED_VALUE"""),3.0)</f>
        <v>3</v>
      </c>
      <c r="Y147" s="35">
        <f>IFERROR(__xludf.DUMMYFUNCTION("""COMPUTED_VALUE"""),4.0)</f>
        <v>4</v>
      </c>
      <c r="Z147" s="35">
        <f>IFERROR(__xludf.DUMMYFUNCTION("""COMPUTED_VALUE"""),4.0)</f>
        <v>4</v>
      </c>
    </row>
    <row r="148" ht="15.75" customHeight="1">
      <c r="C148" s="81">
        <v>6561.0</v>
      </c>
      <c r="D148" s="70" t="s">
        <v>299</v>
      </c>
      <c r="E148" s="71" t="str">
        <f>vlookup(C148,'NOC-List'!B$2:C$502,2,False)</f>
        <v>Image, social and other personal consultants</v>
      </c>
      <c r="F148" s="72">
        <v>3.0</v>
      </c>
      <c r="G148" s="72">
        <v>3.0</v>
      </c>
      <c r="H148" s="72">
        <v>4.0</v>
      </c>
      <c r="I148" s="72">
        <v>4.0</v>
      </c>
      <c r="J148" s="72">
        <v>3.0</v>
      </c>
      <c r="K148" s="72">
        <v>4.0</v>
      </c>
      <c r="L148" s="72">
        <v>4.0</v>
      </c>
      <c r="M148" s="72">
        <v>4.0</v>
      </c>
      <c r="N148" s="72">
        <v>4.0</v>
      </c>
      <c r="O148" s="73"/>
      <c r="P148" s="35">
        <f>IFERROR(__xludf.DUMMYFUNCTION("""COMPUTED_VALUE"""),2283.0)</f>
        <v>2283</v>
      </c>
      <c r="Q148" s="35" t="str">
        <f>IFERROR(__xludf.DUMMYFUNCTION("query(C148:N1141,""Select D,E,F,G,H,I,J,K,L,M WHERE ""&amp;P148&amp;"" =C Limit 1"")"),"Systems Testing Technicians")</f>
        <v>Systems Testing Technicians</v>
      </c>
      <c r="R148" s="35" t="str">
        <f>IFERROR(__xludf.DUMMYFUNCTION("""COMPUTED_VALUE"""),"Information systems testing technicians")</f>
        <v>Information systems testing technicians</v>
      </c>
      <c r="S148" s="35">
        <f>IFERROR(__xludf.DUMMYFUNCTION("""COMPUTED_VALUE"""),2.0)</f>
        <v>2</v>
      </c>
      <c r="T148" s="35">
        <f>IFERROR(__xludf.DUMMYFUNCTION("""COMPUTED_VALUE"""),2.0)</f>
        <v>2</v>
      </c>
      <c r="U148" s="35">
        <f>IFERROR(__xludf.DUMMYFUNCTION("""COMPUTED_VALUE"""),2.0)</f>
        <v>2</v>
      </c>
      <c r="V148" s="35">
        <f>IFERROR(__xludf.DUMMYFUNCTION("""COMPUTED_VALUE"""),3.0)</f>
        <v>3</v>
      </c>
      <c r="W148" s="35">
        <f>IFERROR(__xludf.DUMMYFUNCTION("""COMPUTED_VALUE"""),3.0)</f>
        <v>3</v>
      </c>
      <c r="X148" s="35">
        <f>IFERROR(__xludf.DUMMYFUNCTION("""COMPUTED_VALUE"""),3.0)</f>
        <v>3</v>
      </c>
      <c r="Y148" s="35">
        <f>IFERROR(__xludf.DUMMYFUNCTION("""COMPUTED_VALUE"""),4.0)</f>
        <v>4</v>
      </c>
      <c r="Z148" s="35">
        <f>IFERROR(__xludf.DUMMYFUNCTION("""COMPUTED_VALUE"""),4.0)</f>
        <v>4</v>
      </c>
    </row>
    <row r="149" ht="15.75" customHeight="1">
      <c r="C149" s="34">
        <v>9462.0</v>
      </c>
      <c r="D149" s="70" t="s">
        <v>300</v>
      </c>
      <c r="E149" s="71" t="str">
        <f>vlookup(C149,'NOC-List'!B$2:C$502,2,False)</f>
        <v>Industrial butchers and meat cutters, poultry preparers and related workers</v>
      </c>
      <c r="F149" s="72">
        <v>3.0</v>
      </c>
      <c r="G149" s="72">
        <v>4.0</v>
      </c>
      <c r="H149" s="72">
        <v>4.0</v>
      </c>
      <c r="I149" s="72">
        <v>4.0</v>
      </c>
      <c r="J149" s="72">
        <v>4.0</v>
      </c>
      <c r="K149" s="72">
        <v>5.0</v>
      </c>
      <c r="L149" s="72">
        <v>4.0</v>
      </c>
      <c r="M149" s="72">
        <v>4.0</v>
      </c>
      <c r="N149" s="72">
        <v>3.0</v>
      </c>
      <c r="O149" s="73"/>
      <c r="P149" s="35">
        <f>IFERROR(__xludf.DUMMYFUNCTION("""COMPUTED_VALUE"""),9441.0)</f>
        <v>9441</v>
      </c>
      <c r="Q149" s="35" t="str">
        <f>IFERROR(__xludf.DUMMYFUNCTION("query(C149:N1142,""Select D,E,F,G,H,I,J,K,L,M WHERE ""&amp;P149&amp;"" =C Limit 1"")"),"Textile Dyeing and Finishing Machine Operators")</f>
        <v>Textile Dyeing and Finishing Machine Operators</v>
      </c>
      <c r="R149" s="35" t="str">
        <f>IFERROR(__xludf.DUMMYFUNCTION("""COMPUTED_VALUE"""),"Textile fibre and yarn, hide and pelt processing machine operators and workers")</f>
        <v>Textile fibre and yarn, hide and pelt processing machine operators and workers</v>
      </c>
      <c r="S149" s="35">
        <f>IFERROR(__xludf.DUMMYFUNCTION("""COMPUTED_VALUE"""),4.0)</f>
        <v>4</v>
      </c>
      <c r="T149" s="35">
        <f>IFERROR(__xludf.DUMMYFUNCTION("""COMPUTED_VALUE"""),4.0)</f>
        <v>4</v>
      </c>
      <c r="U149" s="35">
        <f>IFERROR(__xludf.DUMMYFUNCTION("""COMPUTED_VALUE"""),4.0)</f>
        <v>4</v>
      </c>
      <c r="V149" s="35">
        <f>IFERROR(__xludf.DUMMYFUNCTION("""COMPUTED_VALUE"""),4.0)</f>
        <v>4</v>
      </c>
      <c r="W149" s="35">
        <f>IFERROR(__xludf.DUMMYFUNCTION("""COMPUTED_VALUE"""),4.0)</f>
        <v>4</v>
      </c>
      <c r="X149" s="35">
        <f>IFERROR(__xludf.DUMMYFUNCTION("""COMPUTED_VALUE"""),4.0)</f>
        <v>4</v>
      </c>
      <c r="Y149" s="35">
        <f>IFERROR(__xludf.DUMMYFUNCTION("""COMPUTED_VALUE"""),4.0)</f>
        <v>4</v>
      </c>
      <c r="Z149" s="35">
        <f>IFERROR(__xludf.DUMMYFUNCTION("""COMPUTED_VALUE"""),4.0)</f>
        <v>4</v>
      </c>
    </row>
    <row r="150" ht="15.75" customHeight="1">
      <c r="C150" s="34">
        <v>9462.0</v>
      </c>
      <c r="D150" s="70" t="s">
        <v>301</v>
      </c>
      <c r="E150" s="71" t="str">
        <f>vlookup(C150,'NOC-List'!B$2:C$502,2,False)</f>
        <v>Industrial butchers and meat cutters, poultry preparers and related workers</v>
      </c>
      <c r="F150" s="72">
        <v>3.0</v>
      </c>
      <c r="G150" s="72">
        <v>4.0</v>
      </c>
      <c r="H150" s="72">
        <v>4.0</v>
      </c>
      <c r="I150" s="72">
        <v>4.0</v>
      </c>
      <c r="J150" s="72">
        <v>4.0</v>
      </c>
      <c r="K150" s="72">
        <v>5.0</v>
      </c>
      <c r="L150" s="72">
        <v>4.0</v>
      </c>
      <c r="M150" s="72">
        <v>4.0</v>
      </c>
      <c r="N150" s="72">
        <v>3.0</v>
      </c>
      <c r="O150" s="73"/>
      <c r="P150" s="35">
        <f>IFERROR(__xludf.DUMMYFUNCTION("""COMPUTED_VALUE"""),731.0)</f>
        <v>731</v>
      </c>
      <c r="Q150" s="35" t="str">
        <f>IFERROR(__xludf.DUMMYFUNCTION("query(C150:N1143,""Select D,E,F,G,H,I,J,K,L,M WHERE ""&amp;P150&amp;"" =C Limit 1"")"),"Transportation Managers, Freight Traffic")</f>
        <v>Transportation Managers, Freight Traffic</v>
      </c>
      <c r="R150" s="35" t="str">
        <f>IFERROR(__xludf.DUMMYFUNCTION("""COMPUTED_VALUE"""),"Managers in transportation")</f>
        <v>Managers in transportation</v>
      </c>
      <c r="S150" s="35">
        <f>IFERROR(__xludf.DUMMYFUNCTION("""COMPUTED_VALUE"""),2.0)</f>
        <v>2</v>
      </c>
      <c r="T150" s="35">
        <f>IFERROR(__xludf.DUMMYFUNCTION("""COMPUTED_VALUE"""),2.0)</f>
        <v>2</v>
      </c>
      <c r="U150" s="35">
        <f>IFERROR(__xludf.DUMMYFUNCTION("""COMPUTED_VALUE"""),3.0)</f>
        <v>3</v>
      </c>
      <c r="V150" s="35">
        <f>IFERROR(__xludf.DUMMYFUNCTION("""COMPUTED_VALUE"""),3.0)</f>
        <v>3</v>
      </c>
      <c r="W150" s="35">
        <f>IFERROR(__xludf.DUMMYFUNCTION("""COMPUTED_VALUE"""),4.0)</f>
        <v>4</v>
      </c>
      <c r="X150" s="35">
        <f>IFERROR(__xludf.DUMMYFUNCTION("""COMPUTED_VALUE"""),3.0)</f>
        <v>3</v>
      </c>
      <c r="Y150" s="35">
        <f>IFERROR(__xludf.DUMMYFUNCTION("""COMPUTED_VALUE"""),4.0)</f>
        <v>4</v>
      </c>
      <c r="Z150" s="35">
        <f>IFERROR(__xludf.DUMMYFUNCTION("""COMPUTED_VALUE"""),4.0)</f>
        <v>4</v>
      </c>
    </row>
    <row r="151" ht="15.75" customHeight="1">
      <c r="C151" s="34">
        <v>2171.0</v>
      </c>
      <c r="D151" s="70" t="s">
        <v>302</v>
      </c>
      <c r="E151" s="71" t="str">
        <f>vlookup(C151,'NOC-List'!B$2:C$502,2,False)</f>
        <v>Information systems analysts and consultants</v>
      </c>
      <c r="F151" s="72">
        <v>2.0</v>
      </c>
      <c r="G151" s="72">
        <v>2.0</v>
      </c>
      <c r="H151" s="72">
        <v>2.0</v>
      </c>
      <c r="I151" s="72">
        <v>2.0</v>
      </c>
      <c r="J151" s="72">
        <v>2.0</v>
      </c>
      <c r="K151" s="72">
        <v>3.0</v>
      </c>
      <c r="L151" s="72">
        <v>4.0</v>
      </c>
      <c r="M151" s="72">
        <v>4.0</v>
      </c>
      <c r="N151" s="72">
        <v>4.0</v>
      </c>
      <c r="O151" s="73"/>
      <c r="P151" s="35">
        <f>IFERROR(__xludf.DUMMYFUNCTION("""COMPUTED_VALUE"""),6521.0)</f>
        <v>6521</v>
      </c>
      <c r="Q151" s="35" t="str">
        <f>IFERROR(__xludf.DUMMYFUNCTION("query(C151:N1144,""Select D,E,F,G,H,I,J,K,L,M WHERE ""&amp;P151&amp;"" =C Limit 1"")"),"Travel Counsellors")</f>
        <v>Travel Counsellors</v>
      </c>
      <c r="R151" s="35" t="str">
        <f>IFERROR(__xludf.DUMMYFUNCTION("""COMPUTED_VALUE"""),"Travel counsellors")</f>
        <v>Travel counsellors</v>
      </c>
      <c r="S151" s="35">
        <f>IFERROR(__xludf.DUMMYFUNCTION("""COMPUTED_VALUE"""),3.0)</f>
        <v>3</v>
      </c>
      <c r="T151" s="35">
        <f>IFERROR(__xludf.DUMMYFUNCTION("""COMPUTED_VALUE"""),3.0)</f>
        <v>3</v>
      </c>
      <c r="U151" s="35">
        <f>IFERROR(__xludf.DUMMYFUNCTION("""COMPUTED_VALUE"""),3.0)</f>
        <v>3</v>
      </c>
      <c r="V151" s="35">
        <f>IFERROR(__xludf.DUMMYFUNCTION("""COMPUTED_VALUE"""),4.0)</f>
        <v>4</v>
      </c>
      <c r="W151" s="35">
        <f>IFERROR(__xludf.DUMMYFUNCTION("""COMPUTED_VALUE"""),4.0)</f>
        <v>4</v>
      </c>
      <c r="X151" s="35">
        <f>IFERROR(__xludf.DUMMYFUNCTION("""COMPUTED_VALUE"""),3.0)</f>
        <v>3</v>
      </c>
      <c r="Y151" s="35">
        <f>IFERROR(__xludf.DUMMYFUNCTION("""COMPUTED_VALUE"""),4.0)</f>
        <v>4</v>
      </c>
      <c r="Z151" s="35">
        <f>IFERROR(__xludf.DUMMYFUNCTION("""COMPUTED_VALUE"""),3.0)</f>
        <v>3</v>
      </c>
    </row>
    <row r="152" ht="15.75" customHeight="1">
      <c r="C152" s="34">
        <v>9525.0</v>
      </c>
      <c r="D152" s="70" t="s">
        <v>303</v>
      </c>
      <c r="E152" s="71" t="str">
        <f>vlookup(C152,'NOC-List'!B$2:C$502,2,False)</f>
        <v>Assemblers, fabricators and inspectors, industrial electrical motors and transformers</v>
      </c>
      <c r="F152" s="72">
        <v>3.0</v>
      </c>
      <c r="G152" s="72">
        <v>3.0</v>
      </c>
      <c r="H152" s="72">
        <v>3.0</v>
      </c>
      <c r="I152" s="72">
        <v>3.0</v>
      </c>
      <c r="J152" s="72">
        <v>3.0</v>
      </c>
      <c r="K152" s="72">
        <v>4.0</v>
      </c>
      <c r="L152" s="72">
        <v>4.0</v>
      </c>
      <c r="M152" s="72">
        <v>4.0</v>
      </c>
      <c r="N152" s="72">
        <v>4.0</v>
      </c>
      <c r="O152" s="73"/>
      <c r="P152" s="35">
        <f>IFERROR(__xludf.DUMMYFUNCTION("""COMPUTED_VALUE"""),2153.0)</f>
        <v>2153</v>
      </c>
      <c r="Q152" s="35" t="str">
        <f>IFERROR(__xludf.DUMMYFUNCTION("query(C152:N1145,""Select D,E,F,G,H,I,J,K,L,M WHERE ""&amp;P152&amp;"" =C Limit 1"")"),"Urban and Land Use Planners")</f>
        <v>Urban and Land Use Planners</v>
      </c>
      <c r="R152" s="35" t="str">
        <f>IFERROR(__xludf.DUMMYFUNCTION("""COMPUTED_VALUE"""),"Urban and land use planners")</f>
        <v>Urban and land use planners</v>
      </c>
      <c r="S152" s="35">
        <f>IFERROR(__xludf.DUMMYFUNCTION("""COMPUTED_VALUE"""),2.0)</f>
        <v>2</v>
      </c>
      <c r="T152" s="35">
        <f>IFERROR(__xludf.DUMMYFUNCTION("""COMPUTED_VALUE"""),2.0)</f>
        <v>2</v>
      </c>
      <c r="U152" s="35">
        <f>IFERROR(__xludf.DUMMYFUNCTION("""COMPUTED_VALUE"""),2.0)</f>
        <v>2</v>
      </c>
      <c r="V152" s="35">
        <f>IFERROR(__xludf.DUMMYFUNCTION("""COMPUTED_VALUE"""),3.0)</f>
        <v>3</v>
      </c>
      <c r="W152" s="35">
        <f>IFERROR(__xludf.DUMMYFUNCTION("""COMPUTED_VALUE"""),3.0)</f>
        <v>3</v>
      </c>
      <c r="X152" s="35">
        <f>IFERROR(__xludf.DUMMYFUNCTION("""COMPUTED_VALUE"""),3.0)</f>
        <v>3</v>
      </c>
      <c r="Y152" s="35">
        <f>IFERROR(__xludf.DUMMYFUNCTION("""COMPUTED_VALUE"""),4.0)</f>
        <v>4</v>
      </c>
      <c r="Z152" s="35">
        <f>IFERROR(__xludf.DUMMYFUNCTION("""COMPUTED_VALUE"""),4.0)</f>
        <v>4</v>
      </c>
    </row>
    <row r="153" ht="15.75" customHeight="1">
      <c r="C153" s="34">
        <v>6733.0</v>
      </c>
      <c r="D153" s="70" t="s">
        <v>304</v>
      </c>
      <c r="E153" s="71" t="str">
        <f>vlookup(C153,'NOC-List'!B$2:C$502,2,False)</f>
        <v>Janitors, caretakers and building superintendents</v>
      </c>
      <c r="F153" s="72">
        <v>4.0</v>
      </c>
      <c r="G153" s="72">
        <v>4.0</v>
      </c>
      <c r="H153" s="72">
        <v>4.0</v>
      </c>
      <c r="I153" s="72">
        <v>4.0</v>
      </c>
      <c r="J153" s="72">
        <v>4.0</v>
      </c>
      <c r="K153" s="72">
        <v>4.0</v>
      </c>
      <c r="L153" s="72">
        <v>4.0</v>
      </c>
      <c r="M153" s="72">
        <v>4.0</v>
      </c>
      <c r="N153" s="72">
        <v>3.0</v>
      </c>
      <c r="O153" s="73"/>
      <c r="P153" s="35">
        <f>IFERROR(__xludf.DUMMYFUNCTION("""COMPUTED_VALUE"""),632.0)</f>
        <v>632</v>
      </c>
      <c r="Q153" s="35" t="str">
        <f>IFERROR(__xludf.DUMMYFUNCTION("query(C153:N1146,""Select D,E,F,G,H,I,J,K,L,M WHERE ""&amp;P153&amp;"" =C Limit 1"")"),"Accommodation Service Managers")</f>
        <v>Accommodation Service Managers</v>
      </c>
      <c r="R153" s="35" t="str">
        <f>IFERROR(__xludf.DUMMYFUNCTION("""COMPUTED_VALUE"""),"Accommodation service managers")</f>
        <v>Accommodation service managers</v>
      </c>
      <c r="S153" s="35">
        <f>IFERROR(__xludf.DUMMYFUNCTION("""COMPUTED_VALUE"""),3.0)</f>
        <v>3</v>
      </c>
      <c r="T153" s="35">
        <f>IFERROR(__xludf.DUMMYFUNCTION("""COMPUTED_VALUE"""),3.0)</f>
        <v>3</v>
      </c>
      <c r="U153" s="35">
        <f>IFERROR(__xludf.DUMMYFUNCTION("""COMPUTED_VALUE"""),3.0)</f>
        <v>3</v>
      </c>
      <c r="V153" s="35">
        <f>IFERROR(__xludf.DUMMYFUNCTION("""COMPUTED_VALUE"""),4.0)</f>
        <v>4</v>
      </c>
      <c r="W153" s="35">
        <f>IFERROR(__xludf.DUMMYFUNCTION("""COMPUTED_VALUE"""),4.0)</f>
        <v>4</v>
      </c>
      <c r="X153" s="35">
        <f>IFERROR(__xludf.DUMMYFUNCTION("""COMPUTED_VALUE"""),3.0)</f>
        <v>3</v>
      </c>
      <c r="Y153" s="35">
        <f>IFERROR(__xludf.DUMMYFUNCTION("""COMPUTED_VALUE"""),4.0)</f>
        <v>4</v>
      </c>
      <c r="Z153" s="35">
        <f>IFERROR(__xludf.DUMMYFUNCTION("""COMPUTED_VALUE"""),4.0)</f>
        <v>4</v>
      </c>
    </row>
    <row r="154" ht="15.75" customHeight="1">
      <c r="C154" s="34">
        <v>9613.0</v>
      </c>
      <c r="D154" s="70" t="s">
        <v>305</v>
      </c>
      <c r="E154" s="71" t="str">
        <f>vlookup(C154,'NOC-List'!B$2:C$502,2,False)</f>
        <v>Labourers in chemical products processing and utilities</v>
      </c>
      <c r="F154" s="72">
        <v>4.0</v>
      </c>
      <c r="G154" s="72">
        <v>4.0</v>
      </c>
      <c r="H154" s="72">
        <v>4.0</v>
      </c>
      <c r="I154" s="72">
        <v>4.0</v>
      </c>
      <c r="J154" s="72">
        <v>4.0</v>
      </c>
      <c r="K154" s="72">
        <v>5.0</v>
      </c>
      <c r="L154" s="72">
        <v>3.0</v>
      </c>
      <c r="M154" s="72">
        <v>4.0</v>
      </c>
      <c r="N154" s="72">
        <v>3.0</v>
      </c>
      <c r="O154" s="73"/>
      <c r="P154" s="35">
        <f>IFERROR(__xludf.DUMMYFUNCTION("""COMPUTED_VALUE"""),1431.0)</f>
        <v>1431</v>
      </c>
      <c r="Q154" s="35" t="str">
        <f>IFERROR(__xludf.DUMMYFUNCTION("query(C154:N1147,""Select D,E,F,G,H,I,J,K,L,M WHERE ""&amp;P154&amp;"" =C Limit 1"")"),"Accounting and Related Clerks")</f>
        <v>Accounting and Related Clerks</v>
      </c>
      <c r="R154" s="35" t="str">
        <f>IFERROR(__xludf.DUMMYFUNCTION("""COMPUTED_VALUE"""),"Accounting and related clerks")</f>
        <v>Accounting and related clerks</v>
      </c>
      <c r="S154" s="35">
        <f>IFERROR(__xludf.DUMMYFUNCTION("""COMPUTED_VALUE"""),3.0)</f>
        <v>3</v>
      </c>
      <c r="T154" s="35">
        <f>IFERROR(__xludf.DUMMYFUNCTION("""COMPUTED_VALUE"""),3.0)</f>
        <v>3</v>
      </c>
      <c r="U154" s="35">
        <f>IFERROR(__xludf.DUMMYFUNCTION("""COMPUTED_VALUE"""),3.0)</f>
        <v>3</v>
      </c>
      <c r="V154" s="35">
        <f>IFERROR(__xludf.DUMMYFUNCTION("""COMPUTED_VALUE"""),4.0)</f>
        <v>4</v>
      </c>
      <c r="W154" s="35">
        <f>IFERROR(__xludf.DUMMYFUNCTION("""COMPUTED_VALUE"""),4.0)</f>
        <v>4</v>
      </c>
      <c r="X154" s="35">
        <f>IFERROR(__xludf.DUMMYFUNCTION("""COMPUTED_VALUE"""),2.0)</f>
        <v>2</v>
      </c>
      <c r="Y154" s="35">
        <f>IFERROR(__xludf.DUMMYFUNCTION("""COMPUTED_VALUE"""),4.0)</f>
        <v>4</v>
      </c>
      <c r="Z154" s="35">
        <f>IFERROR(__xludf.DUMMYFUNCTION("""COMPUTED_VALUE"""),3.0)</f>
        <v>3</v>
      </c>
    </row>
    <row r="155" ht="15.75" customHeight="1">
      <c r="C155" s="81">
        <v>9527.0</v>
      </c>
      <c r="D155" s="70" t="s">
        <v>306</v>
      </c>
      <c r="E155" s="71" t="str">
        <f>vlookup(C155,'NOC-List'!B$2:C$502,2,False)</f>
        <v>Machine operators and inspectors, electrical apparatus manufacturing</v>
      </c>
      <c r="F155" s="72">
        <v>4.0</v>
      </c>
      <c r="G155" s="72">
        <v>4.0</v>
      </c>
      <c r="H155" s="72">
        <v>4.0</v>
      </c>
      <c r="I155" s="72">
        <v>4.0</v>
      </c>
      <c r="J155" s="72">
        <v>4.0</v>
      </c>
      <c r="K155" s="72">
        <v>5.0</v>
      </c>
      <c r="L155" s="72">
        <v>3.0</v>
      </c>
      <c r="M155" s="72">
        <v>4.0</v>
      </c>
      <c r="N155" s="72">
        <v>3.0</v>
      </c>
      <c r="O155" s="73"/>
      <c r="P155" s="35">
        <f>IFERROR(__xludf.DUMMYFUNCTION("""COMPUTED_VALUE"""),212.0)</f>
        <v>212</v>
      </c>
      <c r="Q155" s="35" t="str">
        <f>IFERROR(__xludf.DUMMYFUNCTION("query(C155:N1148,""Select D,E,F,G,H,I,J,K,L,M WHERE ""&amp;P155&amp;"" =C Limit 1"")"),"Architecture and Science Managers")</f>
        <v>Architecture and Science Managers</v>
      </c>
      <c r="R155" s="35" t="str">
        <f>IFERROR(__xludf.DUMMYFUNCTION("""COMPUTED_VALUE"""),"Architecture and science managers")</f>
        <v>Architecture and science managers</v>
      </c>
      <c r="S155" s="35">
        <f>IFERROR(__xludf.DUMMYFUNCTION("""COMPUTED_VALUE"""),1.0)</f>
        <v>1</v>
      </c>
      <c r="T155" s="35">
        <f>IFERROR(__xludf.DUMMYFUNCTION("""COMPUTED_VALUE"""),2.0)</f>
        <v>2</v>
      </c>
      <c r="U155" s="35">
        <f>IFERROR(__xludf.DUMMYFUNCTION("""COMPUTED_VALUE"""),1.0)</f>
        <v>1</v>
      </c>
      <c r="V155" s="35">
        <f>IFERROR(__xludf.DUMMYFUNCTION("""COMPUTED_VALUE"""),2.0)</f>
        <v>2</v>
      </c>
      <c r="W155" s="35">
        <f>IFERROR(__xludf.DUMMYFUNCTION("""COMPUTED_VALUE"""),3.0)</f>
        <v>3</v>
      </c>
      <c r="X155" s="35">
        <f>IFERROR(__xludf.DUMMYFUNCTION("""COMPUTED_VALUE"""),3.0)</f>
        <v>3</v>
      </c>
      <c r="Y155" s="35">
        <f>IFERROR(__xludf.DUMMYFUNCTION("""COMPUTED_VALUE"""),4.0)</f>
        <v>4</v>
      </c>
      <c r="Z155" s="35">
        <f>IFERROR(__xludf.DUMMYFUNCTION("""COMPUTED_VALUE"""),4.0)</f>
        <v>4</v>
      </c>
    </row>
    <row r="156" ht="15.75" customHeight="1">
      <c r="C156" s="34">
        <v>714.0</v>
      </c>
      <c r="D156" s="70" t="s">
        <v>307</v>
      </c>
      <c r="E156" s="71" t="str">
        <f>vlookup(C156,'NOC-List'!B$2:C$502,2,False)</f>
        <v>Facility operation and maintenance managers</v>
      </c>
      <c r="F156" s="72">
        <v>2.0</v>
      </c>
      <c r="G156" s="72">
        <v>3.0</v>
      </c>
      <c r="H156" s="72">
        <v>3.0</v>
      </c>
      <c r="I156" s="72">
        <v>4.0</v>
      </c>
      <c r="J156" s="72">
        <v>4.0</v>
      </c>
      <c r="K156" s="72">
        <v>3.0</v>
      </c>
      <c r="L156" s="72">
        <v>4.0</v>
      </c>
      <c r="M156" s="72">
        <v>4.0</v>
      </c>
      <c r="N156" s="72">
        <v>4.0</v>
      </c>
      <c r="O156" s="73"/>
      <c r="P156" s="35">
        <f>IFERROR(__xludf.DUMMYFUNCTION("""COMPUTED_VALUE"""),5211.0)</f>
        <v>5211</v>
      </c>
      <c r="Q156" s="35" t="str">
        <f>IFERROR(__xludf.DUMMYFUNCTION("query(C156:N1149,""Select D,E,F,G,H,I,J,K,L,M WHERE ""&amp;P156&amp;"" =C Limit 1"")"),"Archive Technicians and Assistants")</f>
        <v>Archive Technicians and Assistants</v>
      </c>
      <c r="R156" s="35" t="str">
        <f>IFERROR(__xludf.DUMMYFUNCTION("""COMPUTED_VALUE"""),"Library and public archive technicians")</f>
        <v>Library and public archive technicians</v>
      </c>
      <c r="S156" s="35">
        <f>IFERROR(__xludf.DUMMYFUNCTION("""COMPUTED_VALUE"""),3.0)</f>
        <v>3</v>
      </c>
      <c r="T156" s="35">
        <f>IFERROR(__xludf.DUMMYFUNCTION("""COMPUTED_VALUE"""),3.0)</f>
        <v>3</v>
      </c>
      <c r="U156" s="35">
        <f>IFERROR(__xludf.DUMMYFUNCTION("""COMPUTED_VALUE"""),4.0)</f>
        <v>4</v>
      </c>
      <c r="V156" s="35">
        <f>IFERROR(__xludf.DUMMYFUNCTION("""COMPUTED_VALUE"""),4.0)</f>
        <v>4</v>
      </c>
      <c r="W156" s="35">
        <f>IFERROR(__xludf.DUMMYFUNCTION("""COMPUTED_VALUE"""),4.0)</f>
        <v>4</v>
      </c>
      <c r="X156" s="35">
        <f>IFERROR(__xludf.DUMMYFUNCTION("""COMPUTED_VALUE"""),2.0)</f>
        <v>2</v>
      </c>
      <c r="Y156" s="35">
        <f>IFERROR(__xludf.DUMMYFUNCTION("""COMPUTED_VALUE"""),4.0)</f>
        <v>4</v>
      </c>
      <c r="Z156" s="35">
        <f>IFERROR(__xludf.DUMMYFUNCTION("""COMPUTED_VALUE"""),4.0)</f>
        <v>4</v>
      </c>
    </row>
    <row r="157" ht="15.75" customHeight="1">
      <c r="C157" s="34">
        <v>911.0</v>
      </c>
      <c r="D157" s="70" t="s">
        <v>308</v>
      </c>
      <c r="E157" s="71" t="str">
        <f>vlookup(C157,'NOC-List'!B$2:C$502,2,False)</f>
        <v>Manufacturing managers</v>
      </c>
      <c r="F157" s="72">
        <v>2.0</v>
      </c>
      <c r="G157" s="72">
        <v>2.0</v>
      </c>
      <c r="H157" s="72">
        <v>2.0</v>
      </c>
      <c r="I157" s="72">
        <v>3.0</v>
      </c>
      <c r="J157" s="72">
        <v>3.0</v>
      </c>
      <c r="K157" s="72">
        <v>3.0</v>
      </c>
      <c r="L157" s="72">
        <v>4.0</v>
      </c>
      <c r="M157" s="72">
        <v>4.0</v>
      </c>
      <c r="N157" s="72">
        <v>4.0</v>
      </c>
      <c r="O157" s="73"/>
      <c r="P157" s="35">
        <f>IFERROR(__xludf.DUMMYFUNCTION("""COMPUTED_VALUE"""),5113.0)</f>
        <v>5113</v>
      </c>
      <c r="Q157" s="35" t="str">
        <f>IFERROR(__xludf.DUMMYFUNCTION("query(C157:N1150,""Select D,E,F,G,H,I,J,K,L,M WHERE ""&amp;P157&amp;"" =C Limit 1"")"),"Archivists")</f>
        <v>Archivists</v>
      </c>
      <c r="R157" s="35" t="str">
        <f>IFERROR(__xludf.DUMMYFUNCTION("""COMPUTED_VALUE"""),"Archivists")</f>
        <v>Archivists</v>
      </c>
      <c r="S157" s="35">
        <f>IFERROR(__xludf.DUMMYFUNCTION("""COMPUTED_VALUE"""),2.0)</f>
        <v>2</v>
      </c>
      <c r="T157" s="35">
        <f>IFERROR(__xludf.DUMMYFUNCTION("""COMPUTED_VALUE"""),2.0)</f>
        <v>2</v>
      </c>
      <c r="U157" s="35">
        <f>IFERROR(__xludf.DUMMYFUNCTION("""COMPUTED_VALUE"""),3.0)</f>
        <v>3</v>
      </c>
      <c r="V157" s="35">
        <f>IFERROR(__xludf.DUMMYFUNCTION("""COMPUTED_VALUE"""),3.0)</f>
        <v>3</v>
      </c>
      <c r="W157" s="35">
        <f>IFERROR(__xludf.DUMMYFUNCTION("""COMPUTED_VALUE"""),2.0)</f>
        <v>2</v>
      </c>
      <c r="X157" s="35">
        <f>IFERROR(__xludf.DUMMYFUNCTION("""COMPUTED_VALUE"""),2.0)</f>
        <v>2</v>
      </c>
      <c r="Y157" s="35">
        <f>IFERROR(__xludf.DUMMYFUNCTION("""COMPUTED_VALUE"""),4.0)</f>
        <v>4</v>
      </c>
      <c r="Z157" s="35">
        <f>IFERROR(__xludf.DUMMYFUNCTION("""COMPUTED_VALUE"""),4.0)</f>
        <v>4</v>
      </c>
    </row>
    <row r="158" ht="15.75" customHeight="1">
      <c r="C158" s="34">
        <v>6621.0</v>
      </c>
      <c r="D158" s="70" t="s">
        <v>309</v>
      </c>
      <c r="E158" s="71" t="str">
        <f>vlookup(C158,'NOC-List'!B$2:C$502,2,False)</f>
        <v>Service station attendants</v>
      </c>
      <c r="F158" s="72">
        <v>4.0</v>
      </c>
      <c r="G158" s="72">
        <v>4.0</v>
      </c>
      <c r="H158" s="72">
        <v>4.0</v>
      </c>
      <c r="I158" s="72">
        <v>4.0</v>
      </c>
      <c r="J158" s="72">
        <v>4.0</v>
      </c>
      <c r="K158" s="72">
        <v>4.0</v>
      </c>
      <c r="L158" s="72">
        <v>4.0</v>
      </c>
      <c r="M158" s="72">
        <v>4.0</v>
      </c>
      <c r="N158" s="72">
        <v>3.0</v>
      </c>
      <c r="O158" s="73"/>
      <c r="P158" s="35">
        <f>IFERROR(__xludf.DUMMYFUNCTION("""COMPUTED_VALUE"""),7535.0)</f>
        <v>7535</v>
      </c>
      <c r="Q158" s="35" t="str">
        <f>IFERROR(__xludf.DUMMYFUNCTION("query(C158:N1151,""Select D,E,F,G,H,I,J,K,L,M WHERE ""&amp;P158&amp;"" =C Limit 1"")"),"Automotive Mechanical Installers and Servicers")</f>
        <v>Automotive Mechanical Installers and Servicers</v>
      </c>
      <c r="R158" s="35" t="str">
        <f>IFERROR(__xludf.DUMMYFUNCTION("""COMPUTED_VALUE"""),"Other automotive mechanical installers and servicers")</f>
        <v>Other automotive mechanical installers and servicers</v>
      </c>
      <c r="S158" s="35">
        <f>IFERROR(__xludf.DUMMYFUNCTION("""COMPUTED_VALUE"""),4.0)</f>
        <v>4</v>
      </c>
      <c r="T158" s="35">
        <f>IFERROR(__xludf.DUMMYFUNCTION("""COMPUTED_VALUE"""),4.0)</f>
        <v>4</v>
      </c>
      <c r="U158" s="35">
        <f>IFERROR(__xludf.DUMMYFUNCTION("""COMPUTED_VALUE"""),4.0)</f>
        <v>4</v>
      </c>
      <c r="V158" s="35">
        <f>IFERROR(__xludf.DUMMYFUNCTION("""COMPUTED_VALUE"""),4.0)</f>
        <v>4</v>
      </c>
      <c r="W158" s="35">
        <f>IFERROR(__xludf.DUMMYFUNCTION("""COMPUTED_VALUE"""),4.0)</f>
        <v>4</v>
      </c>
      <c r="X158" s="35">
        <f>IFERROR(__xludf.DUMMYFUNCTION("""COMPUTED_VALUE"""),5.0)</f>
        <v>5</v>
      </c>
      <c r="Y158" s="35">
        <f>IFERROR(__xludf.DUMMYFUNCTION("""COMPUTED_VALUE"""),4.0)</f>
        <v>4</v>
      </c>
      <c r="Z158" s="35">
        <f>IFERROR(__xludf.DUMMYFUNCTION("""COMPUTED_VALUE"""),4.0)</f>
        <v>4</v>
      </c>
    </row>
    <row r="159" ht="15.75" customHeight="1">
      <c r="C159" s="81">
        <v>8613.0</v>
      </c>
      <c r="D159" s="70" t="s">
        <v>310</v>
      </c>
      <c r="E159" s="71" t="str">
        <f>vlookup(C159,'NOC-List'!B$2:C$502,2,False)</f>
        <v>Aquaculture and marine harvest labourers</v>
      </c>
      <c r="F159" s="72">
        <v>4.0</v>
      </c>
      <c r="G159" s="72">
        <v>4.0</v>
      </c>
      <c r="H159" s="72">
        <v>4.0</v>
      </c>
      <c r="I159" s="72">
        <v>4.0</v>
      </c>
      <c r="J159" s="72">
        <v>4.0</v>
      </c>
      <c r="K159" s="72">
        <v>4.0</v>
      </c>
      <c r="L159" s="72">
        <v>4.0</v>
      </c>
      <c r="M159" s="72">
        <v>3.0</v>
      </c>
      <c r="N159" s="72">
        <v>4.0</v>
      </c>
      <c r="O159" s="73"/>
      <c r="P159" s="35">
        <f>IFERROR(__xludf.DUMMYFUNCTION("""COMPUTED_VALUE"""),4411.0)</f>
        <v>4411</v>
      </c>
      <c r="Q159" s="35" t="str">
        <f>IFERROR(__xludf.DUMMYFUNCTION("query(C159:N1152,""Select D,E,F,G,H,I,J,K,L,M WHERE ""&amp;P159&amp;"" =C Limit 1"")"),"Babysitters")</f>
        <v>Babysitters</v>
      </c>
      <c r="R159" s="35" t="str">
        <f>IFERROR(__xludf.DUMMYFUNCTION("""COMPUTED_VALUE"""),"Home child care providers")</f>
        <v>Home child care providers</v>
      </c>
      <c r="S159" s="35">
        <f>IFERROR(__xludf.DUMMYFUNCTION("""COMPUTED_VALUE"""),4.0)</f>
        <v>4</v>
      </c>
      <c r="T159" s="35">
        <f>IFERROR(__xludf.DUMMYFUNCTION("""COMPUTED_VALUE"""),4.0)</f>
        <v>4</v>
      </c>
      <c r="U159" s="35">
        <f>IFERROR(__xludf.DUMMYFUNCTION("""COMPUTED_VALUE"""),4.0)</f>
        <v>4</v>
      </c>
      <c r="V159" s="35">
        <f>IFERROR(__xludf.DUMMYFUNCTION("""COMPUTED_VALUE"""),4.0)</f>
        <v>4</v>
      </c>
      <c r="W159" s="35">
        <f>IFERROR(__xludf.DUMMYFUNCTION("""COMPUTED_VALUE"""),4.0)</f>
        <v>4</v>
      </c>
      <c r="X159" s="35">
        <f>IFERROR(__xludf.DUMMYFUNCTION("""COMPUTED_VALUE"""),5.0)</f>
        <v>5</v>
      </c>
      <c r="Y159" s="35">
        <f>IFERROR(__xludf.DUMMYFUNCTION("""COMPUTED_VALUE"""),4.0)</f>
        <v>4</v>
      </c>
      <c r="Z159" s="35">
        <f>IFERROR(__xludf.DUMMYFUNCTION("""COMPUTED_VALUE"""),4.0)</f>
        <v>4</v>
      </c>
    </row>
    <row r="160" ht="15.75" customHeight="1">
      <c r="C160" s="34">
        <v>2222.0</v>
      </c>
      <c r="D160" s="70" t="s">
        <v>311</v>
      </c>
      <c r="E160" s="71" t="str">
        <f>vlookup(C160,'NOC-List'!B$2:C$502,2,False)</f>
        <v>Agricultural and fish products inspectors</v>
      </c>
      <c r="F160" s="72">
        <v>2.0</v>
      </c>
      <c r="G160" s="72">
        <v>3.0</v>
      </c>
      <c r="H160" s="72">
        <v>3.0</v>
      </c>
      <c r="I160" s="72">
        <v>4.0</v>
      </c>
      <c r="J160" s="72">
        <v>2.0</v>
      </c>
      <c r="K160" s="72">
        <v>4.0</v>
      </c>
      <c r="L160" s="72">
        <v>4.0</v>
      </c>
      <c r="M160" s="72">
        <v>4.0</v>
      </c>
      <c r="N160" s="72">
        <v>3.0</v>
      </c>
      <c r="O160" s="73"/>
      <c r="P160" s="35">
        <f>IFERROR(__xludf.DUMMYFUNCTION("""COMPUTED_VALUE"""),2121.0)</f>
        <v>2121</v>
      </c>
      <c r="Q160" s="35" t="str">
        <f>IFERROR(__xludf.DUMMYFUNCTION("query(C160:N1153,""Select D,E,F,G,H,I,J,K,L,M WHERE ""&amp;P160&amp;"" =C Limit 1"")"),"Biologists")</f>
        <v>Biologists</v>
      </c>
      <c r="R160" s="35" t="str">
        <f>IFERROR(__xludf.DUMMYFUNCTION("""COMPUTED_VALUE"""),"Biologists and related scientists")</f>
        <v>Biologists and related scientists</v>
      </c>
      <c r="S160" s="35">
        <f>IFERROR(__xludf.DUMMYFUNCTION("""COMPUTED_VALUE"""),1.0)</f>
        <v>1</v>
      </c>
      <c r="T160" s="35">
        <f>IFERROR(__xludf.DUMMYFUNCTION("""COMPUTED_VALUE"""),1.0)</f>
        <v>1</v>
      </c>
      <c r="U160" s="35">
        <f>IFERROR(__xludf.DUMMYFUNCTION("""COMPUTED_VALUE"""),1.0)</f>
        <v>1</v>
      </c>
      <c r="V160" s="35">
        <f>IFERROR(__xludf.DUMMYFUNCTION("""COMPUTED_VALUE"""),2.0)</f>
        <v>2</v>
      </c>
      <c r="W160" s="35">
        <f>IFERROR(__xludf.DUMMYFUNCTION("""COMPUTED_VALUE"""),2.0)</f>
        <v>2</v>
      </c>
      <c r="X160" s="35">
        <f>IFERROR(__xludf.DUMMYFUNCTION("""COMPUTED_VALUE"""),3.0)</f>
        <v>3</v>
      </c>
      <c r="Y160" s="35">
        <f>IFERROR(__xludf.DUMMYFUNCTION("""COMPUTED_VALUE"""),4.0)</f>
        <v>4</v>
      </c>
      <c r="Z160" s="35">
        <f>IFERROR(__xludf.DUMMYFUNCTION("""COMPUTED_VALUE"""),3.0)</f>
        <v>3</v>
      </c>
    </row>
    <row r="161" ht="15.75" customHeight="1">
      <c r="C161" s="81">
        <v>5212.0</v>
      </c>
      <c r="D161" s="70" t="s">
        <v>312</v>
      </c>
      <c r="E161" s="71" t="str">
        <f>vlookup(C161,'NOC-List'!B$2:C$502,2,False)</f>
        <v>Technical occupations related to museums and art galleries</v>
      </c>
      <c r="F161" s="72">
        <v>3.0</v>
      </c>
      <c r="G161" s="72">
        <v>3.0</v>
      </c>
      <c r="H161" s="72">
        <v>4.0</v>
      </c>
      <c r="I161" s="72">
        <v>4.0</v>
      </c>
      <c r="J161" s="72">
        <v>3.0</v>
      </c>
      <c r="K161" s="72">
        <v>4.0</v>
      </c>
      <c r="L161" s="72">
        <v>4.0</v>
      </c>
      <c r="M161" s="72">
        <v>4.0</v>
      </c>
      <c r="N161" s="72">
        <v>4.0</v>
      </c>
      <c r="O161" s="73"/>
      <c r="P161" s="35">
        <f>IFERROR(__xludf.DUMMYFUNCTION("""COMPUTED_VALUE"""),7533.0)</f>
        <v>7533</v>
      </c>
      <c r="Q161" s="35" t="str">
        <f>IFERROR(__xludf.DUMMYFUNCTION("query(C161:N1154,""Select D,E,F,G,H,I,J,K,L,M WHERE ""&amp;P161&amp;"" =C Limit 1"")"),"Boat Operators")</f>
        <v>Boat Operators</v>
      </c>
      <c r="R161" s="35" t="str">
        <f>IFERROR(__xludf.DUMMYFUNCTION("""COMPUTED_VALUE"""),"Boat and cable ferry operators and related occupations")</f>
        <v>Boat and cable ferry operators and related occupations</v>
      </c>
      <c r="S161" s="35">
        <f>IFERROR(__xludf.DUMMYFUNCTION("""COMPUTED_VALUE"""),4.0)</f>
        <v>4</v>
      </c>
      <c r="T161" s="35">
        <f>IFERROR(__xludf.DUMMYFUNCTION("""COMPUTED_VALUE"""),3.0)</f>
        <v>3</v>
      </c>
      <c r="U161" s="35">
        <f>IFERROR(__xludf.DUMMYFUNCTION("""COMPUTED_VALUE"""),5.0)</f>
        <v>5</v>
      </c>
      <c r="V161" s="35">
        <f>IFERROR(__xludf.DUMMYFUNCTION("""COMPUTED_VALUE"""),3.0)</f>
        <v>3</v>
      </c>
      <c r="W161" s="35">
        <f>IFERROR(__xludf.DUMMYFUNCTION("""COMPUTED_VALUE"""),4.0)</f>
        <v>4</v>
      </c>
      <c r="X161" s="35">
        <f>IFERROR(__xludf.DUMMYFUNCTION("""COMPUTED_VALUE"""),5.0)</f>
        <v>5</v>
      </c>
      <c r="Y161" s="35">
        <f>IFERROR(__xludf.DUMMYFUNCTION("""COMPUTED_VALUE"""),3.0)</f>
        <v>3</v>
      </c>
      <c r="Z161" s="35">
        <f>IFERROR(__xludf.DUMMYFUNCTION("""COMPUTED_VALUE"""),4.0)</f>
        <v>4</v>
      </c>
    </row>
    <row r="162" ht="15.75" customHeight="1">
      <c r="C162" s="34">
        <v>5212.0</v>
      </c>
      <c r="D162" s="70" t="s">
        <v>313</v>
      </c>
      <c r="E162" s="71" t="str">
        <f>vlookup(C162,'NOC-List'!B$2:C$502,2,False)</f>
        <v>Technical occupations related to museums and art galleries</v>
      </c>
      <c r="F162" s="72">
        <v>3.0</v>
      </c>
      <c r="G162" s="72">
        <v>2.0</v>
      </c>
      <c r="H162" s="72">
        <v>3.0</v>
      </c>
      <c r="I162" s="72">
        <v>3.0</v>
      </c>
      <c r="J162" s="72">
        <v>3.0</v>
      </c>
      <c r="K162" s="72">
        <v>3.0</v>
      </c>
      <c r="L162" s="72">
        <v>4.0</v>
      </c>
      <c r="M162" s="72">
        <v>4.0</v>
      </c>
      <c r="N162" s="72">
        <v>4.0</v>
      </c>
      <c r="O162" s="73"/>
      <c r="P162" s="35">
        <f>IFERROR(__xludf.DUMMYFUNCTION("""COMPUTED_VALUE"""),1311.0)</f>
        <v>1311</v>
      </c>
      <c r="Q162" s="35" t="str">
        <f>IFERROR(__xludf.DUMMYFUNCTION("query(C162:N1155,""Select D,E,F,G,H,I,J,K,L,M WHERE ""&amp;P162&amp;"" =C Limit 1"")"),"Bookkeepers")</f>
        <v>Bookkeepers</v>
      </c>
      <c r="R162" s="35" t="str">
        <f>IFERROR(__xludf.DUMMYFUNCTION("""COMPUTED_VALUE"""),"Accounting technicians and bookkeepers")</f>
        <v>Accounting technicians and bookkeepers</v>
      </c>
      <c r="S162" s="35">
        <f>IFERROR(__xludf.DUMMYFUNCTION("""COMPUTED_VALUE"""),3.0)</f>
        <v>3</v>
      </c>
      <c r="T162" s="35">
        <f>IFERROR(__xludf.DUMMYFUNCTION("""COMPUTED_VALUE"""),3.0)</f>
        <v>3</v>
      </c>
      <c r="U162" s="35">
        <f>IFERROR(__xludf.DUMMYFUNCTION("""COMPUTED_VALUE"""),2.0)</f>
        <v>2</v>
      </c>
      <c r="V162" s="35">
        <f>IFERROR(__xludf.DUMMYFUNCTION("""COMPUTED_VALUE"""),4.0)</f>
        <v>4</v>
      </c>
      <c r="W162" s="35">
        <f>IFERROR(__xludf.DUMMYFUNCTION("""COMPUTED_VALUE"""),4.0)</f>
        <v>4</v>
      </c>
      <c r="X162" s="35">
        <f>IFERROR(__xludf.DUMMYFUNCTION("""COMPUTED_VALUE"""),2.0)</f>
        <v>2</v>
      </c>
      <c r="Y162" s="35">
        <f>IFERROR(__xludf.DUMMYFUNCTION("""COMPUTED_VALUE"""),3.0)</f>
        <v>3</v>
      </c>
      <c r="Z162" s="35">
        <f>IFERROR(__xludf.DUMMYFUNCTION("""COMPUTED_VALUE"""),3.0)</f>
        <v>3</v>
      </c>
    </row>
    <row r="163" ht="15.75" customHeight="1">
      <c r="C163" s="81">
        <v>811.0</v>
      </c>
      <c r="D163" s="70" t="s">
        <v>314</v>
      </c>
      <c r="E163" s="71" t="str">
        <f>vlookup(C163,'NOC-List'!B$2:C$502,2,False)</f>
        <v>Managers in natural resources production and fishing</v>
      </c>
      <c r="F163" s="72">
        <v>2.0</v>
      </c>
      <c r="G163" s="72">
        <v>2.0</v>
      </c>
      <c r="H163" s="72">
        <v>2.0</v>
      </c>
      <c r="I163" s="72">
        <v>3.0</v>
      </c>
      <c r="J163" s="72">
        <v>3.0</v>
      </c>
      <c r="K163" s="72">
        <v>3.0</v>
      </c>
      <c r="L163" s="72">
        <v>4.0</v>
      </c>
      <c r="M163" s="72">
        <v>4.0</v>
      </c>
      <c r="N163" s="72">
        <v>4.0</v>
      </c>
      <c r="O163" s="73"/>
      <c r="P163" s="35">
        <f>IFERROR(__xludf.DUMMYFUNCTION("""COMPUTED_VALUE"""),4423.0)</f>
        <v>4423</v>
      </c>
      <c r="Q163" s="35" t="str">
        <f>IFERROR(__xludf.DUMMYFUNCTION("query(C163:N1156,""Select D,E,F,G,H,I,J,K,L,M WHERE ""&amp;P163&amp;"" =C Limit 1"")"),"By-law Enforcement Officers")</f>
        <v>By-law Enforcement Officers</v>
      </c>
      <c r="R163" s="35" t="str">
        <f>IFERROR(__xludf.DUMMYFUNCTION("""COMPUTED_VALUE"""),"By-law enforcement and other regulatory officers, n.e.c.")</f>
        <v>By-law enforcement and other regulatory officers, n.e.c.</v>
      </c>
      <c r="S163" s="35">
        <f>IFERROR(__xludf.DUMMYFUNCTION("""COMPUTED_VALUE"""),3.0)</f>
        <v>3</v>
      </c>
      <c r="T163" s="35">
        <f>IFERROR(__xludf.DUMMYFUNCTION("""COMPUTED_VALUE"""),3.0)</f>
        <v>3</v>
      </c>
      <c r="U163" s="35">
        <f>IFERROR(__xludf.DUMMYFUNCTION("""COMPUTED_VALUE"""),4.0)</f>
        <v>4</v>
      </c>
      <c r="V163" s="35">
        <f>IFERROR(__xludf.DUMMYFUNCTION("""COMPUTED_VALUE"""),4.0)</f>
        <v>4</v>
      </c>
      <c r="W163" s="35">
        <f>IFERROR(__xludf.DUMMYFUNCTION("""COMPUTED_VALUE"""),4.0)</f>
        <v>4</v>
      </c>
      <c r="X163" s="35">
        <f>IFERROR(__xludf.DUMMYFUNCTION("""COMPUTED_VALUE"""),4.0)</f>
        <v>4</v>
      </c>
      <c r="Y163" s="35">
        <f>IFERROR(__xludf.DUMMYFUNCTION("""COMPUTED_VALUE"""),4.0)</f>
        <v>4</v>
      </c>
      <c r="Z163" s="35">
        <f>IFERROR(__xludf.DUMMYFUNCTION("""COMPUTED_VALUE"""),4.0)</f>
        <v>4</v>
      </c>
    </row>
    <row r="164" ht="15.75" customHeight="1">
      <c r="C164" s="34">
        <v>822.0</v>
      </c>
      <c r="D164" s="70" t="s">
        <v>315</v>
      </c>
      <c r="E164" s="71" t="str">
        <f>vlookup(C164,'NOC-List'!B$2:C$502,2,False)</f>
        <v>Managers in horticulture</v>
      </c>
      <c r="F164" s="72">
        <v>3.0</v>
      </c>
      <c r="G164" s="72">
        <v>3.0</v>
      </c>
      <c r="H164" s="72">
        <v>3.0</v>
      </c>
      <c r="I164" s="72">
        <v>4.0</v>
      </c>
      <c r="J164" s="72">
        <v>4.0</v>
      </c>
      <c r="K164" s="72">
        <v>4.0</v>
      </c>
      <c r="L164" s="72">
        <v>3.0</v>
      </c>
      <c r="M164" s="72">
        <v>4.0</v>
      </c>
      <c r="N164" s="72">
        <v>3.0</v>
      </c>
      <c r="O164" s="73"/>
      <c r="P164" s="35">
        <f>IFERROR(__xludf.DUMMYFUNCTION("""COMPUTED_VALUE"""),6564.0)</f>
        <v>6564</v>
      </c>
      <c r="Q164" s="35" t="str">
        <f>IFERROR(__xludf.DUMMYFUNCTION("query(C164:N1157,""Select D,E,F,G,H,I,J,K,L,M WHERE ""&amp;P164&amp;"" =C Limit 1"")"),"Call Centre Agents")</f>
        <v>Call Centre Agents</v>
      </c>
      <c r="R164" s="35" t="str">
        <f>IFERROR(__xludf.DUMMYFUNCTION("""COMPUTED_VALUE"""),"Other personal service occupations")</f>
        <v>Other personal service occupations</v>
      </c>
      <c r="S164" s="35">
        <f>IFERROR(__xludf.DUMMYFUNCTION("""COMPUTED_VALUE"""),3.0)</f>
        <v>3</v>
      </c>
      <c r="T164" s="35">
        <f>IFERROR(__xludf.DUMMYFUNCTION("""COMPUTED_VALUE"""),3.0)</f>
        <v>3</v>
      </c>
      <c r="U164" s="35">
        <f>IFERROR(__xludf.DUMMYFUNCTION("""COMPUTED_VALUE"""),3.0)</f>
        <v>3</v>
      </c>
      <c r="V164" s="35">
        <f>IFERROR(__xludf.DUMMYFUNCTION("""COMPUTED_VALUE"""),4.0)</f>
        <v>4</v>
      </c>
      <c r="W164" s="35">
        <f>IFERROR(__xludf.DUMMYFUNCTION("""COMPUTED_VALUE"""),4.0)</f>
        <v>4</v>
      </c>
      <c r="X164" s="35">
        <f>IFERROR(__xludf.DUMMYFUNCTION("""COMPUTED_VALUE"""),3.0)</f>
        <v>3</v>
      </c>
      <c r="Y164" s="35">
        <f>IFERROR(__xludf.DUMMYFUNCTION("""COMPUTED_VALUE"""),4.0)</f>
        <v>4</v>
      </c>
      <c r="Z164" s="35">
        <f>IFERROR(__xludf.DUMMYFUNCTION("""COMPUTED_VALUE"""),4.0)</f>
        <v>4</v>
      </c>
    </row>
    <row r="165" ht="15.75" customHeight="1">
      <c r="C165" s="34">
        <v>8432.0</v>
      </c>
      <c r="D165" s="70" t="s">
        <v>316</v>
      </c>
      <c r="E165" s="71" t="str">
        <f>vlookup(C165,'NOC-List'!B$2:C$502,2,False)</f>
        <v>Nursery and greenhouse workers</v>
      </c>
      <c r="F165" s="72">
        <v>4.0</v>
      </c>
      <c r="G165" s="72">
        <v>4.0</v>
      </c>
      <c r="H165" s="72">
        <v>4.0</v>
      </c>
      <c r="I165" s="72">
        <v>4.0</v>
      </c>
      <c r="J165" s="72">
        <v>4.0</v>
      </c>
      <c r="K165" s="72">
        <v>5.0</v>
      </c>
      <c r="L165" s="72">
        <v>3.0</v>
      </c>
      <c r="M165" s="72">
        <v>4.0</v>
      </c>
      <c r="N165" s="72">
        <v>3.0</v>
      </c>
      <c r="O165" s="73"/>
      <c r="P165" s="35">
        <f>IFERROR(__xludf.DUMMYFUNCTION("""COMPUTED_VALUE"""),6524.0)</f>
        <v>6524</v>
      </c>
      <c r="Q165" s="35" t="str">
        <f>IFERROR(__xludf.DUMMYFUNCTION("query(C165:N1158,""Select D,E,F,G,H,I,J,K,L,M WHERE ""&amp;P165&amp;"" =C Limit 1"")"),"Cargo Service Representatives (Except Airline)")</f>
        <v>Cargo Service Representatives (Except Airline)</v>
      </c>
      <c r="R165" s="35" t="str">
        <f>IFERROR(__xludf.DUMMYFUNCTION("""COMPUTED_VALUE"""),"Ground and water transport ticket agents, cargo service representatives and related clerks")</f>
        <v>Ground and water transport ticket agents, cargo service representatives and related clerks</v>
      </c>
      <c r="S165" s="35">
        <f>IFERROR(__xludf.DUMMYFUNCTION("""COMPUTED_VALUE"""),3.0)</f>
        <v>3</v>
      </c>
      <c r="T165" s="35">
        <f>IFERROR(__xludf.DUMMYFUNCTION("""COMPUTED_VALUE"""),3.0)</f>
        <v>3</v>
      </c>
      <c r="U165" s="35">
        <f>IFERROR(__xludf.DUMMYFUNCTION("""COMPUTED_VALUE"""),3.0)</f>
        <v>3</v>
      </c>
      <c r="V165" s="35">
        <f>IFERROR(__xludf.DUMMYFUNCTION("""COMPUTED_VALUE"""),4.0)</f>
        <v>4</v>
      </c>
      <c r="W165" s="35">
        <f>IFERROR(__xludf.DUMMYFUNCTION("""COMPUTED_VALUE"""),4.0)</f>
        <v>4</v>
      </c>
      <c r="X165" s="35">
        <f>IFERROR(__xludf.DUMMYFUNCTION("""COMPUTED_VALUE"""),3.0)</f>
        <v>3</v>
      </c>
      <c r="Y165" s="35">
        <f>IFERROR(__xludf.DUMMYFUNCTION("""COMPUTED_VALUE"""),4.0)</f>
        <v>4</v>
      </c>
      <c r="Z165" s="35">
        <f>IFERROR(__xludf.DUMMYFUNCTION("""COMPUTED_VALUE"""),4.0)</f>
        <v>4</v>
      </c>
    </row>
    <row r="166" ht="15.75" customHeight="1">
      <c r="C166" s="34">
        <v>4161.0</v>
      </c>
      <c r="D166" s="70" t="s">
        <v>317</v>
      </c>
      <c r="E166" s="71" t="str">
        <f>vlookup(C166,'NOC-List'!B$2:C$502,2,False)</f>
        <v>Natural and applied science policy researchers, consultants and program officers</v>
      </c>
      <c r="F166" s="72">
        <v>2.0</v>
      </c>
      <c r="G166" s="72">
        <v>2.0</v>
      </c>
      <c r="H166" s="72">
        <v>2.0</v>
      </c>
      <c r="I166" s="72">
        <v>3.0</v>
      </c>
      <c r="J166" s="72">
        <v>3.0</v>
      </c>
      <c r="K166" s="72">
        <v>3.0</v>
      </c>
      <c r="L166" s="72">
        <v>4.0</v>
      </c>
      <c r="M166" s="72">
        <v>4.0</v>
      </c>
      <c r="N166" s="72">
        <v>4.0</v>
      </c>
      <c r="O166" s="73"/>
      <c r="P166" s="35">
        <f>IFERROR(__xludf.DUMMYFUNCTION("""COMPUTED_VALUE"""),6732.0)</f>
        <v>6732</v>
      </c>
      <c r="Q166" s="35" t="str">
        <f>IFERROR(__xludf.DUMMYFUNCTION("query(C166:N1159,""Select D,E,F,G,H,I,J,K,L,M WHERE ""&amp;P166&amp;"" =C Limit 1"")"),"Chimney Cleaners")</f>
        <v>Chimney Cleaners</v>
      </c>
      <c r="R166" s="35" t="str">
        <f>IFERROR(__xludf.DUMMYFUNCTION("""COMPUTED_VALUE"""),"Specialized cleaners")</f>
        <v>Specialized cleaners</v>
      </c>
      <c r="S166" s="35">
        <f>IFERROR(__xludf.DUMMYFUNCTION("""COMPUTED_VALUE"""),4.0)</f>
        <v>4</v>
      </c>
      <c r="T166" s="35">
        <f>IFERROR(__xludf.DUMMYFUNCTION("""COMPUTED_VALUE"""),4.0)</f>
        <v>4</v>
      </c>
      <c r="U166" s="35">
        <f>IFERROR(__xludf.DUMMYFUNCTION("""COMPUTED_VALUE"""),4.0)</f>
        <v>4</v>
      </c>
      <c r="V166" s="35">
        <f>IFERROR(__xludf.DUMMYFUNCTION("""COMPUTED_VALUE"""),4.0)</f>
        <v>4</v>
      </c>
      <c r="W166" s="35">
        <f>IFERROR(__xludf.DUMMYFUNCTION("""COMPUTED_VALUE"""),4.0)</f>
        <v>4</v>
      </c>
      <c r="X166" s="35">
        <f>IFERROR(__xludf.DUMMYFUNCTION("""COMPUTED_VALUE"""),5.0)</f>
        <v>5</v>
      </c>
      <c r="Y166" s="35">
        <f>IFERROR(__xludf.DUMMYFUNCTION("""COMPUTED_VALUE"""),4.0)</f>
        <v>4</v>
      </c>
      <c r="Z166" s="35">
        <f>IFERROR(__xludf.DUMMYFUNCTION("""COMPUTED_VALUE"""),4.0)</f>
        <v>4</v>
      </c>
    </row>
    <row r="167" ht="15.75" customHeight="1">
      <c r="C167" s="34">
        <v>8615.0</v>
      </c>
      <c r="D167" s="70" t="s">
        <v>318</v>
      </c>
      <c r="E167" s="71" t="str">
        <f>vlookup(C167,'NOC-List'!B$2:C$502,2,False)</f>
        <v>Oil and gas drilling, servicing and related labourers</v>
      </c>
      <c r="F167" s="72">
        <v>4.0</v>
      </c>
      <c r="G167" s="72">
        <v>4.0</v>
      </c>
      <c r="H167" s="72">
        <v>4.0</v>
      </c>
      <c r="I167" s="72">
        <v>4.0</v>
      </c>
      <c r="J167" s="72">
        <v>4.0</v>
      </c>
      <c r="K167" s="72">
        <v>5.0</v>
      </c>
      <c r="L167" s="72">
        <v>3.0</v>
      </c>
      <c r="M167" s="72">
        <v>4.0</v>
      </c>
      <c r="N167" s="72">
        <v>3.0</v>
      </c>
      <c r="O167" s="73"/>
      <c r="P167" s="35">
        <f>IFERROR(__xludf.DUMMYFUNCTION("""COMPUTED_VALUE"""),4155.0)</f>
        <v>4155</v>
      </c>
      <c r="Q167" s="35" t="str">
        <f>IFERROR(__xludf.DUMMYFUNCTION("query(C167:N1160,""Select D,E,F,G,H,I,J,K,L,M WHERE ""&amp;P167&amp;"" =C Limit 1"")"),"Classification Officers, Correctional Institutions")</f>
        <v>Classification Officers, Correctional Institutions</v>
      </c>
      <c r="R167" s="35" t="str">
        <f>IFERROR(__xludf.DUMMYFUNCTION("""COMPUTED_VALUE"""),"Probation and parole officers and related occupations")</f>
        <v>Probation and parole officers and related occupations</v>
      </c>
      <c r="S167" s="35">
        <f>IFERROR(__xludf.DUMMYFUNCTION("""COMPUTED_VALUE"""),2.0)</f>
        <v>2</v>
      </c>
      <c r="T167" s="35">
        <f>IFERROR(__xludf.DUMMYFUNCTION("""COMPUTED_VALUE"""),2.0)</f>
        <v>2</v>
      </c>
      <c r="U167" s="35">
        <f>IFERROR(__xludf.DUMMYFUNCTION("""COMPUTED_VALUE"""),3.0)</f>
        <v>3</v>
      </c>
      <c r="V167" s="35">
        <f>IFERROR(__xludf.DUMMYFUNCTION("""COMPUTED_VALUE"""),4.0)</f>
        <v>4</v>
      </c>
      <c r="W167" s="35">
        <f>IFERROR(__xludf.DUMMYFUNCTION("""COMPUTED_VALUE"""),4.0)</f>
        <v>4</v>
      </c>
      <c r="X167" s="35">
        <f>IFERROR(__xludf.DUMMYFUNCTION("""COMPUTED_VALUE"""),3.0)</f>
        <v>3</v>
      </c>
      <c r="Y167" s="35">
        <f>IFERROR(__xludf.DUMMYFUNCTION("""COMPUTED_VALUE"""),4.0)</f>
        <v>4</v>
      </c>
      <c r="Z167" s="35">
        <f>IFERROR(__xludf.DUMMYFUNCTION("""COMPUTED_VALUE"""),4.0)</f>
        <v>4</v>
      </c>
    </row>
    <row r="168" ht="15.75" customHeight="1">
      <c r="C168" s="34">
        <v>3414.0</v>
      </c>
      <c r="D168" s="70" t="s">
        <v>319</v>
      </c>
      <c r="E168" s="71" t="str">
        <f>vlookup(C168,'NOC-List'!B$2:C$502,2,False)</f>
        <v>Other assisting occupations in support of health services</v>
      </c>
      <c r="F168" s="72">
        <v>3.0</v>
      </c>
      <c r="G168" s="72">
        <v>3.0</v>
      </c>
      <c r="H168" s="72">
        <v>4.0</v>
      </c>
      <c r="I168" s="72">
        <v>4.0</v>
      </c>
      <c r="J168" s="72">
        <v>4.0</v>
      </c>
      <c r="K168" s="72">
        <v>4.0</v>
      </c>
      <c r="L168" s="72">
        <v>4.0</v>
      </c>
      <c r="M168" s="72">
        <v>4.0</v>
      </c>
      <c r="N168" s="72">
        <v>3.0</v>
      </c>
      <c r="O168" s="73"/>
      <c r="P168" s="35">
        <f>IFERROR(__xludf.DUMMYFUNCTION("""COMPUTED_VALUE"""),6315.0)</f>
        <v>6315</v>
      </c>
      <c r="Q168" s="35" t="str">
        <f>IFERROR(__xludf.DUMMYFUNCTION("query(C168:N1161,""Select D,E,F,G,H,I,J,K,L,M WHERE ""&amp;P168&amp;"" =C Limit 1"")"),"Cleaning Supervisors")</f>
        <v>Cleaning Supervisors</v>
      </c>
      <c r="R168" s="35" t="str">
        <f>IFERROR(__xludf.DUMMYFUNCTION("""COMPUTED_VALUE"""),"Cleaning supervisors")</f>
        <v>Cleaning supervisors</v>
      </c>
      <c r="S168" s="35">
        <f>IFERROR(__xludf.DUMMYFUNCTION("""COMPUTED_VALUE"""),3.0)</f>
        <v>3</v>
      </c>
      <c r="T168" s="35">
        <f>IFERROR(__xludf.DUMMYFUNCTION("""COMPUTED_VALUE"""),3.0)</f>
        <v>3</v>
      </c>
      <c r="U168" s="35">
        <f>IFERROR(__xludf.DUMMYFUNCTION("""COMPUTED_VALUE"""),3.0)</f>
        <v>3</v>
      </c>
      <c r="V168" s="35">
        <f>IFERROR(__xludf.DUMMYFUNCTION("""COMPUTED_VALUE"""),4.0)</f>
        <v>4</v>
      </c>
      <c r="W168" s="35">
        <f>IFERROR(__xludf.DUMMYFUNCTION("""COMPUTED_VALUE"""),4.0)</f>
        <v>4</v>
      </c>
      <c r="X168" s="35">
        <f>IFERROR(__xludf.DUMMYFUNCTION("""COMPUTED_VALUE"""),3.0)</f>
        <v>3</v>
      </c>
      <c r="Y168" s="35">
        <f>IFERROR(__xludf.DUMMYFUNCTION("""COMPUTED_VALUE"""),4.0)</f>
        <v>4</v>
      </c>
      <c r="Z168" s="35">
        <f>IFERROR(__xludf.DUMMYFUNCTION("""COMPUTED_VALUE"""),4.0)</f>
        <v>4</v>
      </c>
    </row>
    <row r="169" ht="15.75" customHeight="1">
      <c r="C169" s="34">
        <v>3125.0</v>
      </c>
      <c r="D169" s="70" t="s">
        <v>320</v>
      </c>
      <c r="E169" s="71" t="str">
        <f>vlookup(C169,'NOC-List'!B$2:C$502,2,False)</f>
        <v>Other professional occupations in health diagnosing and treating</v>
      </c>
      <c r="F169" s="72">
        <v>1.0</v>
      </c>
      <c r="G169" s="72">
        <v>1.0</v>
      </c>
      <c r="H169" s="72">
        <v>2.0</v>
      </c>
      <c r="I169" s="72">
        <v>1.0</v>
      </c>
      <c r="J169" s="72">
        <v>2.0</v>
      </c>
      <c r="K169" s="72">
        <v>4.0</v>
      </c>
      <c r="L169" s="72">
        <v>2.0</v>
      </c>
      <c r="M169" s="72">
        <v>1.0</v>
      </c>
      <c r="N169" s="72">
        <v>1.0</v>
      </c>
      <c r="O169" s="73"/>
      <c r="P169" s="35">
        <f>IFERROR(__xludf.DUMMYFUNCTION("""COMPUTED_VALUE"""),1435.0)</f>
        <v>1435</v>
      </c>
      <c r="Q169" s="35" t="str">
        <f>IFERROR(__xludf.DUMMYFUNCTION("query(C169:N1162,""Select D,E,F,G,H,I,J,K,L,M WHERE ""&amp;P169&amp;"" =C Limit 1"")"),"Collectors")</f>
        <v>Collectors</v>
      </c>
      <c r="R169" s="35" t="str">
        <f>IFERROR(__xludf.DUMMYFUNCTION("""COMPUTED_VALUE"""),"Collectors")</f>
        <v>Collectors</v>
      </c>
      <c r="S169" s="35">
        <f>IFERROR(__xludf.DUMMYFUNCTION("""COMPUTED_VALUE"""),3.0)</f>
        <v>3</v>
      </c>
      <c r="T169" s="35">
        <f>IFERROR(__xludf.DUMMYFUNCTION("""COMPUTED_VALUE"""),3.0)</f>
        <v>3</v>
      </c>
      <c r="U169" s="35">
        <f>IFERROR(__xludf.DUMMYFUNCTION("""COMPUTED_VALUE"""),3.0)</f>
        <v>3</v>
      </c>
      <c r="V169" s="35">
        <f>IFERROR(__xludf.DUMMYFUNCTION("""COMPUTED_VALUE"""),4.0)</f>
        <v>4</v>
      </c>
      <c r="W169" s="35">
        <f>IFERROR(__xludf.DUMMYFUNCTION("""COMPUTED_VALUE"""),4.0)</f>
        <v>4</v>
      </c>
      <c r="X169" s="35">
        <f>IFERROR(__xludf.DUMMYFUNCTION("""COMPUTED_VALUE"""),3.0)</f>
        <v>3</v>
      </c>
      <c r="Y169" s="35">
        <f>IFERROR(__xludf.DUMMYFUNCTION("""COMPUTED_VALUE"""),4.0)</f>
        <v>4</v>
      </c>
      <c r="Z169" s="35">
        <f>IFERROR(__xludf.DUMMYFUNCTION("""COMPUTED_VALUE"""),4.0)</f>
        <v>4</v>
      </c>
    </row>
    <row r="170" ht="15.75" customHeight="1">
      <c r="C170" s="34">
        <v>9418.0</v>
      </c>
      <c r="D170" s="70" t="s">
        <v>321</v>
      </c>
      <c r="E170" s="71" t="str">
        <f>vlookup(C170,'NOC-List'!B$2:C$502,2,False)</f>
        <v>Other metal products machine operators</v>
      </c>
      <c r="F170" s="72">
        <v>4.0</v>
      </c>
      <c r="G170" s="72">
        <v>4.0</v>
      </c>
      <c r="H170" s="72">
        <v>4.0</v>
      </c>
      <c r="I170" s="72">
        <v>4.0</v>
      </c>
      <c r="J170" s="72">
        <v>4.0</v>
      </c>
      <c r="K170" s="72">
        <v>4.0</v>
      </c>
      <c r="L170" s="72">
        <v>4.0</v>
      </c>
      <c r="M170" s="72">
        <v>4.0</v>
      </c>
      <c r="N170" s="72">
        <v>3.0</v>
      </c>
      <c r="O170" s="73"/>
      <c r="P170" s="35">
        <f>IFERROR(__xludf.DUMMYFUNCTION("""COMPUTED_VALUE"""),4212.0)</f>
        <v>4212</v>
      </c>
      <c r="Q170" s="35" t="str">
        <f>IFERROR(__xludf.DUMMYFUNCTION("query(C170:N1163,""Select D,E,F,G,H,I,J,K,L,M WHERE ""&amp;P170&amp;"" =C Limit 1"")"),"Community and Social Service Workers")</f>
        <v>Community and Social Service Workers</v>
      </c>
      <c r="R170" s="35" t="str">
        <f>IFERROR(__xludf.DUMMYFUNCTION("""COMPUTED_VALUE"""),"Social and community service workers")</f>
        <v>Social and community service workers</v>
      </c>
      <c r="S170" s="35">
        <f>IFERROR(__xludf.DUMMYFUNCTION("""COMPUTED_VALUE"""),3.0)</f>
        <v>3</v>
      </c>
      <c r="T170" s="35">
        <f>IFERROR(__xludf.DUMMYFUNCTION("""COMPUTED_VALUE"""),3.0)</f>
        <v>3</v>
      </c>
      <c r="U170" s="35">
        <f>IFERROR(__xludf.DUMMYFUNCTION("""COMPUTED_VALUE"""),3.0)</f>
        <v>3</v>
      </c>
      <c r="V170" s="35">
        <f>IFERROR(__xludf.DUMMYFUNCTION("""COMPUTED_VALUE"""),4.0)</f>
        <v>4</v>
      </c>
      <c r="W170" s="35">
        <f>IFERROR(__xludf.DUMMYFUNCTION("""COMPUTED_VALUE"""),4.0)</f>
        <v>4</v>
      </c>
      <c r="X170" s="35">
        <f>IFERROR(__xludf.DUMMYFUNCTION("""COMPUTED_VALUE"""),3.0)</f>
        <v>3</v>
      </c>
      <c r="Y170" s="35">
        <f>IFERROR(__xludf.DUMMYFUNCTION("""COMPUTED_VALUE"""),4.0)</f>
        <v>4</v>
      </c>
      <c r="Z170" s="35">
        <f>IFERROR(__xludf.DUMMYFUNCTION("""COMPUTED_VALUE"""),4.0)</f>
        <v>4</v>
      </c>
    </row>
    <row r="171" ht="15.75" customHeight="1">
      <c r="C171" s="81">
        <v>6313.0</v>
      </c>
      <c r="D171" s="70" t="s">
        <v>322</v>
      </c>
      <c r="E171" s="71" t="str">
        <f>vlookup(C171,'NOC-List'!B$2:C$502,2,False)</f>
        <v>Accommodation, travel, tourism and related services supervisors</v>
      </c>
      <c r="F171" s="72">
        <v>3.0</v>
      </c>
      <c r="G171" s="72">
        <v>3.0</v>
      </c>
      <c r="H171" s="72">
        <v>4.0</v>
      </c>
      <c r="I171" s="72">
        <v>4.0</v>
      </c>
      <c r="J171" s="72">
        <v>4.0</v>
      </c>
      <c r="K171" s="72">
        <v>3.0</v>
      </c>
      <c r="L171" s="72">
        <v>4.0</v>
      </c>
      <c r="M171" s="72">
        <v>4.0</v>
      </c>
      <c r="N171" s="72">
        <v>4.0</v>
      </c>
      <c r="O171" s="73"/>
      <c r="P171" s="35">
        <f>IFERROR(__xludf.DUMMYFUNCTION("""COMPUTED_VALUE"""),4412.0)</f>
        <v>4412</v>
      </c>
      <c r="Q171" s="35" t="str">
        <f>IFERROR(__xludf.DUMMYFUNCTION("query(C171:N1164,""Select D,E,F,G,H,I,J,K,L,M WHERE ""&amp;P171&amp;"" =C Limit 1"")"),"Companions")</f>
        <v>Companions</v>
      </c>
      <c r="R171" s="35" t="str">
        <f>IFERROR(__xludf.DUMMYFUNCTION("""COMPUTED_VALUE"""),"Home support workers, housekeepers and related occupations")</f>
        <v>Home support workers, housekeepers and related occupations</v>
      </c>
      <c r="S171" s="35">
        <f>IFERROR(__xludf.DUMMYFUNCTION("""COMPUTED_VALUE"""),4.0)</f>
        <v>4</v>
      </c>
      <c r="T171" s="35">
        <f>IFERROR(__xludf.DUMMYFUNCTION("""COMPUTED_VALUE"""),4.0)</f>
        <v>4</v>
      </c>
      <c r="U171" s="35">
        <f>IFERROR(__xludf.DUMMYFUNCTION("""COMPUTED_VALUE"""),4.0)</f>
        <v>4</v>
      </c>
      <c r="V171" s="35">
        <f>IFERROR(__xludf.DUMMYFUNCTION("""COMPUTED_VALUE"""),4.0)</f>
        <v>4</v>
      </c>
      <c r="W171" s="35">
        <f>IFERROR(__xludf.DUMMYFUNCTION("""COMPUTED_VALUE"""),4.0)</f>
        <v>4</v>
      </c>
      <c r="X171" s="35">
        <f>IFERROR(__xludf.DUMMYFUNCTION("""COMPUTED_VALUE"""),4.0)</f>
        <v>4</v>
      </c>
      <c r="Y171" s="35">
        <f>IFERROR(__xludf.DUMMYFUNCTION("""COMPUTED_VALUE"""),4.0)</f>
        <v>4</v>
      </c>
      <c r="Z171" s="35">
        <f>IFERROR(__xludf.DUMMYFUNCTION("""COMPUTED_VALUE"""),4.0)</f>
        <v>4</v>
      </c>
    </row>
    <row r="172" ht="15.75" customHeight="1">
      <c r="C172" s="34">
        <v>9533.0</v>
      </c>
      <c r="D172" s="70" t="s">
        <v>323</v>
      </c>
      <c r="E172" s="71" t="str">
        <f>vlookup(C172,'NOC-List'!B$2:C$502,2,False)</f>
        <v>Other wood products assemblers and inspectors</v>
      </c>
      <c r="F172" s="72">
        <v>4.0</v>
      </c>
      <c r="G172" s="72">
        <v>4.0</v>
      </c>
      <c r="H172" s="72">
        <v>5.0</v>
      </c>
      <c r="I172" s="72">
        <v>4.0</v>
      </c>
      <c r="J172" s="72">
        <v>4.0</v>
      </c>
      <c r="K172" s="72">
        <v>4.0</v>
      </c>
      <c r="L172" s="72">
        <v>3.0</v>
      </c>
      <c r="M172" s="72">
        <v>4.0</v>
      </c>
      <c r="N172" s="72">
        <v>3.0</v>
      </c>
      <c r="O172" s="73"/>
      <c r="P172" s="35">
        <f>IFERROR(__xludf.DUMMYFUNCTION("""COMPUTED_VALUE"""),213.0)</f>
        <v>213</v>
      </c>
      <c r="Q172" s="35" t="str">
        <f>IFERROR(__xludf.DUMMYFUNCTION("query(C172:N1165,""Select D,E,F,G,H,I,J,K,L,M WHERE ""&amp;P172&amp;"" =C Limit 1"")"),"Computer and Information Systems Managers")</f>
        <v>Computer and Information Systems Managers</v>
      </c>
      <c r="R172" s="35" t="str">
        <f>IFERROR(__xludf.DUMMYFUNCTION("""COMPUTED_VALUE"""),"Computer and information systems managers")</f>
        <v>Computer and information systems managers</v>
      </c>
      <c r="S172" s="35">
        <f>IFERROR(__xludf.DUMMYFUNCTION("""COMPUTED_VALUE"""),1.0)</f>
        <v>1</v>
      </c>
      <c r="T172" s="35">
        <f>IFERROR(__xludf.DUMMYFUNCTION("""COMPUTED_VALUE"""),2.0)</f>
        <v>2</v>
      </c>
      <c r="U172" s="35">
        <f>IFERROR(__xludf.DUMMYFUNCTION("""COMPUTED_VALUE"""),1.0)</f>
        <v>1</v>
      </c>
      <c r="V172" s="35">
        <f>IFERROR(__xludf.DUMMYFUNCTION("""COMPUTED_VALUE"""),2.0)</f>
        <v>2</v>
      </c>
      <c r="W172" s="35">
        <f>IFERROR(__xludf.DUMMYFUNCTION("""COMPUTED_VALUE"""),3.0)</f>
        <v>3</v>
      </c>
      <c r="X172" s="35">
        <f>IFERROR(__xludf.DUMMYFUNCTION("""COMPUTED_VALUE"""),3.0)</f>
        <v>3</v>
      </c>
      <c r="Y172" s="35">
        <f>IFERROR(__xludf.DUMMYFUNCTION("""COMPUTED_VALUE"""),4.0)</f>
        <v>4</v>
      </c>
      <c r="Z172" s="35">
        <f>IFERROR(__xludf.DUMMYFUNCTION("""COMPUTED_VALUE"""),4.0)</f>
        <v>4</v>
      </c>
    </row>
    <row r="173" ht="15.75" customHeight="1">
      <c r="C173" s="34">
        <v>9436.0</v>
      </c>
      <c r="D173" s="70" t="s">
        <v>324</v>
      </c>
      <c r="E173" s="71" t="str">
        <f>vlookup(C173,'NOC-List'!B$2:C$502,2,False)</f>
        <v>Lumber graders and other wood processing inspectors and graders</v>
      </c>
      <c r="F173" s="72">
        <v>4.0</v>
      </c>
      <c r="G173" s="72">
        <v>4.0</v>
      </c>
      <c r="H173" s="72">
        <v>5.0</v>
      </c>
      <c r="I173" s="72">
        <v>4.0</v>
      </c>
      <c r="J173" s="72">
        <v>4.0</v>
      </c>
      <c r="K173" s="72">
        <v>4.0</v>
      </c>
      <c r="L173" s="72">
        <v>3.0</v>
      </c>
      <c r="M173" s="72">
        <v>4.0</v>
      </c>
      <c r="N173" s="72">
        <v>3.0</v>
      </c>
      <c r="O173" s="73"/>
      <c r="P173" s="35">
        <f>IFERROR(__xludf.DUMMYFUNCTION("""COMPUTED_VALUE"""),1416.0)</f>
        <v>1416</v>
      </c>
      <c r="Q173" s="35" t="str">
        <f>IFERROR(__xludf.DUMMYFUNCTION("query(C173:N1166,""Select D,E,F,G,H,I,J,K,L,M WHERE ""&amp;P173&amp;"" =C Limit 1"")"),"Court Clerks")</f>
        <v>Court Clerks</v>
      </c>
      <c r="R173" s="35" t="str">
        <f>IFERROR(__xludf.DUMMYFUNCTION("""COMPUTED_VALUE"""),"Court clerks")</f>
        <v>Court clerks</v>
      </c>
      <c r="S173" s="35">
        <f>IFERROR(__xludf.DUMMYFUNCTION("""COMPUTED_VALUE"""),3.0)</f>
        <v>3</v>
      </c>
      <c r="T173" s="35">
        <f>IFERROR(__xludf.DUMMYFUNCTION("""COMPUTED_VALUE"""),3.0)</f>
        <v>3</v>
      </c>
      <c r="U173" s="35">
        <f>IFERROR(__xludf.DUMMYFUNCTION("""COMPUTED_VALUE"""),3.0)</f>
        <v>3</v>
      </c>
      <c r="V173" s="35">
        <f>IFERROR(__xludf.DUMMYFUNCTION("""COMPUTED_VALUE"""),4.0)</f>
        <v>4</v>
      </c>
      <c r="W173" s="35">
        <f>IFERROR(__xludf.DUMMYFUNCTION("""COMPUTED_VALUE"""),4.0)</f>
        <v>4</v>
      </c>
      <c r="X173" s="35">
        <f>IFERROR(__xludf.DUMMYFUNCTION("""COMPUTED_VALUE"""),3.0)</f>
        <v>3</v>
      </c>
      <c r="Y173" s="35">
        <f>IFERROR(__xludf.DUMMYFUNCTION("""COMPUTED_VALUE"""),4.0)</f>
        <v>4</v>
      </c>
      <c r="Z173" s="35">
        <f>IFERROR(__xludf.DUMMYFUNCTION("""COMPUTED_VALUE"""),4.0)</f>
        <v>4</v>
      </c>
    </row>
    <row r="174" ht="15.75" customHeight="1">
      <c r="C174" s="34">
        <v>912.0</v>
      </c>
      <c r="D174" s="70" t="s">
        <v>325</v>
      </c>
      <c r="E174" s="71" t="str">
        <f>vlookup(C174,'NOC-List'!B$2:C$502,2,False)</f>
        <v>Utilities managers</v>
      </c>
      <c r="F174" s="72">
        <v>2.0</v>
      </c>
      <c r="G174" s="72">
        <v>2.0</v>
      </c>
      <c r="H174" s="72">
        <v>2.0</v>
      </c>
      <c r="I174" s="72">
        <v>3.0</v>
      </c>
      <c r="J174" s="72">
        <v>3.0</v>
      </c>
      <c r="K174" s="72">
        <v>3.0</v>
      </c>
      <c r="L174" s="72">
        <v>4.0</v>
      </c>
      <c r="M174" s="72">
        <v>4.0</v>
      </c>
      <c r="N174" s="72">
        <v>4.0</v>
      </c>
      <c r="O174" s="73"/>
      <c r="P174" s="35">
        <f>IFERROR(__xludf.DUMMYFUNCTION("""COMPUTED_VALUE"""),1227.0)</f>
        <v>1227</v>
      </c>
      <c r="Q174" s="35" t="str">
        <f>IFERROR(__xludf.DUMMYFUNCTION("query(C174:N1167,""Select D,E,F,G,H,I,J,K,L,M WHERE ""&amp;P174&amp;"" =C Limit 1"")"),"Court Officers")</f>
        <v>Court Officers</v>
      </c>
      <c r="R174" s="35" t="str">
        <f>IFERROR(__xludf.DUMMYFUNCTION("""COMPUTED_VALUE"""),"Court officers and justices of the peace")</f>
        <v>Court officers and justices of the peace</v>
      </c>
      <c r="S174" s="35">
        <f>IFERROR(__xludf.DUMMYFUNCTION("""COMPUTED_VALUE"""),3.0)</f>
        <v>3</v>
      </c>
      <c r="T174" s="35">
        <f>IFERROR(__xludf.DUMMYFUNCTION("""COMPUTED_VALUE"""),3.0)</f>
        <v>3</v>
      </c>
      <c r="U174" s="35">
        <f>IFERROR(__xludf.DUMMYFUNCTION("""COMPUTED_VALUE"""),3.0)</f>
        <v>3</v>
      </c>
      <c r="V174" s="35">
        <f>IFERROR(__xludf.DUMMYFUNCTION("""COMPUTED_VALUE"""),4.0)</f>
        <v>4</v>
      </c>
      <c r="W174" s="35">
        <f>IFERROR(__xludf.DUMMYFUNCTION("""COMPUTED_VALUE"""),4.0)</f>
        <v>4</v>
      </c>
      <c r="X174" s="35">
        <f>IFERROR(__xludf.DUMMYFUNCTION("""COMPUTED_VALUE"""),3.0)</f>
        <v>3</v>
      </c>
      <c r="Y174" s="35">
        <f>IFERROR(__xludf.DUMMYFUNCTION("""COMPUTED_VALUE"""),4.0)</f>
        <v>4</v>
      </c>
      <c r="Z174" s="35">
        <f>IFERROR(__xludf.DUMMYFUNCTION("""COMPUTED_VALUE"""),4.0)</f>
        <v>4</v>
      </c>
    </row>
    <row r="175" ht="15.75" customHeight="1">
      <c r="C175" s="34">
        <v>2111.0</v>
      </c>
      <c r="D175" s="70" t="s">
        <v>326</v>
      </c>
      <c r="E175" s="71" t="str">
        <f>vlookup(C175,'NOC-List'!B$2:C$502,2,False)</f>
        <v>Physicists and astronomers</v>
      </c>
      <c r="F175" s="72">
        <v>1.0</v>
      </c>
      <c r="G175" s="72">
        <v>1.0</v>
      </c>
      <c r="H175" s="72">
        <v>1.0</v>
      </c>
      <c r="I175" s="72">
        <v>1.0</v>
      </c>
      <c r="J175" s="72">
        <v>1.0</v>
      </c>
      <c r="K175" s="72">
        <v>3.0</v>
      </c>
      <c r="L175" s="72">
        <v>3.0</v>
      </c>
      <c r="M175" s="72">
        <v>3.0</v>
      </c>
      <c r="N175" s="72">
        <v>3.0</v>
      </c>
      <c r="O175" s="73"/>
      <c r="P175" s="35">
        <f>IFERROR(__xludf.DUMMYFUNCTION("""COMPUTED_VALUE"""),5121.0)</f>
        <v>5121</v>
      </c>
      <c r="Q175" s="35" t="str">
        <f>IFERROR(__xludf.DUMMYFUNCTION("query(C175:N1168,""Select D,E,F,G,H,I,J,K,L,M WHERE ""&amp;P175&amp;"" =C Limit 1"")"),"Creative Writers")</f>
        <v>Creative Writers</v>
      </c>
      <c r="R175" s="35" t="str">
        <f>IFERROR(__xludf.DUMMYFUNCTION("""COMPUTED_VALUE"""),"Authors and writers")</f>
        <v>Authors and writers</v>
      </c>
      <c r="S175" s="35">
        <f>IFERROR(__xludf.DUMMYFUNCTION("""COMPUTED_VALUE"""),2.0)</f>
        <v>2</v>
      </c>
      <c r="T175" s="35">
        <f>IFERROR(__xludf.DUMMYFUNCTION("""COMPUTED_VALUE"""),1.0)</f>
        <v>1</v>
      </c>
      <c r="U175" s="35">
        <f>IFERROR(__xludf.DUMMYFUNCTION("""COMPUTED_VALUE"""),4.0)</f>
        <v>4</v>
      </c>
      <c r="V175" s="35">
        <f>IFERROR(__xludf.DUMMYFUNCTION("""COMPUTED_VALUE"""),4.0)</f>
        <v>4</v>
      </c>
      <c r="W175" s="35">
        <f>IFERROR(__xludf.DUMMYFUNCTION("""COMPUTED_VALUE"""),4.0)</f>
        <v>4</v>
      </c>
      <c r="X175" s="35">
        <f>IFERROR(__xludf.DUMMYFUNCTION("""COMPUTED_VALUE"""),3.0)</f>
        <v>3</v>
      </c>
      <c r="Y175" s="35">
        <f>IFERROR(__xludf.DUMMYFUNCTION("""COMPUTED_VALUE"""),4.0)</f>
        <v>4</v>
      </c>
      <c r="Z175" s="35">
        <f>IFERROR(__xludf.DUMMYFUNCTION("""COMPUTED_VALUE"""),4.0)</f>
        <v>4</v>
      </c>
    </row>
    <row r="176" ht="15.75" customHeight="1">
      <c r="C176" s="34">
        <v>2222.0</v>
      </c>
      <c r="D176" s="70" t="s">
        <v>327</v>
      </c>
      <c r="E176" s="71" t="str">
        <f>vlookup(C176,'NOC-List'!B$2:C$502,2,False)</f>
        <v>Agricultural and fish products inspectors</v>
      </c>
      <c r="F176" s="72">
        <v>2.0</v>
      </c>
      <c r="G176" s="72">
        <v>3.0</v>
      </c>
      <c r="H176" s="72">
        <v>3.0</v>
      </c>
      <c r="I176" s="72">
        <v>4.0</v>
      </c>
      <c r="J176" s="72">
        <v>2.0</v>
      </c>
      <c r="K176" s="72">
        <v>4.0</v>
      </c>
      <c r="L176" s="72">
        <v>4.0</v>
      </c>
      <c r="M176" s="72">
        <v>4.0</v>
      </c>
      <c r="N176" s="72">
        <v>3.0</v>
      </c>
      <c r="O176" s="73"/>
      <c r="P176" s="35">
        <f>IFERROR(__xludf.DUMMYFUNCTION("""COMPUTED_VALUE"""),6314.0)</f>
        <v>6314</v>
      </c>
      <c r="Q176" s="35" t="str">
        <f>IFERROR(__xludf.DUMMYFUNCTION("query(C176:N1169,""Select D,E,F,G,H,I,J,K,L,M WHERE ""&amp;P176&amp;"" =C Limit 1"")"),"Customer Service Clerks in Insurance, Telephone, Utility and Similar Companies")</f>
        <v>Customer Service Clerks in Insurance, Telephone, Utility and Similar Companies</v>
      </c>
      <c r="R176" s="35" t="str">
        <f>IFERROR(__xludf.DUMMYFUNCTION("""COMPUTED_VALUE"""),"Customer and information services supervisors")</f>
        <v>Customer and information services supervisors</v>
      </c>
      <c r="S176" s="35">
        <f>IFERROR(__xludf.DUMMYFUNCTION("""COMPUTED_VALUE"""),3.0)</f>
        <v>3</v>
      </c>
      <c r="T176" s="35">
        <f>IFERROR(__xludf.DUMMYFUNCTION("""COMPUTED_VALUE"""),3.0)</f>
        <v>3</v>
      </c>
      <c r="U176" s="35">
        <f>IFERROR(__xludf.DUMMYFUNCTION("""COMPUTED_VALUE"""),3.0)</f>
        <v>3</v>
      </c>
      <c r="V176" s="35">
        <f>IFERROR(__xludf.DUMMYFUNCTION("""COMPUTED_VALUE"""),4.0)</f>
        <v>4</v>
      </c>
      <c r="W176" s="35">
        <f>IFERROR(__xludf.DUMMYFUNCTION("""COMPUTED_VALUE"""),4.0)</f>
        <v>4</v>
      </c>
      <c r="X176" s="35">
        <f>IFERROR(__xludf.DUMMYFUNCTION("""COMPUTED_VALUE"""),3.0)</f>
        <v>3</v>
      </c>
      <c r="Y176" s="35">
        <f>IFERROR(__xludf.DUMMYFUNCTION("""COMPUTED_VALUE"""),4.0)</f>
        <v>4</v>
      </c>
      <c r="Z176" s="35">
        <f>IFERROR(__xludf.DUMMYFUNCTION("""COMPUTED_VALUE"""),4.0)</f>
        <v>4</v>
      </c>
    </row>
    <row r="177" ht="15.75" customHeight="1">
      <c r="C177" s="34">
        <v>9472.0</v>
      </c>
      <c r="D177" s="70" t="s">
        <v>328</v>
      </c>
      <c r="E177" s="71" t="str">
        <f>vlookup(C177,'NOC-List'!B$2:C$502,2,False)</f>
        <v>Camera, platemaking and other prepress occupations</v>
      </c>
      <c r="F177" s="72">
        <v>3.0</v>
      </c>
      <c r="G177" s="72">
        <v>3.0</v>
      </c>
      <c r="H177" s="72">
        <v>3.0</v>
      </c>
      <c r="I177" s="72">
        <v>3.0</v>
      </c>
      <c r="J177" s="72">
        <v>2.0</v>
      </c>
      <c r="K177" s="72">
        <v>4.0</v>
      </c>
      <c r="L177" s="72">
        <v>3.0</v>
      </c>
      <c r="M177" s="72">
        <v>4.0</v>
      </c>
      <c r="N177" s="72">
        <v>4.0</v>
      </c>
      <c r="O177" s="73"/>
      <c r="P177" s="35">
        <f>IFERROR(__xludf.DUMMYFUNCTION("""COMPUTED_VALUE"""),6552.0)</f>
        <v>6552</v>
      </c>
      <c r="Q177" s="35" t="str">
        <f>IFERROR(__xludf.DUMMYFUNCTION("query(C177:N1170,""Select D,E,F,G,H,I,J,K,L,M WHERE ""&amp;P177&amp;"" =C Limit 1"")"),"Customer Service Clerks in Retail Establishments")</f>
        <v>Customer Service Clerks in Retail Establishments</v>
      </c>
      <c r="R177" s="35" t="str">
        <f>IFERROR(__xludf.DUMMYFUNCTION("""COMPUTED_VALUE"""),"Other customer and information services representatives")</f>
        <v>Other customer and information services representatives</v>
      </c>
      <c r="S177" s="35">
        <f>IFERROR(__xludf.DUMMYFUNCTION("""COMPUTED_VALUE"""),3.0)</f>
        <v>3</v>
      </c>
      <c r="T177" s="35">
        <f>IFERROR(__xludf.DUMMYFUNCTION("""COMPUTED_VALUE"""),3.0)</f>
        <v>3</v>
      </c>
      <c r="U177" s="35">
        <f>IFERROR(__xludf.DUMMYFUNCTION("""COMPUTED_VALUE"""),3.0)</f>
        <v>3</v>
      </c>
      <c r="V177" s="35">
        <f>IFERROR(__xludf.DUMMYFUNCTION("""COMPUTED_VALUE"""),4.0)</f>
        <v>4</v>
      </c>
      <c r="W177" s="35">
        <f>IFERROR(__xludf.DUMMYFUNCTION("""COMPUTED_VALUE"""),4.0)</f>
        <v>4</v>
      </c>
      <c r="X177" s="35">
        <f>IFERROR(__xludf.DUMMYFUNCTION("""COMPUTED_VALUE"""),3.0)</f>
        <v>3</v>
      </c>
      <c r="Y177" s="35">
        <f>IFERROR(__xludf.DUMMYFUNCTION("""COMPUTED_VALUE"""),4.0)</f>
        <v>4</v>
      </c>
      <c r="Z177" s="35">
        <f>IFERROR(__xludf.DUMMYFUNCTION("""COMPUTED_VALUE"""),4.0)</f>
        <v>4</v>
      </c>
    </row>
    <row r="178" ht="15.75" customHeight="1">
      <c r="C178" s="81">
        <v>1511.0</v>
      </c>
      <c r="D178" s="70" t="s">
        <v>329</v>
      </c>
      <c r="E178" s="71" t="str">
        <f>vlookup(C178,'NOC-List'!B$2:C$502,2,False)</f>
        <v>Mail, postal and related workers</v>
      </c>
      <c r="F178" s="72">
        <v>3.0</v>
      </c>
      <c r="G178" s="72">
        <v>3.0</v>
      </c>
      <c r="H178" s="72">
        <v>3.0</v>
      </c>
      <c r="I178" s="72">
        <v>4.0</v>
      </c>
      <c r="J178" s="72">
        <v>4.0</v>
      </c>
      <c r="K178" s="72">
        <v>3.0</v>
      </c>
      <c r="L178" s="72">
        <v>4.0</v>
      </c>
      <c r="M178" s="72">
        <v>3.0</v>
      </c>
      <c r="N178" s="72">
        <v>4.0</v>
      </c>
      <c r="O178" s="73"/>
      <c r="P178" s="35">
        <f>IFERROR(__xludf.DUMMYFUNCTION("""COMPUTED_VALUE"""),6551.0)</f>
        <v>6551</v>
      </c>
      <c r="Q178" s="35" t="str">
        <f>IFERROR(__xludf.DUMMYFUNCTION("query(C178:N1171,""Select D,E,F,G,H,I,J,K,L,M WHERE ""&amp;P178&amp;"" =C Limit 1"")"),"Customer Service Representatives - Financial Services")</f>
        <v>Customer Service Representatives - Financial Services</v>
      </c>
      <c r="R178" s="35" t="str">
        <f>IFERROR(__xludf.DUMMYFUNCTION("""COMPUTED_VALUE"""),"Customer services representatives - financial institutions")</f>
        <v>Customer services representatives - financial institutions</v>
      </c>
      <c r="S178" s="35">
        <f>IFERROR(__xludf.DUMMYFUNCTION("""COMPUTED_VALUE"""),3.0)</f>
        <v>3</v>
      </c>
      <c r="T178" s="35">
        <f>IFERROR(__xludf.DUMMYFUNCTION("""COMPUTED_VALUE"""),3.0)</f>
        <v>3</v>
      </c>
      <c r="U178" s="35">
        <f>IFERROR(__xludf.DUMMYFUNCTION("""COMPUTED_VALUE"""),3.0)</f>
        <v>3</v>
      </c>
      <c r="V178" s="35">
        <f>IFERROR(__xludf.DUMMYFUNCTION("""COMPUTED_VALUE"""),4.0)</f>
        <v>4</v>
      </c>
      <c r="W178" s="35">
        <f>IFERROR(__xludf.DUMMYFUNCTION("""COMPUTED_VALUE"""),4.0)</f>
        <v>4</v>
      </c>
      <c r="X178" s="35">
        <f>IFERROR(__xludf.DUMMYFUNCTION("""COMPUTED_VALUE"""),2.0)</f>
        <v>2</v>
      </c>
      <c r="Y178" s="35">
        <f>IFERROR(__xludf.DUMMYFUNCTION("""COMPUTED_VALUE"""),4.0)</f>
        <v>4</v>
      </c>
      <c r="Z178" s="35">
        <f>IFERROR(__xludf.DUMMYFUNCTION("""COMPUTED_VALUE"""),3.0)</f>
        <v>3</v>
      </c>
    </row>
    <row r="179" ht="15.75" customHeight="1">
      <c r="C179" s="34">
        <v>9462.0</v>
      </c>
      <c r="D179" s="70" t="s">
        <v>330</v>
      </c>
      <c r="E179" s="71" t="str">
        <f>vlookup(C179,'NOC-List'!B$2:C$502,2,False)</f>
        <v>Industrial butchers and meat cutters, poultry preparers and related workers</v>
      </c>
      <c r="F179" s="72">
        <v>3.0</v>
      </c>
      <c r="G179" s="72">
        <v>4.0</v>
      </c>
      <c r="H179" s="72">
        <v>4.0</v>
      </c>
      <c r="I179" s="72">
        <v>4.0</v>
      </c>
      <c r="J179" s="72">
        <v>4.0</v>
      </c>
      <c r="K179" s="72">
        <v>5.0</v>
      </c>
      <c r="L179" s="72">
        <v>4.0</v>
      </c>
      <c r="M179" s="72">
        <v>4.0</v>
      </c>
      <c r="N179" s="72">
        <v>3.0</v>
      </c>
      <c r="O179" s="73"/>
      <c r="P179" s="35">
        <f>IFERROR(__xludf.DUMMYFUNCTION("""COMPUTED_VALUE"""),1315.0)</f>
        <v>1315</v>
      </c>
      <c r="Q179" s="35" t="str">
        <f>IFERROR(__xludf.DUMMYFUNCTION("query(C179:N1172,""Select D,E,F,G,H,I,J,K,L,M WHERE ""&amp;P179&amp;"" =C Limit 1"")"),"Customs Brokers")</f>
        <v>Customs Brokers</v>
      </c>
      <c r="R179" s="35" t="str">
        <f>IFERROR(__xludf.DUMMYFUNCTION("""COMPUTED_VALUE"""),"Customs, ship and other brokers")</f>
        <v>Customs, ship and other brokers</v>
      </c>
      <c r="S179" s="35">
        <f>IFERROR(__xludf.DUMMYFUNCTION("""COMPUTED_VALUE"""),2.0)</f>
        <v>2</v>
      </c>
      <c r="T179" s="35">
        <f>IFERROR(__xludf.DUMMYFUNCTION("""COMPUTED_VALUE"""),2.0)</f>
        <v>2</v>
      </c>
      <c r="U179" s="35">
        <f>IFERROR(__xludf.DUMMYFUNCTION("""COMPUTED_VALUE"""),3.0)</f>
        <v>3</v>
      </c>
      <c r="V179" s="35">
        <f>IFERROR(__xludf.DUMMYFUNCTION("""COMPUTED_VALUE"""),4.0)</f>
        <v>4</v>
      </c>
      <c r="W179" s="35">
        <f>IFERROR(__xludf.DUMMYFUNCTION("""COMPUTED_VALUE"""),4.0)</f>
        <v>4</v>
      </c>
      <c r="X179" s="35">
        <f>IFERROR(__xludf.DUMMYFUNCTION("""COMPUTED_VALUE"""),3.0)</f>
        <v>3</v>
      </c>
      <c r="Y179" s="35">
        <f>IFERROR(__xludf.DUMMYFUNCTION("""COMPUTED_VALUE"""),4.0)</f>
        <v>4</v>
      </c>
      <c r="Z179" s="35">
        <f>IFERROR(__xludf.DUMMYFUNCTION("""COMPUTED_VALUE"""),4.0)</f>
        <v>4</v>
      </c>
    </row>
    <row r="180" ht="15.75" customHeight="1">
      <c r="C180" s="34">
        <v>9241.0</v>
      </c>
      <c r="D180" s="70" t="s">
        <v>331</v>
      </c>
      <c r="E180" s="71" t="str">
        <f>vlookup(C180,'NOC-List'!B$2:C$502,2,False)</f>
        <v>Power engineers and power systems operators</v>
      </c>
      <c r="F180" s="72">
        <v>3.0</v>
      </c>
      <c r="G180" s="72">
        <v>3.0</v>
      </c>
      <c r="H180" s="72">
        <v>3.0</v>
      </c>
      <c r="I180" s="72">
        <v>4.0</v>
      </c>
      <c r="J180" s="72">
        <v>3.0</v>
      </c>
      <c r="K180" s="72">
        <v>3.0</v>
      </c>
      <c r="L180" s="72">
        <v>4.0</v>
      </c>
      <c r="M180" s="72">
        <v>4.0</v>
      </c>
      <c r="N180" s="72">
        <v>4.0</v>
      </c>
      <c r="O180" s="73"/>
      <c r="P180" s="35">
        <f>IFERROR(__xludf.DUMMYFUNCTION("""COMPUTED_VALUE"""),3132.0)</f>
        <v>3132</v>
      </c>
      <c r="Q180" s="35" t="str">
        <f>IFERROR(__xludf.DUMMYFUNCTION("query(C180:N1173,""Select D,E,F,G,H,I,J,K,L,M WHERE ""&amp;P180&amp;"" =C Limit 1"")"),"Dietitians and Nutritionists")</f>
        <v>Dietitians and Nutritionists</v>
      </c>
      <c r="R180" s="35" t="str">
        <f>IFERROR(__xludf.DUMMYFUNCTION("""COMPUTED_VALUE"""),"Dietitians and nutritionists")</f>
        <v>Dietitians and nutritionists</v>
      </c>
      <c r="S180" s="35">
        <f>IFERROR(__xludf.DUMMYFUNCTION("""COMPUTED_VALUE"""),2.0)</f>
        <v>2</v>
      </c>
      <c r="T180" s="35">
        <f>IFERROR(__xludf.DUMMYFUNCTION("""COMPUTED_VALUE"""),2.0)</f>
        <v>2</v>
      </c>
      <c r="U180" s="35">
        <f>IFERROR(__xludf.DUMMYFUNCTION("""COMPUTED_VALUE"""),2.0)</f>
        <v>2</v>
      </c>
      <c r="V180" s="35">
        <f>IFERROR(__xludf.DUMMYFUNCTION("""COMPUTED_VALUE"""),3.0)</f>
        <v>3</v>
      </c>
      <c r="W180" s="35">
        <f>IFERROR(__xludf.DUMMYFUNCTION("""COMPUTED_VALUE"""),3.0)</f>
        <v>3</v>
      </c>
      <c r="X180" s="35">
        <f>IFERROR(__xludf.DUMMYFUNCTION("""COMPUTED_VALUE"""),4.0)</f>
        <v>4</v>
      </c>
      <c r="Y180" s="35">
        <f>IFERROR(__xludf.DUMMYFUNCTION("""COMPUTED_VALUE"""),4.0)</f>
        <v>4</v>
      </c>
      <c r="Z180" s="35">
        <f>IFERROR(__xludf.DUMMYFUNCTION("""COMPUTED_VALUE"""),4.0)</f>
        <v>4</v>
      </c>
    </row>
    <row r="181" ht="15.75" customHeight="1">
      <c r="C181" s="34">
        <v>9241.0</v>
      </c>
      <c r="D181" s="70" t="s">
        <v>332</v>
      </c>
      <c r="E181" s="71" t="str">
        <f>vlookup(C181,'NOC-List'!B$2:C$502,2,False)</f>
        <v>Power engineers and power systems operators</v>
      </c>
      <c r="F181" s="72">
        <v>3.0</v>
      </c>
      <c r="G181" s="72">
        <v>3.0</v>
      </c>
      <c r="H181" s="72">
        <v>3.0</v>
      </c>
      <c r="I181" s="72">
        <v>4.0</v>
      </c>
      <c r="J181" s="72">
        <v>3.0</v>
      </c>
      <c r="K181" s="72">
        <v>3.0</v>
      </c>
      <c r="L181" s="72">
        <v>4.0</v>
      </c>
      <c r="M181" s="72">
        <v>4.0</v>
      </c>
      <c r="N181" s="72">
        <v>4.0</v>
      </c>
      <c r="O181" s="73"/>
      <c r="P181" s="35">
        <f>IFERROR(__xludf.DUMMYFUNCTION("""COMPUTED_VALUE"""),1525.0)</f>
        <v>1525</v>
      </c>
      <c r="Q181" s="35" t="str">
        <f>IFERROR(__xludf.DUMMYFUNCTION("query(C181:N1174,""Select D,E,F,G,H,I,J,K,L,M WHERE ""&amp;P181&amp;"" =C Limit 1"")"),"Dispatchers")</f>
        <v>Dispatchers</v>
      </c>
      <c r="R181" s="35" t="str">
        <f>IFERROR(__xludf.DUMMYFUNCTION("""COMPUTED_VALUE"""),"Dispatchers")</f>
        <v>Dispatchers</v>
      </c>
      <c r="S181" s="35">
        <f>IFERROR(__xludf.DUMMYFUNCTION("""COMPUTED_VALUE"""),3.0)</f>
        <v>3</v>
      </c>
      <c r="T181" s="35">
        <f>IFERROR(__xludf.DUMMYFUNCTION("""COMPUTED_VALUE"""),3.0)</f>
        <v>3</v>
      </c>
      <c r="U181" s="35">
        <f>IFERROR(__xludf.DUMMYFUNCTION("""COMPUTED_VALUE"""),3.0)</f>
        <v>3</v>
      </c>
      <c r="V181" s="35">
        <f>IFERROR(__xludf.DUMMYFUNCTION("""COMPUTED_VALUE"""),4.0)</f>
        <v>4</v>
      </c>
      <c r="W181" s="35">
        <f>IFERROR(__xludf.DUMMYFUNCTION("""COMPUTED_VALUE"""),4.0)</f>
        <v>4</v>
      </c>
      <c r="X181" s="35">
        <f>IFERROR(__xludf.DUMMYFUNCTION("""COMPUTED_VALUE"""),3.0)</f>
        <v>3</v>
      </c>
      <c r="Y181" s="35">
        <f>IFERROR(__xludf.DUMMYFUNCTION("""COMPUTED_VALUE"""),4.0)</f>
        <v>4</v>
      </c>
      <c r="Z181" s="35">
        <f>IFERROR(__xludf.DUMMYFUNCTION("""COMPUTED_VALUE"""),4.0)</f>
        <v>4</v>
      </c>
    </row>
    <row r="182" ht="15.75" customHeight="1">
      <c r="C182" s="81">
        <v>1215.0</v>
      </c>
      <c r="D182" s="70" t="s">
        <v>333</v>
      </c>
      <c r="E182" s="71" t="str">
        <f>vlookup(C182,'NOC-List'!B$2:C$502,2,False)</f>
        <v>Supervisors, supply chain, tracking and scheduling co-ordination occupations</v>
      </c>
      <c r="F182" s="72">
        <v>2.0</v>
      </c>
      <c r="G182" s="72">
        <v>2.0</v>
      </c>
      <c r="H182" s="72">
        <v>2.0</v>
      </c>
      <c r="I182" s="72">
        <v>3.0</v>
      </c>
      <c r="J182" s="72">
        <v>3.0</v>
      </c>
      <c r="K182" s="72">
        <v>3.0</v>
      </c>
      <c r="L182" s="72">
        <v>4.0</v>
      </c>
      <c r="M182" s="72">
        <v>4.0</v>
      </c>
      <c r="N182" s="72">
        <v>4.0</v>
      </c>
      <c r="O182" s="73"/>
      <c r="P182" s="35">
        <f>IFERROR(__xludf.DUMMYFUNCTION("""COMPUTED_VALUE"""),4214.0)</f>
        <v>4214</v>
      </c>
      <c r="Q182" s="35" t="str">
        <f>IFERROR(__xludf.DUMMYFUNCTION("query(C182:N1175,""Select D,E,F,G,H,I,J,K,L,M WHERE ""&amp;P182&amp;"" =C Limit 1"")"),"Early Childhood Educator Assistants")</f>
        <v>Early Childhood Educator Assistants</v>
      </c>
      <c r="R182" s="35" t="str">
        <f>IFERROR(__xludf.DUMMYFUNCTION("""COMPUTED_VALUE"""),"Early childhood educators and assistants")</f>
        <v>Early childhood educators and assistants</v>
      </c>
      <c r="S182" s="35">
        <f>IFERROR(__xludf.DUMMYFUNCTION("""COMPUTED_VALUE"""),3.0)</f>
        <v>3</v>
      </c>
      <c r="T182" s="35">
        <f>IFERROR(__xludf.DUMMYFUNCTION("""COMPUTED_VALUE"""),3.0)</f>
        <v>3</v>
      </c>
      <c r="U182" s="35">
        <f>IFERROR(__xludf.DUMMYFUNCTION("""COMPUTED_VALUE"""),4.0)</f>
        <v>4</v>
      </c>
      <c r="V182" s="35">
        <f>IFERROR(__xludf.DUMMYFUNCTION("""COMPUTED_VALUE"""),4.0)</f>
        <v>4</v>
      </c>
      <c r="W182" s="35">
        <f>IFERROR(__xludf.DUMMYFUNCTION("""COMPUTED_VALUE"""),4.0)</f>
        <v>4</v>
      </c>
      <c r="X182" s="35">
        <f>IFERROR(__xludf.DUMMYFUNCTION("""COMPUTED_VALUE"""),4.0)</f>
        <v>4</v>
      </c>
      <c r="Y182" s="35">
        <f>IFERROR(__xludf.DUMMYFUNCTION("""COMPUTED_VALUE"""),4.0)</f>
        <v>4</v>
      </c>
      <c r="Z182" s="35">
        <f>IFERROR(__xludf.DUMMYFUNCTION("""COMPUTED_VALUE"""),4.0)</f>
        <v>4</v>
      </c>
    </row>
    <row r="183" ht="15.75" customHeight="1">
      <c r="C183" s="34">
        <v>6541.0</v>
      </c>
      <c r="D183" s="70" t="s">
        <v>334</v>
      </c>
      <c r="E183" s="71" t="str">
        <f>vlookup(C183,'NOC-List'!B$2:C$502,2,False)</f>
        <v>Security guards and related security service occupations</v>
      </c>
      <c r="F183" s="72">
        <v>3.0</v>
      </c>
      <c r="G183" s="72">
        <v>3.0</v>
      </c>
      <c r="H183" s="72">
        <v>4.0</v>
      </c>
      <c r="I183" s="72">
        <v>4.0</v>
      </c>
      <c r="J183" s="72">
        <v>3.0</v>
      </c>
      <c r="K183" s="72">
        <v>4.0</v>
      </c>
      <c r="L183" s="72">
        <v>4.0</v>
      </c>
      <c r="M183" s="72">
        <v>4.0</v>
      </c>
      <c r="N183" s="72">
        <v>4.0</v>
      </c>
      <c r="O183" s="73"/>
      <c r="P183" s="35">
        <f>IFERROR(__xludf.DUMMYFUNCTION("""COMPUTED_VALUE"""),5122.0)</f>
        <v>5122</v>
      </c>
      <c r="Q183" s="35" t="str">
        <f>IFERROR(__xludf.DUMMYFUNCTION("query(C183:N1176,""Select D,E,F,G,H,I,J,K,L,M WHERE ""&amp;P183&amp;"" =C Limit 1"")"),"Editors")</f>
        <v>Editors</v>
      </c>
      <c r="R183" s="35" t="str">
        <f>IFERROR(__xludf.DUMMYFUNCTION("""COMPUTED_VALUE"""),"Editors")</f>
        <v>Editors</v>
      </c>
      <c r="S183" s="35">
        <f>IFERROR(__xludf.DUMMYFUNCTION("""COMPUTED_VALUE"""),2.0)</f>
        <v>2</v>
      </c>
      <c r="T183" s="35">
        <f>IFERROR(__xludf.DUMMYFUNCTION("""COMPUTED_VALUE"""),1.0)</f>
        <v>1</v>
      </c>
      <c r="U183" s="35">
        <f>IFERROR(__xludf.DUMMYFUNCTION("""COMPUTED_VALUE"""),3.0)</f>
        <v>3</v>
      </c>
      <c r="V183" s="35">
        <f>IFERROR(__xludf.DUMMYFUNCTION("""COMPUTED_VALUE"""),3.0)</f>
        <v>3</v>
      </c>
      <c r="W183" s="35">
        <f>IFERROR(__xludf.DUMMYFUNCTION("""COMPUTED_VALUE"""),4.0)</f>
        <v>4</v>
      </c>
      <c r="X183" s="35">
        <f>IFERROR(__xludf.DUMMYFUNCTION("""COMPUTED_VALUE"""),3.0)</f>
        <v>3</v>
      </c>
      <c r="Y183" s="35">
        <f>IFERROR(__xludf.DUMMYFUNCTION("""COMPUTED_VALUE"""),4.0)</f>
        <v>4</v>
      </c>
      <c r="Z183" s="35">
        <f>IFERROR(__xludf.DUMMYFUNCTION("""COMPUTED_VALUE"""),4.0)</f>
        <v>4</v>
      </c>
    </row>
    <row r="184" ht="15.75" customHeight="1">
      <c r="C184" s="34">
        <v>6561.0</v>
      </c>
      <c r="D184" s="70" t="s">
        <v>335</v>
      </c>
      <c r="E184" s="71" t="str">
        <f>vlookup(C184,'NOC-List'!B$2:C$502,2,False)</f>
        <v>Image, social and other personal consultants</v>
      </c>
      <c r="F184" s="72">
        <v>3.0</v>
      </c>
      <c r="G184" s="72">
        <v>3.0</v>
      </c>
      <c r="H184" s="72">
        <v>4.0</v>
      </c>
      <c r="I184" s="72">
        <v>4.0</v>
      </c>
      <c r="J184" s="72">
        <v>3.0</v>
      </c>
      <c r="K184" s="72">
        <v>4.0</v>
      </c>
      <c r="L184" s="72">
        <v>4.0</v>
      </c>
      <c r="M184" s="72">
        <v>4.0</v>
      </c>
      <c r="N184" s="72">
        <v>4.0</v>
      </c>
      <c r="O184" s="73"/>
      <c r="P184" s="35">
        <f>IFERROR(__xludf.DUMMYFUNCTION("""COMPUTED_VALUE"""),4166.0)</f>
        <v>4166</v>
      </c>
      <c r="Q184" s="35" t="str">
        <f>IFERROR(__xludf.DUMMYFUNCTION("query(C184:N1177,""Select D,E,F,G,H,I,J,K,L,M WHERE ""&amp;P184&amp;"" =C Limit 1"")"),"Education Policy Researchers, Consultants and Program Officers")</f>
        <v>Education Policy Researchers, Consultants and Program Officers</v>
      </c>
      <c r="R184" s="35" t="str">
        <f>IFERROR(__xludf.DUMMYFUNCTION("""COMPUTED_VALUE"""),"Education policy researchers, consultants and program officers")</f>
        <v>Education policy researchers, consultants and program officers</v>
      </c>
      <c r="S184" s="35">
        <f>IFERROR(__xludf.DUMMYFUNCTION("""COMPUTED_VALUE"""),2.0)</f>
        <v>2</v>
      </c>
      <c r="T184" s="35">
        <f>IFERROR(__xludf.DUMMYFUNCTION("""COMPUTED_VALUE"""),2.0)</f>
        <v>2</v>
      </c>
      <c r="U184" s="35">
        <f>IFERROR(__xludf.DUMMYFUNCTION("""COMPUTED_VALUE"""),3.0)</f>
        <v>3</v>
      </c>
      <c r="V184" s="35">
        <f>IFERROR(__xludf.DUMMYFUNCTION("""COMPUTED_VALUE"""),4.0)</f>
        <v>4</v>
      </c>
      <c r="W184" s="35">
        <f>IFERROR(__xludf.DUMMYFUNCTION("""COMPUTED_VALUE"""),4.0)</f>
        <v>4</v>
      </c>
      <c r="X184" s="35">
        <f>IFERROR(__xludf.DUMMYFUNCTION("""COMPUTED_VALUE"""),3.0)</f>
        <v>3</v>
      </c>
      <c r="Y184" s="35">
        <f>IFERROR(__xludf.DUMMYFUNCTION("""COMPUTED_VALUE"""),4.0)</f>
        <v>4</v>
      </c>
      <c r="Z184" s="35">
        <f>IFERROR(__xludf.DUMMYFUNCTION("""COMPUTED_VALUE"""),4.0)</f>
        <v>4</v>
      </c>
    </row>
    <row r="185" ht="15.75" customHeight="1">
      <c r="C185" s="34">
        <v>7362.0</v>
      </c>
      <c r="D185" s="70" t="s">
        <v>336</v>
      </c>
      <c r="E185" s="71" t="str">
        <f>vlookup(C185,'NOC-List'!B$2:C$502,2,False)</f>
        <v>Railway conductors and brakemen/women</v>
      </c>
      <c r="F185" s="72">
        <v>3.0</v>
      </c>
      <c r="G185" s="72">
        <v>3.0</v>
      </c>
      <c r="H185" s="72">
        <v>4.0</v>
      </c>
      <c r="I185" s="72">
        <v>4.0</v>
      </c>
      <c r="J185" s="72">
        <v>4.0</v>
      </c>
      <c r="K185" s="72">
        <v>3.0</v>
      </c>
      <c r="L185" s="72">
        <v>4.0</v>
      </c>
      <c r="M185" s="72">
        <v>4.0</v>
      </c>
      <c r="N185" s="72">
        <v>4.0</v>
      </c>
      <c r="O185" s="73"/>
      <c r="P185" s="35">
        <f>IFERROR(__xludf.DUMMYFUNCTION("""COMPUTED_VALUE"""),4032.0)</f>
        <v>4032</v>
      </c>
      <c r="Q185" s="35" t="str">
        <f>IFERROR(__xludf.DUMMYFUNCTION("query(C185:N1178,""Select D,E,F,G,H,I,J,K,L,M WHERE ""&amp;P185&amp;"" =C Limit 1"")"),"Elementary School and Kindergarten Teachers")</f>
        <v>Elementary School and Kindergarten Teachers</v>
      </c>
      <c r="R185" s="35" t="str">
        <f>IFERROR(__xludf.DUMMYFUNCTION("""COMPUTED_VALUE"""),"Elementary school and kindergarten teachers")</f>
        <v>Elementary school and kindergarten teachers</v>
      </c>
      <c r="S185" s="35">
        <f>IFERROR(__xludf.DUMMYFUNCTION("""COMPUTED_VALUE"""),2.0)</f>
        <v>2</v>
      </c>
      <c r="T185" s="35">
        <f>IFERROR(__xludf.DUMMYFUNCTION("""COMPUTED_VALUE"""),2.0)</f>
        <v>2</v>
      </c>
      <c r="U185" s="35">
        <f>IFERROR(__xludf.DUMMYFUNCTION("""COMPUTED_VALUE"""),3.0)</f>
        <v>3</v>
      </c>
      <c r="V185" s="35">
        <f>IFERROR(__xludf.DUMMYFUNCTION("""COMPUTED_VALUE"""),4.0)</f>
        <v>4</v>
      </c>
      <c r="W185" s="35">
        <f>IFERROR(__xludf.DUMMYFUNCTION("""COMPUTED_VALUE"""),4.0)</f>
        <v>4</v>
      </c>
      <c r="X185" s="35">
        <f>IFERROR(__xludf.DUMMYFUNCTION("""COMPUTED_VALUE"""),3.0)</f>
        <v>3</v>
      </c>
      <c r="Y185" s="35">
        <f>IFERROR(__xludf.DUMMYFUNCTION("""COMPUTED_VALUE"""),4.0)</f>
        <v>4</v>
      </c>
      <c r="Z185" s="35">
        <f>IFERROR(__xludf.DUMMYFUNCTION("""COMPUTED_VALUE"""),4.0)</f>
        <v>4</v>
      </c>
    </row>
    <row r="186" ht="15.75" customHeight="1">
      <c r="C186" s="81">
        <v>4167.0</v>
      </c>
      <c r="D186" s="70" t="s">
        <v>337</v>
      </c>
      <c r="E186" s="71" t="str">
        <f>vlookup(C186,'NOC-List'!B$2:C$502,2,False)</f>
        <v>Recreation, sports and fitness policy researchers, consultants and program officers</v>
      </c>
      <c r="F186" s="72">
        <v>3.0</v>
      </c>
      <c r="G186" s="72">
        <v>2.0</v>
      </c>
      <c r="H186" s="72">
        <v>3.0</v>
      </c>
      <c r="I186" s="72">
        <v>3.0</v>
      </c>
      <c r="J186" s="72">
        <v>3.0</v>
      </c>
      <c r="K186" s="72">
        <v>4.0</v>
      </c>
      <c r="L186" s="72">
        <v>3.0</v>
      </c>
      <c r="M186" s="72">
        <v>4.0</v>
      </c>
      <c r="N186" s="72">
        <v>4.0</v>
      </c>
      <c r="O186" s="73"/>
      <c r="P186" s="35">
        <f>IFERROR(__xludf.DUMMYFUNCTION("""COMPUTED_VALUE"""),211.0)</f>
        <v>211</v>
      </c>
      <c r="Q186" s="35" t="str">
        <f>IFERROR(__xludf.DUMMYFUNCTION("query(C186:N1179,""Select D,E,F,G,H,I,J,K,L,M WHERE ""&amp;P186&amp;"" =C Limit 1"")"),"Engineering Managers")</f>
        <v>Engineering Managers</v>
      </c>
      <c r="R186" s="35" t="str">
        <f>IFERROR(__xludf.DUMMYFUNCTION("""COMPUTED_VALUE"""),"Engineering managers")</f>
        <v>Engineering managers</v>
      </c>
      <c r="S186" s="35">
        <f>IFERROR(__xludf.DUMMYFUNCTION("""COMPUTED_VALUE"""),1.0)</f>
        <v>1</v>
      </c>
      <c r="T186" s="35">
        <f>IFERROR(__xludf.DUMMYFUNCTION("""COMPUTED_VALUE"""),2.0)</f>
        <v>2</v>
      </c>
      <c r="U186" s="35">
        <f>IFERROR(__xludf.DUMMYFUNCTION("""COMPUTED_VALUE"""),1.0)</f>
        <v>1</v>
      </c>
      <c r="V186" s="35">
        <f>IFERROR(__xludf.DUMMYFUNCTION("""COMPUTED_VALUE"""),2.0)</f>
        <v>2</v>
      </c>
      <c r="W186" s="35">
        <f>IFERROR(__xludf.DUMMYFUNCTION("""COMPUTED_VALUE"""),3.0)</f>
        <v>3</v>
      </c>
      <c r="X186" s="35">
        <f>IFERROR(__xludf.DUMMYFUNCTION("""COMPUTED_VALUE"""),3.0)</f>
        <v>3</v>
      </c>
      <c r="Y186" s="35">
        <f>IFERROR(__xludf.DUMMYFUNCTION("""COMPUTED_VALUE"""),4.0)</f>
        <v>4</v>
      </c>
      <c r="Z186" s="35">
        <f>IFERROR(__xludf.DUMMYFUNCTION("""COMPUTED_VALUE"""),4.0)</f>
        <v>4</v>
      </c>
    </row>
    <row r="187" ht="15.75" customHeight="1">
      <c r="C187" s="81">
        <v>4161.0</v>
      </c>
      <c r="D187" s="70" t="s">
        <v>338</v>
      </c>
      <c r="E187" s="71" t="str">
        <f>vlookup(C187,'NOC-List'!B$2:C$502,2,False)</f>
        <v>Natural and applied science policy researchers, consultants and program officers</v>
      </c>
      <c r="F187" s="72">
        <v>2.0</v>
      </c>
      <c r="G187" s="72">
        <v>2.0</v>
      </c>
      <c r="H187" s="72">
        <v>2.0</v>
      </c>
      <c r="I187" s="72">
        <v>3.0</v>
      </c>
      <c r="J187" s="72">
        <v>3.0</v>
      </c>
      <c r="K187" s="72">
        <v>3.0</v>
      </c>
      <c r="L187" s="72">
        <v>4.0</v>
      </c>
      <c r="M187" s="72">
        <v>4.0</v>
      </c>
      <c r="N187" s="72">
        <v>4.0</v>
      </c>
      <c r="O187" s="73"/>
      <c r="P187" s="35">
        <f>IFERROR(__xludf.DUMMYFUNCTION("""COMPUTED_VALUE"""),1228.0)</f>
        <v>1228</v>
      </c>
      <c r="Q187" s="35" t="str">
        <f>IFERROR(__xludf.DUMMYFUNCTION("query(C187:N1180,""Select D,E,F,G,H,I,J,K,L,M WHERE ""&amp;P187&amp;"" =C Limit 1"")"),"Excise Tax Revenue Officers")</f>
        <v>Excise Tax Revenue Officers</v>
      </c>
      <c r="R187" s="35" t="str">
        <f>IFERROR(__xludf.DUMMYFUNCTION("""COMPUTED_VALUE"""),"Employment insurance, immigration, border services and revenue officers")</f>
        <v>Employment insurance, immigration, border services and revenue officers</v>
      </c>
      <c r="S187" s="35">
        <f>IFERROR(__xludf.DUMMYFUNCTION("""COMPUTED_VALUE"""),2.0)</f>
        <v>2</v>
      </c>
      <c r="T187" s="35">
        <f>IFERROR(__xludf.DUMMYFUNCTION("""COMPUTED_VALUE"""),2.0)</f>
        <v>2</v>
      </c>
      <c r="U187" s="35">
        <f>IFERROR(__xludf.DUMMYFUNCTION("""COMPUTED_VALUE"""),2.0)</f>
        <v>2</v>
      </c>
      <c r="V187" s="35">
        <f>IFERROR(__xludf.DUMMYFUNCTION("""COMPUTED_VALUE"""),4.0)</f>
        <v>4</v>
      </c>
      <c r="W187" s="35">
        <f>IFERROR(__xludf.DUMMYFUNCTION("""COMPUTED_VALUE"""),3.0)</f>
        <v>3</v>
      </c>
      <c r="X187" s="35">
        <f>IFERROR(__xludf.DUMMYFUNCTION("""COMPUTED_VALUE"""),2.0)</f>
        <v>2</v>
      </c>
      <c r="Y187" s="35">
        <f>IFERROR(__xludf.DUMMYFUNCTION("""COMPUTED_VALUE"""),4.0)</f>
        <v>4</v>
      </c>
      <c r="Z187" s="35">
        <f>IFERROR(__xludf.DUMMYFUNCTION("""COMPUTED_VALUE"""),4.0)</f>
        <v>4</v>
      </c>
    </row>
    <row r="188" ht="15.75" customHeight="1">
      <c r="C188" s="34">
        <v>5227.0</v>
      </c>
      <c r="D188" s="70" t="s">
        <v>339</v>
      </c>
      <c r="E188" s="71" t="str">
        <f>vlookup(C188,'NOC-List'!B$2:C$502,2,False)</f>
        <v>Support occupations in motion pictures, broadcasting, photography and the performing arts</v>
      </c>
      <c r="F188" s="72">
        <v>3.0</v>
      </c>
      <c r="G188" s="72">
        <v>3.0</v>
      </c>
      <c r="H188" s="72">
        <v>4.0</v>
      </c>
      <c r="I188" s="72">
        <v>4.0</v>
      </c>
      <c r="J188" s="72">
        <v>4.0</v>
      </c>
      <c r="K188" s="72">
        <v>3.0</v>
      </c>
      <c r="L188" s="72">
        <v>4.0</v>
      </c>
      <c r="M188" s="72">
        <v>4.0</v>
      </c>
      <c r="N188" s="72">
        <v>4.0</v>
      </c>
      <c r="O188" s="73"/>
      <c r="P188" s="35">
        <f>IFERROR(__xludf.DUMMYFUNCTION("""COMPUTED_VALUE"""),1222.0)</f>
        <v>1222</v>
      </c>
      <c r="Q188" s="35" t="str">
        <f>IFERROR(__xludf.DUMMYFUNCTION("query(C188:N1181,""Select D,E,F,G,H,I,J,K,L,M WHERE ""&amp;P188&amp;"" =C Limit 1"")"),"Executive Assistants")</f>
        <v>Executive Assistants</v>
      </c>
      <c r="R188" s="35" t="str">
        <f>IFERROR(__xludf.DUMMYFUNCTION("""COMPUTED_VALUE"""),"Executive assistants")</f>
        <v>Executive assistants</v>
      </c>
      <c r="S188" s="35">
        <f>IFERROR(__xludf.DUMMYFUNCTION("""COMPUTED_VALUE"""),2.0)</f>
        <v>2</v>
      </c>
      <c r="T188" s="35">
        <f>IFERROR(__xludf.DUMMYFUNCTION("""COMPUTED_VALUE"""),2.0)</f>
        <v>2</v>
      </c>
      <c r="U188" s="35">
        <f>IFERROR(__xludf.DUMMYFUNCTION("""COMPUTED_VALUE"""),3.0)</f>
        <v>3</v>
      </c>
      <c r="V188" s="35">
        <f>IFERROR(__xludf.DUMMYFUNCTION("""COMPUTED_VALUE"""),4.0)</f>
        <v>4</v>
      </c>
      <c r="W188" s="35">
        <f>IFERROR(__xludf.DUMMYFUNCTION("""COMPUTED_VALUE"""),4.0)</f>
        <v>4</v>
      </c>
      <c r="X188" s="35">
        <f>IFERROR(__xludf.DUMMYFUNCTION("""COMPUTED_VALUE"""),3.0)</f>
        <v>3</v>
      </c>
      <c r="Y188" s="35">
        <f>IFERROR(__xludf.DUMMYFUNCTION("""COMPUTED_VALUE"""),4.0)</f>
        <v>4</v>
      </c>
      <c r="Z188" s="35">
        <f>IFERROR(__xludf.DUMMYFUNCTION("""COMPUTED_VALUE"""),4.0)</f>
        <v>4</v>
      </c>
    </row>
    <row r="189" ht="15.75" customHeight="1">
      <c r="C189" s="34">
        <v>8613.0</v>
      </c>
      <c r="D189" s="70" t="s">
        <v>340</v>
      </c>
      <c r="E189" s="71" t="str">
        <f>vlookup(C189,'NOC-List'!B$2:C$502,2,False)</f>
        <v>Aquaculture and marine harvest labourers</v>
      </c>
      <c r="F189" s="72">
        <v>4.0</v>
      </c>
      <c r="G189" s="72">
        <v>4.0</v>
      </c>
      <c r="H189" s="72">
        <v>4.0</v>
      </c>
      <c r="I189" s="72">
        <v>4.0</v>
      </c>
      <c r="J189" s="72">
        <v>4.0</v>
      </c>
      <c r="K189" s="72">
        <v>4.0</v>
      </c>
      <c r="L189" s="72">
        <v>4.0</v>
      </c>
      <c r="M189" s="72">
        <v>3.0</v>
      </c>
      <c r="N189" s="72">
        <v>4.0</v>
      </c>
      <c r="O189" s="73"/>
      <c r="P189" s="35">
        <f>IFERROR(__xludf.DUMMYFUNCTION("""COMPUTED_VALUE"""),6321.0)</f>
        <v>6321</v>
      </c>
      <c r="Q189" s="35" t="str">
        <f>IFERROR(__xludf.DUMMYFUNCTION("query(C189:N1182,""Select D,E,F,G,H,I,J,K,L,M WHERE ""&amp;P189&amp;"" =C Limit 1"")"),"Executive Chefs")</f>
        <v>Executive Chefs</v>
      </c>
      <c r="R189" s="35" t="str">
        <f>IFERROR(__xludf.DUMMYFUNCTION("""COMPUTED_VALUE"""),"Chefs")</f>
        <v>Chefs</v>
      </c>
      <c r="S189" s="35">
        <f>IFERROR(__xludf.DUMMYFUNCTION("""COMPUTED_VALUE"""),3.0)</f>
        <v>3</v>
      </c>
      <c r="T189" s="35">
        <f>IFERROR(__xludf.DUMMYFUNCTION("""COMPUTED_VALUE"""),3.0)</f>
        <v>3</v>
      </c>
      <c r="U189" s="35">
        <f>IFERROR(__xludf.DUMMYFUNCTION("""COMPUTED_VALUE"""),3.0)</f>
        <v>3</v>
      </c>
      <c r="V189" s="35">
        <f>IFERROR(__xludf.DUMMYFUNCTION("""COMPUTED_VALUE"""),4.0)</f>
        <v>4</v>
      </c>
      <c r="W189" s="35">
        <f>IFERROR(__xludf.DUMMYFUNCTION("""COMPUTED_VALUE"""),4.0)</f>
        <v>4</v>
      </c>
      <c r="X189" s="35">
        <f>IFERROR(__xludf.DUMMYFUNCTION("""COMPUTED_VALUE"""),3.0)</f>
        <v>3</v>
      </c>
      <c r="Y189" s="35">
        <f>IFERROR(__xludf.DUMMYFUNCTION("""COMPUTED_VALUE"""),4.0)</f>
        <v>4</v>
      </c>
      <c r="Z189" s="35">
        <f>IFERROR(__xludf.DUMMYFUNCTION("""COMPUTED_VALUE"""),4.0)</f>
        <v>4</v>
      </c>
    </row>
    <row r="190" ht="15.75" customHeight="1">
      <c r="C190" s="34">
        <v>4421.0</v>
      </c>
      <c r="D190" s="70" t="s">
        <v>341</v>
      </c>
      <c r="E190" s="71" t="str">
        <f>vlookup(C190,'NOC-List'!B$2:C$502,2,False)</f>
        <v>Sheriffs and bailiffs</v>
      </c>
      <c r="F190" s="72">
        <v>3.0</v>
      </c>
      <c r="G190" s="72">
        <v>3.0</v>
      </c>
      <c r="H190" s="72">
        <v>4.0</v>
      </c>
      <c r="I190" s="72">
        <v>4.0</v>
      </c>
      <c r="J190" s="72">
        <v>4.0</v>
      </c>
      <c r="K190" s="72">
        <v>3.0</v>
      </c>
      <c r="L190" s="72">
        <v>4.0</v>
      </c>
      <c r="M190" s="72">
        <v>4.0</v>
      </c>
      <c r="N190" s="72">
        <v>4.0</v>
      </c>
      <c r="O190" s="73"/>
      <c r="P190" s="35">
        <f>IFERROR(__xludf.DUMMYFUNCTION("""COMPUTED_VALUE"""),6312.0)</f>
        <v>6312</v>
      </c>
      <c r="Q190" s="35" t="str">
        <f>IFERROR(__xludf.DUMMYFUNCTION("query(C190:N1183,""Select D,E,F,G,H,I,J,K,L,M WHERE ""&amp;P190&amp;"" =C Limit 1"")"),"Executive Housekeepers")</f>
        <v>Executive Housekeepers</v>
      </c>
      <c r="R190" s="35" t="str">
        <f>IFERROR(__xludf.DUMMYFUNCTION("""COMPUTED_VALUE"""),"Executive housekeepers")</f>
        <v>Executive housekeepers</v>
      </c>
      <c r="S190" s="35">
        <f>IFERROR(__xludf.DUMMYFUNCTION("""COMPUTED_VALUE"""),3.0)</f>
        <v>3</v>
      </c>
      <c r="T190" s="35">
        <f>IFERROR(__xludf.DUMMYFUNCTION("""COMPUTED_VALUE"""),3.0)</f>
        <v>3</v>
      </c>
      <c r="U190" s="35">
        <f>IFERROR(__xludf.DUMMYFUNCTION("""COMPUTED_VALUE"""),3.0)</f>
        <v>3</v>
      </c>
      <c r="V190" s="35">
        <f>IFERROR(__xludf.DUMMYFUNCTION("""COMPUTED_VALUE"""),4.0)</f>
        <v>4</v>
      </c>
      <c r="W190" s="35">
        <f>IFERROR(__xludf.DUMMYFUNCTION("""COMPUTED_VALUE"""),4.0)</f>
        <v>4</v>
      </c>
      <c r="X190" s="35">
        <f>IFERROR(__xludf.DUMMYFUNCTION("""COMPUTED_VALUE"""),3.0)</f>
        <v>3</v>
      </c>
      <c r="Y190" s="35">
        <f>IFERROR(__xludf.DUMMYFUNCTION("""COMPUTED_VALUE"""),4.0)</f>
        <v>4</v>
      </c>
      <c r="Z190" s="35">
        <f>IFERROR(__xludf.DUMMYFUNCTION("""COMPUTED_VALUE"""),4.0)</f>
        <v>4</v>
      </c>
    </row>
    <row r="191" ht="15.75" customHeight="1">
      <c r="C191" s="34">
        <v>6522.0</v>
      </c>
      <c r="D191" s="70" t="s">
        <v>342</v>
      </c>
      <c r="E191" s="71" t="str">
        <f>vlookup(C191,'NOC-List'!B$2:C$502,2,False)</f>
        <v>Pursers and flight attendants</v>
      </c>
      <c r="F191" s="72">
        <v>3.0</v>
      </c>
      <c r="G191" s="72">
        <v>3.0</v>
      </c>
      <c r="H191" s="72">
        <v>4.0</v>
      </c>
      <c r="I191" s="72">
        <v>4.0</v>
      </c>
      <c r="J191" s="72">
        <v>4.0</v>
      </c>
      <c r="K191" s="72">
        <v>3.0</v>
      </c>
      <c r="L191" s="72">
        <v>4.0</v>
      </c>
      <c r="M191" s="72">
        <v>4.0</v>
      </c>
      <c r="N191" s="72">
        <v>4.0</v>
      </c>
      <c r="O191" s="73"/>
      <c r="P191" s="35">
        <f>IFERROR(__xludf.DUMMYFUNCTION("""COMPUTED_VALUE"""),1411.0)</f>
        <v>1411</v>
      </c>
      <c r="Q191" s="35" t="str">
        <f>IFERROR(__xludf.DUMMYFUNCTION("query(C191:N1184,""Select D,E,F,G,H,I,J,K,L,M WHERE ""&amp;P191&amp;"" =C Limit 1"")"),"File Clerks")</f>
        <v>File Clerks</v>
      </c>
      <c r="R191" s="35" t="str">
        <f>IFERROR(__xludf.DUMMYFUNCTION("""COMPUTED_VALUE"""),"General office support workers")</f>
        <v>General office support workers</v>
      </c>
      <c r="S191" s="35">
        <f>IFERROR(__xludf.DUMMYFUNCTION("""COMPUTED_VALUE"""),3.0)</f>
        <v>3</v>
      </c>
      <c r="T191" s="35">
        <f>IFERROR(__xludf.DUMMYFUNCTION("""COMPUTED_VALUE"""),3.0)</f>
        <v>3</v>
      </c>
      <c r="U191" s="35">
        <f>IFERROR(__xludf.DUMMYFUNCTION("""COMPUTED_VALUE"""),3.0)</f>
        <v>3</v>
      </c>
      <c r="V191" s="35">
        <f>IFERROR(__xludf.DUMMYFUNCTION("""COMPUTED_VALUE"""),4.0)</f>
        <v>4</v>
      </c>
      <c r="W191" s="35">
        <f>IFERROR(__xludf.DUMMYFUNCTION("""COMPUTED_VALUE"""),4.0)</f>
        <v>4</v>
      </c>
      <c r="X191" s="35">
        <f>IFERROR(__xludf.DUMMYFUNCTION("""COMPUTED_VALUE"""),3.0)</f>
        <v>3</v>
      </c>
      <c r="Y191" s="35">
        <f>IFERROR(__xludf.DUMMYFUNCTION("""COMPUTED_VALUE"""),4.0)</f>
        <v>4</v>
      </c>
      <c r="Z191" s="35">
        <f>IFERROR(__xludf.DUMMYFUNCTION("""COMPUTED_VALUE"""),4.0)</f>
        <v>4</v>
      </c>
    </row>
    <row r="192" ht="15.75" customHeight="1">
      <c r="C192" s="34">
        <v>5133.0</v>
      </c>
      <c r="D192" s="70" t="s">
        <v>343</v>
      </c>
      <c r="E192" s="71" t="str">
        <f>vlookup(C192,'NOC-List'!B$2:C$502,2,False)</f>
        <v>Musicians and singers</v>
      </c>
      <c r="F192" s="72">
        <v>2.0</v>
      </c>
      <c r="G192" s="72">
        <v>2.0</v>
      </c>
      <c r="H192" s="72">
        <v>4.0</v>
      </c>
      <c r="I192" s="72">
        <v>5.0</v>
      </c>
      <c r="J192" s="72">
        <v>3.0</v>
      </c>
      <c r="K192" s="72">
        <v>3.0</v>
      </c>
      <c r="L192" s="72">
        <v>4.0</v>
      </c>
      <c r="M192" s="72">
        <v>4.0</v>
      </c>
      <c r="N192" s="72">
        <v>4.0</v>
      </c>
      <c r="O192" s="73"/>
      <c r="P192" s="35">
        <f>IFERROR(__xludf.DUMMYFUNCTION("""COMPUTED_VALUE"""),9463.0)</f>
        <v>9463</v>
      </c>
      <c r="Q192" s="35" t="str">
        <f>IFERROR(__xludf.DUMMYFUNCTION("query(C192:N1185,""Select D,E,F,G,H,I,J,K,L,M WHERE ""&amp;P192&amp;"" =C Limit 1"")"),"Fish Plant Machine Operators")</f>
        <v>Fish Plant Machine Operators</v>
      </c>
      <c r="R192" s="35" t="str">
        <f>IFERROR(__xludf.DUMMYFUNCTION("""COMPUTED_VALUE"""),"Fish and seafood plant workers")</f>
        <v>Fish and seafood plant workers</v>
      </c>
      <c r="S192" s="35">
        <f>IFERROR(__xludf.DUMMYFUNCTION("""COMPUTED_VALUE"""),4.0)</f>
        <v>4</v>
      </c>
      <c r="T192" s="35">
        <f>IFERROR(__xludf.DUMMYFUNCTION("""COMPUTED_VALUE"""),4.0)</f>
        <v>4</v>
      </c>
      <c r="U192" s="35">
        <f>IFERROR(__xludf.DUMMYFUNCTION("""COMPUTED_VALUE"""),5.0)</f>
        <v>5</v>
      </c>
      <c r="V192" s="35">
        <f>IFERROR(__xludf.DUMMYFUNCTION("""COMPUTED_VALUE"""),4.0)</f>
        <v>4</v>
      </c>
      <c r="W192" s="35">
        <f>IFERROR(__xludf.DUMMYFUNCTION("""COMPUTED_VALUE"""),3.0)</f>
        <v>3</v>
      </c>
      <c r="X192" s="35">
        <f>IFERROR(__xludf.DUMMYFUNCTION("""COMPUTED_VALUE"""),5.0)</f>
        <v>5</v>
      </c>
      <c r="Y192" s="35">
        <f>IFERROR(__xludf.DUMMYFUNCTION("""COMPUTED_VALUE"""),4.0)</f>
        <v>4</v>
      </c>
      <c r="Z192" s="35">
        <f>IFERROR(__xludf.DUMMYFUNCTION("""COMPUTED_VALUE"""),4.0)</f>
        <v>4</v>
      </c>
    </row>
    <row r="193" ht="15.75" customHeight="1">
      <c r="C193" s="34">
        <v>4167.0</v>
      </c>
      <c r="D193" s="70" t="s">
        <v>344</v>
      </c>
      <c r="E193" s="71" t="str">
        <f>vlookup(C193,'NOC-List'!B$2:C$502,2,False)</f>
        <v>Recreation, sports and fitness policy researchers, consultants and program officers</v>
      </c>
      <c r="F193" s="72">
        <v>3.0</v>
      </c>
      <c r="G193" s="72">
        <v>2.0</v>
      </c>
      <c r="H193" s="72">
        <v>3.0</v>
      </c>
      <c r="I193" s="72">
        <v>3.0</v>
      </c>
      <c r="J193" s="72">
        <v>3.0</v>
      </c>
      <c r="K193" s="72">
        <v>3.0</v>
      </c>
      <c r="L193" s="72">
        <v>4.0</v>
      </c>
      <c r="M193" s="72">
        <v>4.0</v>
      </c>
      <c r="N193" s="72">
        <v>4.0</v>
      </c>
      <c r="O193" s="73"/>
      <c r="P193" s="35">
        <f>IFERROR(__xludf.DUMMYFUNCTION("""COMPUTED_VALUE"""),6513.0)</f>
        <v>6513</v>
      </c>
      <c r="Q193" s="35" t="str">
        <f>IFERROR(__xludf.DUMMYFUNCTION("query(C193:N1186,""Select D,E,F,G,H,I,J,K,L,M WHERE ""&amp;P193&amp;"" =C Limit 1"")"),"Food and Beverage Servers")</f>
        <v>Food and Beverage Servers</v>
      </c>
      <c r="R193" s="35" t="str">
        <f>IFERROR(__xludf.DUMMYFUNCTION("""COMPUTED_VALUE"""),"Food and beverage servers")</f>
        <v>Food and beverage servers</v>
      </c>
      <c r="S193" s="35">
        <f>IFERROR(__xludf.DUMMYFUNCTION("""COMPUTED_VALUE"""),4.0)</f>
        <v>4</v>
      </c>
      <c r="T193" s="35">
        <f>IFERROR(__xludf.DUMMYFUNCTION("""COMPUTED_VALUE"""),4.0)</f>
        <v>4</v>
      </c>
      <c r="U193" s="35">
        <f>IFERROR(__xludf.DUMMYFUNCTION("""COMPUTED_VALUE"""),4.0)</f>
        <v>4</v>
      </c>
      <c r="V193" s="35">
        <f>IFERROR(__xludf.DUMMYFUNCTION("""COMPUTED_VALUE"""),4.0)</f>
        <v>4</v>
      </c>
      <c r="W193" s="35">
        <f>IFERROR(__xludf.DUMMYFUNCTION("""COMPUTED_VALUE"""),4.0)</f>
        <v>4</v>
      </c>
      <c r="X193" s="35">
        <f>IFERROR(__xludf.DUMMYFUNCTION("""COMPUTED_VALUE"""),4.0)</f>
        <v>4</v>
      </c>
      <c r="Y193" s="35">
        <f>IFERROR(__xludf.DUMMYFUNCTION("""COMPUTED_VALUE"""),4.0)</f>
        <v>4</v>
      </c>
      <c r="Z193" s="35">
        <f>IFERROR(__xludf.DUMMYFUNCTION("""COMPUTED_VALUE"""),4.0)</f>
        <v>4</v>
      </c>
    </row>
    <row r="194" ht="15.75" customHeight="1">
      <c r="C194" s="81">
        <v>9217.0</v>
      </c>
      <c r="D194" s="70" t="s">
        <v>345</v>
      </c>
      <c r="E194" s="71" t="str">
        <f>vlookup(C194,'NOC-List'!B$2:C$502,2,False)</f>
        <v>Supervisors, textile, fabric, fur and leather products processing and manufacturing</v>
      </c>
      <c r="F194" s="72">
        <v>3.0</v>
      </c>
      <c r="G194" s="72">
        <v>3.0</v>
      </c>
      <c r="H194" s="72">
        <v>3.0</v>
      </c>
      <c r="I194" s="72">
        <v>4.0</v>
      </c>
      <c r="J194" s="72">
        <v>3.0</v>
      </c>
      <c r="K194" s="72">
        <v>3.0</v>
      </c>
      <c r="L194" s="72">
        <v>4.0</v>
      </c>
      <c r="M194" s="72">
        <v>4.0</v>
      </c>
      <c r="N194" s="72">
        <v>4.0</v>
      </c>
      <c r="O194" s="73"/>
      <c r="P194" s="35">
        <f>IFERROR(__xludf.DUMMYFUNCTION("""COMPUTED_VALUE"""),6711.0)</f>
        <v>6711</v>
      </c>
      <c r="Q194" s="35" t="str">
        <f>IFERROR(__xludf.DUMMYFUNCTION("query(C194:N1187,""Select D,E,F,G,H,I,J,K,L,M WHERE ""&amp;P194&amp;"" =C Limit 1"")"),"Food Service Counter Attendants and Food Preparers")</f>
        <v>Food Service Counter Attendants and Food Preparers</v>
      </c>
      <c r="R194" s="35" t="str">
        <f>IFERROR(__xludf.DUMMYFUNCTION("""COMPUTED_VALUE"""),"Food counter attendants, kitchen helpers and related support occupations")</f>
        <v>Food counter attendants, kitchen helpers and related support occupations</v>
      </c>
      <c r="S194" s="35">
        <f>IFERROR(__xludf.DUMMYFUNCTION("""COMPUTED_VALUE"""),4.0)</f>
        <v>4</v>
      </c>
      <c r="T194" s="35">
        <f>IFERROR(__xludf.DUMMYFUNCTION("""COMPUTED_VALUE"""),4.0)</f>
        <v>4</v>
      </c>
      <c r="U194" s="35">
        <f>IFERROR(__xludf.DUMMYFUNCTION("""COMPUTED_VALUE"""),4.0)</f>
        <v>4</v>
      </c>
      <c r="V194" s="35">
        <f>IFERROR(__xludf.DUMMYFUNCTION("""COMPUTED_VALUE"""),4.0)</f>
        <v>4</v>
      </c>
      <c r="W194" s="35">
        <f>IFERROR(__xludf.DUMMYFUNCTION("""COMPUTED_VALUE"""),4.0)</f>
        <v>4</v>
      </c>
      <c r="X194" s="35">
        <f>IFERROR(__xludf.DUMMYFUNCTION("""COMPUTED_VALUE"""),4.0)</f>
        <v>4</v>
      </c>
      <c r="Y194" s="35">
        <f>IFERROR(__xludf.DUMMYFUNCTION("""COMPUTED_VALUE"""),4.0)</f>
        <v>4</v>
      </c>
      <c r="Z194" s="35">
        <f>IFERROR(__xludf.DUMMYFUNCTION("""COMPUTED_VALUE"""),4.0)</f>
        <v>4</v>
      </c>
    </row>
    <row r="195" ht="15.75" customHeight="1">
      <c r="C195" s="34">
        <v>9224.0</v>
      </c>
      <c r="D195" s="70" t="s">
        <v>346</v>
      </c>
      <c r="E195" s="71" t="str">
        <f>vlookup(C195,'NOC-List'!B$2:C$502,2,False)</f>
        <v>Supervisors, furniture and fixtures manufacturing</v>
      </c>
      <c r="F195" s="72">
        <v>3.0</v>
      </c>
      <c r="G195" s="72">
        <v>3.0</v>
      </c>
      <c r="H195" s="72">
        <v>3.0</v>
      </c>
      <c r="I195" s="72">
        <v>4.0</v>
      </c>
      <c r="J195" s="72">
        <v>3.0</v>
      </c>
      <c r="K195" s="72">
        <v>3.0</v>
      </c>
      <c r="L195" s="72">
        <v>4.0</v>
      </c>
      <c r="M195" s="72">
        <v>4.0</v>
      </c>
      <c r="N195" s="72">
        <v>4.0</v>
      </c>
      <c r="O195" s="73"/>
      <c r="P195" s="35">
        <f>IFERROR(__xludf.DUMMYFUNCTION("""COMPUTED_VALUE"""),6311.0)</f>
        <v>6311</v>
      </c>
      <c r="Q195" s="35" t="str">
        <f>IFERROR(__xludf.DUMMYFUNCTION("query(C195:N1188,""Select D,E,F,G,H,I,J,K,L,M WHERE ""&amp;P195&amp;"" =C Limit 1"")"),"Food Service Supervisors")</f>
        <v>Food Service Supervisors</v>
      </c>
      <c r="R195" s="35" t="str">
        <f>IFERROR(__xludf.DUMMYFUNCTION("""COMPUTED_VALUE"""),"Food service supervisors")</f>
        <v>Food service supervisors</v>
      </c>
      <c r="S195" s="35">
        <f>IFERROR(__xludf.DUMMYFUNCTION("""COMPUTED_VALUE"""),3.0)</f>
        <v>3</v>
      </c>
      <c r="T195" s="35">
        <f>IFERROR(__xludf.DUMMYFUNCTION("""COMPUTED_VALUE"""),3.0)</f>
        <v>3</v>
      </c>
      <c r="U195" s="35">
        <f>IFERROR(__xludf.DUMMYFUNCTION("""COMPUTED_VALUE"""),3.0)</f>
        <v>3</v>
      </c>
      <c r="V195" s="35">
        <f>IFERROR(__xludf.DUMMYFUNCTION("""COMPUTED_VALUE"""),4.0)</f>
        <v>4</v>
      </c>
      <c r="W195" s="35">
        <f>IFERROR(__xludf.DUMMYFUNCTION("""COMPUTED_VALUE"""),4.0)</f>
        <v>4</v>
      </c>
      <c r="X195" s="35">
        <f>IFERROR(__xludf.DUMMYFUNCTION("""COMPUTED_VALUE"""),3.0)</f>
        <v>3</v>
      </c>
      <c r="Y195" s="35">
        <f>IFERROR(__xludf.DUMMYFUNCTION("""COMPUTED_VALUE"""),4.0)</f>
        <v>4</v>
      </c>
      <c r="Z195" s="35">
        <f>IFERROR(__xludf.DUMMYFUNCTION("""COMPUTED_VALUE"""),4.0)</f>
        <v>4</v>
      </c>
    </row>
    <row r="196" ht="15.75" customHeight="1">
      <c r="C196" s="34">
        <v>8211.0</v>
      </c>
      <c r="D196" s="70" t="s">
        <v>347</v>
      </c>
      <c r="E196" s="71" t="str">
        <f>vlookup(C196,'NOC-List'!B$2:C$502,2,False)</f>
        <v>Supervisors, logging and forestry</v>
      </c>
      <c r="F196" s="72">
        <v>3.0</v>
      </c>
      <c r="G196" s="72">
        <v>3.0</v>
      </c>
      <c r="H196" s="72">
        <v>3.0</v>
      </c>
      <c r="I196" s="72">
        <v>3.0</v>
      </c>
      <c r="J196" s="72">
        <v>4.0</v>
      </c>
      <c r="K196" s="72">
        <v>3.0</v>
      </c>
      <c r="L196" s="72">
        <v>4.0</v>
      </c>
      <c r="M196" s="72">
        <v>4.0</v>
      </c>
      <c r="N196" s="72">
        <v>4.0</v>
      </c>
      <c r="O196" s="73"/>
      <c r="P196" s="35">
        <f>IFERROR(__xludf.DUMMYFUNCTION("""COMPUTED_VALUE"""),6533.0)</f>
        <v>6533</v>
      </c>
      <c r="Q196" s="35" t="str">
        <f>IFERROR(__xludf.DUMMYFUNCTION("query(C196:N1189,""Select D,E,F,G,H,I,J,K,L,M WHERE ""&amp;P196&amp;"" =C Limit 1"")"),"Gambling Casino Workers")</f>
        <v>Gambling Casino Workers</v>
      </c>
      <c r="R196" s="35" t="str">
        <f>IFERROR(__xludf.DUMMYFUNCTION("""COMPUTED_VALUE"""),"Casino occupations")</f>
        <v>Casino occupations</v>
      </c>
      <c r="S196" s="35">
        <f>IFERROR(__xludf.DUMMYFUNCTION("""COMPUTED_VALUE"""),3.0)</f>
        <v>3</v>
      </c>
      <c r="T196" s="35">
        <f>IFERROR(__xludf.DUMMYFUNCTION("""COMPUTED_VALUE"""),3.0)</f>
        <v>3</v>
      </c>
      <c r="U196" s="35">
        <f>IFERROR(__xludf.DUMMYFUNCTION("""COMPUTED_VALUE"""),3.0)</f>
        <v>3</v>
      </c>
      <c r="V196" s="35">
        <f>IFERROR(__xludf.DUMMYFUNCTION("""COMPUTED_VALUE"""),4.0)</f>
        <v>4</v>
      </c>
      <c r="W196" s="35">
        <f>IFERROR(__xludf.DUMMYFUNCTION("""COMPUTED_VALUE"""),4.0)</f>
        <v>4</v>
      </c>
      <c r="X196" s="35">
        <f>IFERROR(__xludf.DUMMYFUNCTION("""COMPUTED_VALUE"""),4.0)</f>
        <v>4</v>
      </c>
      <c r="Y196" s="35">
        <f>IFERROR(__xludf.DUMMYFUNCTION("""COMPUTED_VALUE"""),4.0)</f>
        <v>4</v>
      </c>
      <c r="Z196" s="35">
        <f>IFERROR(__xludf.DUMMYFUNCTION("""COMPUTED_VALUE"""),4.0)</f>
        <v>4</v>
      </c>
    </row>
    <row r="197" ht="15.75" customHeight="1">
      <c r="C197" s="34">
        <v>9221.0</v>
      </c>
      <c r="D197" s="70" t="s">
        <v>348</v>
      </c>
      <c r="E197" s="71" t="str">
        <f>vlookup(C197,'NOC-List'!B$2:C$502,2,False)</f>
        <v>Supervisors, motor vehicle assembling</v>
      </c>
      <c r="F197" s="72">
        <v>3.0</v>
      </c>
      <c r="G197" s="72">
        <v>3.0</v>
      </c>
      <c r="H197" s="72">
        <v>3.0</v>
      </c>
      <c r="I197" s="72">
        <v>4.0</v>
      </c>
      <c r="J197" s="72">
        <v>3.0</v>
      </c>
      <c r="K197" s="72">
        <v>3.0</v>
      </c>
      <c r="L197" s="72">
        <v>4.0</v>
      </c>
      <c r="M197" s="72">
        <v>4.0</v>
      </c>
      <c r="N197" s="72">
        <v>4.0</v>
      </c>
      <c r="O197" s="73"/>
      <c r="P197" s="35">
        <f>IFERROR(__xludf.DUMMYFUNCTION("""COMPUTED_VALUE"""),2144.0)</f>
        <v>2144</v>
      </c>
      <c r="Q197" s="35" t="str">
        <f>IFERROR(__xludf.DUMMYFUNCTION("query(C197:N1190,""Select D,E,F,G,H,I,J,K,L,M WHERE ""&amp;P197&amp;"" =C Limit 1"")"),"Geological Engineers")</f>
        <v>Geological Engineers</v>
      </c>
      <c r="R197" s="35" t="str">
        <f>IFERROR(__xludf.DUMMYFUNCTION("""COMPUTED_VALUE"""),"Geological engineers")</f>
        <v>Geological engineers</v>
      </c>
      <c r="S197" s="35">
        <f>IFERROR(__xludf.DUMMYFUNCTION("""COMPUTED_VALUE"""),1.0)</f>
        <v>1</v>
      </c>
      <c r="T197" s="35">
        <f>IFERROR(__xludf.DUMMYFUNCTION("""COMPUTED_VALUE"""),2.0)</f>
        <v>2</v>
      </c>
      <c r="U197" s="35">
        <f>IFERROR(__xludf.DUMMYFUNCTION("""COMPUTED_VALUE"""),1.0)</f>
        <v>1</v>
      </c>
      <c r="V197" s="35">
        <f>IFERROR(__xludf.DUMMYFUNCTION("""COMPUTED_VALUE"""),2.0)</f>
        <v>2</v>
      </c>
      <c r="W197" s="35">
        <f>IFERROR(__xludf.DUMMYFUNCTION("""COMPUTED_VALUE"""),3.0)</f>
        <v>3</v>
      </c>
      <c r="X197" s="35">
        <f>IFERROR(__xludf.DUMMYFUNCTION("""COMPUTED_VALUE"""),3.0)</f>
        <v>3</v>
      </c>
      <c r="Y197" s="35">
        <f>IFERROR(__xludf.DUMMYFUNCTION("""COMPUTED_VALUE"""),4.0)</f>
        <v>4</v>
      </c>
      <c r="Z197" s="35">
        <f>IFERROR(__xludf.DUMMYFUNCTION("""COMPUTED_VALUE"""),4.0)</f>
        <v>4</v>
      </c>
    </row>
    <row r="198" ht="15.75" customHeight="1">
      <c r="C198" s="34">
        <v>2171.0</v>
      </c>
      <c r="D198" s="70" t="s">
        <v>349</v>
      </c>
      <c r="E198" s="71" t="str">
        <f>vlookup(C198,'NOC-List'!B$2:C$502,2,False)</f>
        <v>Information systems analysts and consultants</v>
      </c>
      <c r="F198" s="72">
        <v>2.0</v>
      </c>
      <c r="G198" s="72">
        <v>2.0</v>
      </c>
      <c r="H198" s="72">
        <v>2.0</v>
      </c>
      <c r="I198" s="72">
        <v>3.0</v>
      </c>
      <c r="J198" s="72">
        <v>3.0</v>
      </c>
      <c r="K198" s="72">
        <v>3.0</v>
      </c>
      <c r="L198" s="72">
        <v>4.0</v>
      </c>
      <c r="M198" s="72">
        <v>4.0</v>
      </c>
      <c r="N198" s="72">
        <v>4.0</v>
      </c>
      <c r="O198" s="73"/>
      <c r="P198" s="35">
        <f>IFERROR(__xludf.DUMMYFUNCTION("""COMPUTED_VALUE"""),2113.0)</f>
        <v>2113</v>
      </c>
      <c r="Q198" s="35" t="str">
        <f>IFERROR(__xludf.DUMMYFUNCTION("query(C198:N1191,""Select D,E,F,G,H,I,J,K,L,M WHERE ""&amp;P198&amp;"" =C Limit 1"")"),"Geologists, Geochemists and Geophysicists")</f>
        <v>Geologists, Geochemists and Geophysicists</v>
      </c>
      <c r="R198" s="35" t="str">
        <f>IFERROR(__xludf.DUMMYFUNCTION("""COMPUTED_VALUE"""),"Geoscientists and oceanographers")</f>
        <v>Geoscientists and oceanographers</v>
      </c>
      <c r="S198" s="35">
        <f>IFERROR(__xludf.DUMMYFUNCTION("""COMPUTED_VALUE"""),1.0)</f>
        <v>1</v>
      </c>
      <c r="T198" s="35">
        <f>IFERROR(__xludf.DUMMYFUNCTION("""COMPUTED_VALUE"""),1.0)</f>
        <v>1</v>
      </c>
      <c r="U198" s="35">
        <f>IFERROR(__xludf.DUMMYFUNCTION("""COMPUTED_VALUE"""),1.0)</f>
        <v>1</v>
      </c>
      <c r="V198" s="35">
        <f>IFERROR(__xludf.DUMMYFUNCTION("""COMPUTED_VALUE"""),2.0)</f>
        <v>2</v>
      </c>
      <c r="W198" s="35">
        <f>IFERROR(__xludf.DUMMYFUNCTION("""COMPUTED_VALUE"""),2.0)</f>
        <v>2</v>
      </c>
      <c r="X198" s="35">
        <f>IFERROR(__xludf.DUMMYFUNCTION("""COMPUTED_VALUE"""),3.0)</f>
        <v>3</v>
      </c>
      <c r="Y198" s="35">
        <f>IFERROR(__xludf.DUMMYFUNCTION("""COMPUTED_VALUE"""),3.0)</f>
        <v>3</v>
      </c>
      <c r="Z198" s="35">
        <f>IFERROR(__xludf.DUMMYFUNCTION("""COMPUTED_VALUE"""),4.0)</f>
        <v>4</v>
      </c>
    </row>
    <row r="199" ht="15.75" customHeight="1">
      <c r="C199" s="34">
        <v>2283.0</v>
      </c>
      <c r="D199" s="70" t="s">
        <v>350</v>
      </c>
      <c r="E199" s="71" t="str">
        <f>vlookup(C199,'NOC-List'!B$2:C$502,2,False)</f>
        <v>Information systems testing technicians</v>
      </c>
      <c r="F199" s="72">
        <v>2.0</v>
      </c>
      <c r="G199" s="72">
        <v>2.0</v>
      </c>
      <c r="H199" s="72">
        <v>2.0</v>
      </c>
      <c r="I199" s="72">
        <v>3.0</v>
      </c>
      <c r="J199" s="72">
        <v>3.0</v>
      </c>
      <c r="K199" s="72">
        <v>3.0</v>
      </c>
      <c r="L199" s="72">
        <v>4.0</v>
      </c>
      <c r="M199" s="72">
        <v>4.0</v>
      </c>
      <c r="N199" s="72">
        <v>4.0</v>
      </c>
      <c r="O199" s="73"/>
      <c r="P199" s="35">
        <f>IFERROR(__xludf.DUMMYFUNCTION("""COMPUTED_VALUE"""),6221.0)</f>
        <v>6221</v>
      </c>
      <c r="Q199" s="35" t="str">
        <f>IFERROR(__xludf.DUMMYFUNCTION("query(C199:N1192,""Select D,E,F,G,H,I,J,K,L,M WHERE ""&amp;P199&amp;"" =C Limit 1"")"),"Grain Elevator Operators")</f>
        <v>Grain Elevator Operators</v>
      </c>
      <c r="R199" s="35" t="str">
        <f>IFERROR(__xludf.DUMMYFUNCTION("""COMPUTED_VALUE"""),"Technical sales specialists - wholesale trade")</f>
        <v>Technical sales specialists - wholesale trade</v>
      </c>
      <c r="S199" s="35">
        <f>IFERROR(__xludf.DUMMYFUNCTION("""COMPUTED_VALUE"""),3.0)</f>
        <v>3</v>
      </c>
      <c r="T199" s="35">
        <f>IFERROR(__xludf.DUMMYFUNCTION("""COMPUTED_VALUE"""),3.0)</f>
        <v>3</v>
      </c>
      <c r="U199" s="35">
        <f>IFERROR(__xludf.DUMMYFUNCTION("""COMPUTED_VALUE"""),3.0)</f>
        <v>3</v>
      </c>
      <c r="V199" s="35">
        <f>IFERROR(__xludf.DUMMYFUNCTION("""COMPUTED_VALUE"""),4.0)</f>
        <v>4</v>
      </c>
      <c r="W199" s="35">
        <f>IFERROR(__xludf.DUMMYFUNCTION("""COMPUTED_VALUE"""),4.0)</f>
        <v>4</v>
      </c>
      <c r="X199" s="35">
        <f>IFERROR(__xludf.DUMMYFUNCTION("""COMPUTED_VALUE"""),3.0)</f>
        <v>3</v>
      </c>
      <c r="Y199" s="35">
        <f>IFERROR(__xludf.DUMMYFUNCTION("""COMPUTED_VALUE"""),4.0)</f>
        <v>4</v>
      </c>
      <c r="Z199" s="35">
        <f>IFERROR(__xludf.DUMMYFUNCTION("""COMPUTED_VALUE"""),4.0)</f>
        <v>4</v>
      </c>
    </row>
    <row r="200" ht="15.75" customHeight="1">
      <c r="C200" s="34">
        <v>9441.0</v>
      </c>
      <c r="D200" s="70" t="s">
        <v>351</v>
      </c>
      <c r="E200" s="71" t="str">
        <f>vlookup(C200,'NOC-List'!B$2:C$502,2,False)</f>
        <v>Textile fibre and yarn, hide and pelt processing machine operators and workers</v>
      </c>
      <c r="F200" s="72">
        <v>4.0</v>
      </c>
      <c r="G200" s="72">
        <v>4.0</v>
      </c>
      <c r="H200" s="72">
        <v>4.0</v>
      </c>
      <c r="I200" s="72">
        <v>4.0</v>
      </c>
      <c r="J200" s="72">
        <v>4.0</v>
      </c>
      <c r="K200" s="72">
        <v>4.0</v>
      </c>
      <c r="L200" s="72">
        <v>4.0</v>
      </c>
      <c r="M200" s="72">
        <v>4.0</v>
      </c>
      <c r="N200" s="72">
        <v>3.0</v>
      </c>
      <c r="O200" s="73"/>
      <c r="P200" s="35">
        <f>IFERROR(__xludf.DUMMYFUNCTION("""COMPUTED_VALUE"""),4165.0)</f>
        <v>4165</v>
      </c>
      <c r="Q200" s="35" t="str">
        <f>IFERROR(__xludf.DUMMYFUNCTION("query(C200:N1193,""Select D,E,F,G,H,I,J,K,L,M WHERE ""&amp;P200&amp;"" =C Limit 1"")"),"Health Policy Researchers, Consultants and Program Officers")</f>
        <v>Health Policy Researchers, Consultants and Program Officers</v>
      </c>
      <c r="R200" s="35" t="str">
        <f>IFERROR(__xludf.DUMMYFUNCTION("""COMPUTED_VALUE"""),"Health policy researchers, consultants and program officers")</f>
        <v>Health policy researchers, consultants and program officers</v>
      </c>
      <c r="S200" s="35">
        <f>IFERROR(__xludf.DUMMYFUNCTION("""COMPUTED_VALUE"""),2.0)</f>
        <v>2</v>
      </c>
      <c r="T200" s="35">
        <f>IFERROR(__xludf.DUMMYFUNCTION("""COMPUTED_VALUE"""),2.0)</f>
        <v>2</v>
      </c>
      <c r="U200" s="35">
        <f>IFERROR(__xludf.DUMMYFUNCTION("""COMPUTED_VALUE"""),2.0)</f>
        <v>2</v>
      </c>
      <c r="V200" s="35">
        <f>IFERROR(__xludf.DUMMYFUNCTION("""COMPUTED_VALUE"""),3.0)</f>
        <v>3</v>
      </c>
      <c r="W200" s="35">
        <f>IFERROR(__xludf.DUMMYFUNCTION("""COMPUTED_VALUE"""),3.0)</f>
        <v>3</v>
      </c>
      <c r="X200" s="35">
        <f>IFERROR(__xludf.DUMMYFUNCTION("""COMPUTED_VALUE"""),2.0)</f>
        <v>2</v>
      </c>
      <c r="Y200" s="35">
        <f>IFERROR(__xludf.DUMMYFUNCTION("""COMPUTED_VALUE"""),4.0)</f>
        <v>4</v>
      </c>
      <c r="Z200" s="35">
        <f>IFERROR(__xludf.DUMMYFUNCTION("""COMPUTED_VALUE"""),4.0)</f>
        <v>4</v>
      </c>
    </row>
    <row r="201" ht="15.75" customHeight="1">
      <c r="C201" s="81">
        <v>731.0</v>
      </c>
      <c r="D201" s="70" t="s">
        <v>352</v>
      </c>
      <c r="E201" s="71" t="str">
        <f>vlookup(C201,'NOC-List'!B$2:C$502,2,False)</f>
        <v>Managers in transportation</v>
      </c>
      <c r="F201" s="72">
        <v>2.0</v>
      </c>
      <c r="G201" s="72">
        <v>2.0</v>
      </c>
      <c r="H201" s="72">
        <v>3.0</v>
      </c>
      <c r="I201" s="72">
        <v>3.0</v>
      </c>
      <c r="J201" s="72">
        <v>4.0</v>
      </c>
      <c r="K201" s="72">
        <v>3.0</v>
      </c>
      <c r="L201" s="72">
        <v>4.0</v>
      </c>
      <c r="M201" s="72">
        <v>4.0</v>
      </c>
      <c r="N201" s="72">
        <v>4.0</v>
      </c>
      <c r="O201" s="73"/>
      <c r="P201" s="35">
        <f>IFERROR(__xludf.DUMMYFUNCTION("""COMPUTED_VALUE"""),6525.0)</f>
        <v>6525</v>
      </c>
      <c r="Q201" s="35" t="str">
        <f>IFERROR(__xludf.DUMMYFUNCTION("query(C201:N1194,""Select D,E,F,G,H,I,J,K,L,M WHERE ""&amp;P201&amp;"" =C Limit 1"")"),"Hotel Front Desk Clerks")</f>
        <v>Hotel Front Desk Clerks</v>
      </c>
      <c r="R201" s="35" t="str">
        <f>IFERROR(__xludf.DUMMYFUNCTION("""COMPUTED_VALUE"""),"Hotel front desk clerks")</f>
        <v>Hotel front desk clerks</v>
      </c>
      <c r="S201" s="35">
        <f>IFERROR(__xludf.DUMMYFUNCTION("""COMPUTED_VALUE"""),3.0)</f>
        <v>3</v>
      </c>
      <c r="T201" s="35">
        <f>IFERROR(__xludf.DUMMYFUNCTION("""COMPUTED_VALUE"""),3.0)</f>
        <v>3</v>
      </c>
      <c r="U201" s="35">
        <f>IFERROR(__xludf.DUMMYFUNCTION("""COMPUTED_VALUE"""),3.0)</f>
        <v>3</v>
      </c>
      <c r="V201" s="35">
        <f>IFERROR(__xludf.DUMMYFUNCTION("""COMPUTED_VALUE"""),4.0)</f>
        <v>4</v>
      </c>
      <c r="W201" s="35">
        <f>IFERROR(__xludf.DUMMYFUNCTION("""COMPUTED_VALUE"""),4.0)</f>
        <v>4</v>
      </c>
      <c r="X201" s="35">
        <f>IFERROR(__xludf.DUMMYFUNCTION("""COMPUTED_VALUE"""),3.0)</f>
        <v>3</v>
      </c>
      <c r="Y201" s="35">
        <f>IFERROR(__xludf.DUMMYFUNCTION("""COMPUTED_VALUE"""),4.0)</f>
        <v>4</v>
      </c>
      <c r="Z201" s="35">
        <f>IFERROR(__xludf.DUMMYFUNCTION("""COMPUTED_VALUE"""),4.0)</f>
        <v>4</v>
      </c>
    </row>
    <row r="202" ht="15.75" customHeight="1">
      <c r="C202" s="34">
        <v>731.0</v>
      </c>
      <c r="D202" s="70" t="s">
        <v>353</v>
      </c>
      <c r="E202" s="71" t="str">
        <f>vlookup(C202,'NOC-List'!B$2:C$502,2,False)</f>
        <v>Managers in transportation</v>
      </c>
      <c r="F202" s="72">
        <v>2.0</v>
      </c>
      <c r="G202" s="72">
        <v>2.0</v>
      </c>
      <c r="H202" s="72">
        <v>3.0</v>
      </c>
      <c r="I202" s="72">
        <v>3.0</v>
      </c>
      <c r="J202" s="72">
        <v>4.0</v>
      </c>
      <c r="K202" s="72">
        <v>3.0</v>
      </c>
      <c r="L202" s="72">
        <v>4.0</v>
      </c>
      <c r="M202" s="72">
        <v>4.0</v>
      </c>
      <c r="N202" s="72">
        <v>4.0</v>
      </c>
      <c r="O202" s="73"/>
      <c r="P202" s="35">
        <f>IFERROR(__xludf.DUMMYFUNCTION("""COMPUTED_VALUE"""),8442.0)</f>
        <v>8442</v>
      </c>
      <c r="Q202" s="35" t="str">
        <f>IFERROR(__xludf.DUMMYFUNCTION("query(C202:N1195,""Select D,E,F,G,H,I,J,K,L,M WHERE ""&amp;P202&amp;"" =C Limit 1"")"),"Hunters")</f>
        <v>Hunters</v>
      </c>
      <c r="R202" s="35" t="str">
        <f>IFERROR(__xludf.DUMMYFUNCTION("""COMPUTED_VALUE"""),"Trappers and hunters")</f>
        <v>Trappers and hunters</v>
      </c>
      <c r="S202" s="35">
        <f>IFERROR(__xludf.DUMMYFUNCTION("""COMPUTED_VALUE"""),4.0)</f>
        <v>4</v>
      </c>
      <c r="T202" s="35">
        <f>IFERROR(__xludf.DUMMYFUNCTION("""COMPUTED_VALUE"""),4.0)</f>
        <v>4</v>
      </c>
      <c r="U202" s="35">
        <f>IFERROR(__xludf.DUMMYFUNCTION("""COMPUTED_VALUE"""),5.0)</f>
        <v>5</v>
      </c>
      <c r="V202" s="35">
        <f>IFERROR(__xludf.DUMMYFUNCTION("""COMPUTED_VALUE"""),4.0)</f>
        <v>4</v>
      </c>
      <c r="W202" s="35">
        <f>IFERROR(__xludf.DUMMYFUNCTION("""COMPUTED_VALUE"""),4.0)</f>
        <v>4</v>
      </c>
      <c r="X202" s="35">
        <f>IFERROR(__xludf.DUMMYFUNCTION("""COMPUTED_VALUE"""),5.0)</f>
        <v>5</v>
      </c>
      <c r="Y202" s="35">
        <f>IFERROR(__xludf.DUMMYFUNCTION("""COMPUTED_VALUE"""),3.0)</f>
        <v>3</v>
      </c>
      <c r="Z202" s="35">
        <f>IFERROR(__xludf.DUMMYFUNCTION("""COMPUTED_VALUE"""),4.0)</f>
        <v>4</v>
      </c>
    </row>
    <row r="203" ht="15.75" customHeight="1">
      <c r="C203" s="34">
        <v>6521.0</v>
      </c>
      <c r="D203" s="70" t="s">
        <v>354</v>
      </c>
      <c r="E203" s="71" t="str">
        <f>vlookup(C203,'NOC-List'!B$2:C$502,2,False)</f>
        <v>Travel counsellors</v>
      </c>
      <c r="F203" s="72">
        <v>3.0</v>
      </c>
      <c r="G203" s="72">
        <v>3.0</v>
      </c>
      <c r="H203" s="72">
        <v>3.0</v>
      </c>
      <c r="I203" s="72">
        <v>4.0</v>
      </c>
      <c r="J203" s="72">
        <v>4.0</v>
      </c>
      <c r="K203" s="72">
        <v>3.0</v>
      </c>
      <c r="L203" s="72">
        <v>4.0</v>
      </c>
      <c r="M203" s="72">
        <v>3.0</v>
      </c>
      <c r="N203" s="72">
        <v>4.0</v>
      </c>
      <c r="O203" s="73"/>
      <c r="P203" s="35">
        <f>IFERROR(__xludf.DUMMYFUNCTION("""COMPUTED_VALUE"""),1312.0)</f>
        <v>1312</v>
      </c>
      <c r="Q203" s="35" t="str">
        <f>IFERROR(__xludf.DUMMYFUNCTION("query(C203:N1196,""Select D,E,F,G,H,I,J,K,L,M WHERE ""&amp;P203&amp;"" =C Limit 1"")"),"Insurance Adjusters")</f>
        <v>Insurance Adjusters</v>
      </c>
      <c r="R203" s="35" t="str">
        <f>IFERROR(__xludf.DUMMYFUNCTION("""COMPUTED_VALUE"""),"Insurance adjusters and claims examiners")</f>
        <v>Insurance adjusters and claims examiners</v>
      </c>
      <c r="S203" s="35">
        <f>IFERROR(__xludf.DUMMYFUNCTION("""COMPUTED_VALUE"""),3.0)</f>
        <v>3</v>
      </c>
      <c r="T203" s="35">
        <f>IFERROR(__xludf.DUMMYFUNCTION("""COMPUTED_VALUE"""),3.0)</f>
        <v>3</v>
      </c>
      <c r="U203" s="35">
        <f>IFERROR(__xludf.DUMMYFUNCTION("""COMPUTED_VALUE"""),3.0)</f>
        <v>3</v>
      </c>
      <c r="V203" s="35">
        <f>IFERROR(__xludf.DUMMYFUNCTION("""COMPUTED_VALUE"""),4.0)</f>
        <v>4</v>
      </c>
      <c r="W203" s="35">
        <f>IFERROR(__xludf.DUMMYFUNCTION("""COMPUTED_VALUE"""),4.0)</f>
        <v>4</v>
      </c>
      <c r="X203" s="35">
        <f>IFERROR(__xludf.DUMMYFUNCTION("""COMPUTED_VALUE"""),3.0)</f>
        <v>3</v>
      </c>
      <c r="Y203" s="35">
        <f>IFERROR(__xludf.DUMMYFUNCTION("""COMPUTED_VALUE"""),4.0)</f>
        <v>4</v>
      </c>
      <c r="Z203" s="35">
        <f>IFERROR(__xludf.DUMMYFUNCTION("""COMPUTED_VALUE"""),4.0)</f>
        <v>4</v>
      </c>
    </row>
    <row r="204" ht="15.75" customHeight="1">
      <c r="C204" s="34">
        <v>9462.0</v>
      </c>
      <c r="D204" s="70" t="s">
        <v>355</v>
      </c>
      <c r="E204" s="71" t="str">
        <f>vlookup(C204,'NOC-List'!B$2:C$502,2,False)</f>
        <v>Industrial butchers and meat cutters, poultry preparers and related workers</v>
      </c>
      <c r="F204" s="72">
        <v>3.0</v>
      </c>
      <c r="G204" s="72">
        <v>4.0</v>
      </c>
      <c r="H204" s="72">
        <v>4.0</v>
      </c>
      <c r="I204" s="72">
        <v>4.0</v>
      </c>
      <c r="J204" s="72">
        <v>4.0</v>
      </c>
      <c r="K204" s="72">
        <v>5.0</v>
      </c>
      <c r="L204" s="72">
        <v>4.0</v>
      </c>
      <c r="M204" s="72">
        <v>4.0</v>
      </c>
      <c r="N204" s="72">
        <v>3.0</v>
      </c>
      <c r="O204" s="73"/>
      <c r="P204" s="35">
        <f>IFERROR(__xludf.DUMMYFUNCTION("""COMPUTED_VALUE"""),6231.0)</f>
        <v>6231</v>
      </c>
      <c r="Q204" s="35" t="str">
        <f>IFERROR(__xludf.DUMMYFUNCTION("query(C204:N1197,""Select D,E,F,G,H,I,J,K,L,M WHERE ""&amp;P204&amp;"" =C Limit 1"")"),"Insurance Agents and Brokers")</f>
        <v>Insurance Agents and Brokers</v>
      </c>
      <c r="R204" s="35" t="str">
        <f>IFERROR(__xludf.DUMMYFUNCTION("""COMPUTED_VALUE"""),"Insurance agents and brokers")</f>
        <v>Insurance agents and brokers</v>
      </c>
      <c r="S204" s="35">
        <f>IFERROR(__xludf.DUMMYFUNCTION("""COMPUTED_VALUE"""),3.0)</f>
        <v>3</v>
      </c>
      <c r="T204" s="35">
        <f>IFERROR(__xludf.DUMMYFUNCTION("""COMPUTED_VALUE"""),3.0)</f>
        <v>3</v>
      </c>
      <c r="U204" s="35">
        <f>IFERROR(__xludf.DUMMYFUNCTION("""COMPUTED_VALUE"""),3.0)</f>
        <v>3</v>
      </c>
      <c r="V204" s="35">
        <f>IFERROR(__xludf.DUMMYFUNCTION("""COMPUTED_VALUE"""),4.0)</f>
        <v>4</v>
      </c>
      <c r="W204" s="35">
        <f>IFERROR(__xludf.DUMMYFUNCTION("""COMPUTED_VALUE"""),4.0)</f>
        <v>4</v>
      </c>
      <c r="X204" s="35">
        <f>IFERROR(__xludf.DUMMYFUNCTION("""COMPUTED_VALUE"""),3.0)</f>
        <v>3</v>
      </c>
      <c r="Y204" s="35">
        <f>IFERROR(__xludf.DUMMYFUNCTION("""COMPUTED_VALUE"""),4.0)</f>
        <v>4</v>
      </c>
      <c r="Z204" s="35">
        <f>IFERROR(__xludf.DUMMYFUNCTION("""COMPUTED_VALUE"""),4.0)</f>
        <v>4</v>
      </c>
    </row>
    <row r="205" ht="15.75" customHeight="1">
      <c r="C205" s="34">
        <v>2153.0</v>
      </c>
      <c r="D205" s="70" t="s">
        <v>356</v>
      </c>
      <c r="E205" s="71" t="str">
        <f>vlookup(C205,'NOC-List'!B$2:C$502,2,False)</f>
        <v>Urban and land use planners</v>
      </c>
      <c r="F205" s="72">
        <v>2.0</v>
      </c>
      <c r="G205" s="72">
        <v>2.0</v>
      </c>
      <c r="H205" s="72">
        <v>2.0</v>
      </c>
      <c r="I205" s="72">
        <v>3.0</v>
      </c>
      <c r="J205" s="72">
        <v>3.0</v>
      </c>
      <c r="K205" s="72">
        <v>3.0</v>
      </c>
      <c r="L205" s="72">
        <v>4.0</v>
      </c>
      <c r="M205" s="72">
        <v>4.0</v>
      </c>
      <c r="N205" s="72">
        <v>4.0</v>
      </c>
      <c r="O205" s="73"/>
      <c r="P205" s="35">
        <f>IFERROR(__xludf.DUMMYFUNCTION("""COMPUTED_VALUE"""),5125.0)</f>
        <v>5125</v>
      </c>
      <c r="Q205" s="35" t="str">
        <f>IFERROR(__xludf.DUMMYFUNCTION("query(C205:N1198,""Select D,E,F,G,H,I,J,K,L,M WHERE ""&amp;P205&amp;"" =C Limit 1"")"),"Interpreters")</f>
        <v>Interpreters</v>
      </c>
      <c r="R205" s="35" t="str">
        <f>IFERROR(__xludf.DUMMYFUNCTION("""COMPUTED_VALUE"""),"Translators, terminologists and interpreters")</f>
        <v>Translators, terminologists and interpreters</v>
      </c>
      <c r="S205" s="35">
        <f>IFERROR(__xludf.DUMMYFUNCTION("""COMPUTED_VALUE"""),2.0)</f>
        <v>2</v>
      </c>
      <c r="T205" s="35">
        <f>IFERROR(__xludf.DUMMYFUNCTION("""COMPUTED_VALUE"""),1.0)</f>
        <v>1</v>
      </c>
      <c r="U205" s="35">
        <f>IFERROR(__xludf.DUMMYFUNCTION("""COMPUTED_VALUE"""),4.0)</f>
        <v>4</v>
      </c>
      <c r="V205" s="35">
        <f>IFERROR(__xludf.DUMMYFUNCTION("""COMPUTED_VALUE"""),4.0)</f>
        <v>4</v>
      </c>
      <c r="W205" s="35">
        <f>IFERROR(__xludf.DUMMYFUNCTION("""COMPUTED_VALUE"""),4.0)</f>
        <v>4</v>
      </c>
      <c r="X205" s="35">
        <f>IFERROR(__xludf.DUMMYFUNCTION("""COMPUTED_VALUE"""),3.0)</f>
        <v>3</v>
      </c>
      <c r="Y205" s="35">
        <f>IFERROR(__xludf.DUMMYFUNCTION("""COMPUTED_VALUE"""),4.0)</f>
        <v>4</v>
      </c>
      <c r="Z205" s="35">
        <f>IFERROR(__xludf.DUMMYFUNCTION("""COMPUTED_VALUE"""),4.0)</f>
        <v>4</v>
      </c>
    </row>
    <row r="206" ht="15.75" customHeight="1">
      <c r="C206" s="34">
        <v>912.0</v>
      </c>
      <c r="D206" s="70" t="s">
        <v>357</v>
      </c>
      <c r="E206" s="71" t="str">
        <f>vlookup(C206,'NOC-List'!B$2:C$502,2,False)</f>
        <v>Utilities managers</v>
      </c>
      <c r="F206" s="72">
        <v>2.0</v>
      </c>
      <c r="G206" s="72">
        <v>2.0</v>
      </c>
      <c r="H206" s="72">
        <v>2.0</v>
      </c>
      <c r="I206" s="72">
        <v>3.0</v>
      </c>
      <c r="J206" s="72">
        <v>3.0</v>
      </c>
      <c r="K206" s="72">
        <v>3.0</v>
      </c>
      <c r="L206" s="72">
        <v>4.0</v>
      </c>
      <c r="M206" s="72">
        <v>4.0</v>
      </c>
      <c r="N206" s="72">
        <v>4.0</v>
      </c>
      <c r="O206" s="73"/>
      <c r="P206" s="35">
        <f>IFERROR(__xludf.DUMMYFUNCTION("""COMPUTED_VALUE"""),1524.0)</f>
        <v>1524</v>
      </c>
      <c r="Q206" s="35" t="str">
        <f>IFERROR(__xludf.DUMMYFUNCTION("query(C206:N1199,""Select D,E,F,G,H,I,J,K,L,M WHERE ""&amp;P206&amp;"" =C Limit 1"")"),"Inventory Clerks")</f>
        <v>Inventory Clerks</v>
      </c>
      <c r="R206" s="35" t="str">
        <f>IFERROR(__xludf.DUMMYFUNCTION("""COMPUTED_VALUE"""),"Purchasing and inventory control workers")</f>
        <v>Purchasing and inventory control workers</v>
      </c>
      <c r="S206" s="35">
        <f>IFERROR(__xludf.DUMMYFUNCTION("""COMPUTED_VALUE"""),3.0)</f>
        <v>3</v>
      </c>
      <c r="T206" s="35">
        <f>IFERROR(__xludf.DUMMYFUNCTION("""COMPUTED_VALUE"""),3.0)</f>
        <v>3</v>
      </c>
      <c r="U206" s="35">
        <f>IFERROR(__xludf.DUMMYFUNCTION("""COMPUTED_VALUE"""),3.0)</f>
        <v>3</v>
      </c>
      <c r="V206" s="35">
        <f>IFERROR(__xludf.DUMMYFUNCTION("""COMPUTED_VALUE"""),4.0)</f>
        <v>4</v>
      </c>
      <c r="W206" s="35">
        <f>IFERROR(__xludf.DUMMYFUNCTION("""COMPUTED_VALUE"""),4.0)</f>
        <v>4</v>
      </c>
      <c r="X206" s="35">
        <f>IFERROR(__xludf.DUMMYFUNCTION("""COMPUTED_VALUE"""),3.0)</f>
        <v>3</v>
      </c>
      <c r="Y206" s="35">
        <f>IFERROR(__xludf.DUMMYFUNCTION("""COMPUTED_VALUE"""),4.0)</f>
        <v>4</v>
      </c>
      <c r="Z206" s="35">
        <f>IFERROR(__xludf.DUMMYFUNCTION("""COMPUTED_VALUE"""),4.0)</f>
        <v>4</v>
      </c>
    </row>
    <row r="207" ht="15.75" customHeight="1">
      <c r="C207" s="34">
        <v>912.0</v>
      </c>
      <c r="D207" s="70" t="s">
        <v>358</v>
      </c>
      <c r="E207" s="71" t="str">
        <f>vlookup(C207,'NOC-List'!B$2:C$502,2,False)</f>
        <v>Utilities managers</v>
      </c>
      <c r="F207" s="72">
        <v>2.0</v>
      </c>
      <c r="G207" s="72">
        <v>2.0</v>
      </c>
      <c r="H207" s="72">
        <v>2.0</v>
      </c>
      <c r="I207" s="72">
        <v>3.0</v>
      </c>
      <c r="J207" s="72">
        <v>3.0</v>
      </c>
      <c r="K207" s="72">
        <v>3.0</v>
      </c>
      <c r="L207" s="72">
        <v>4.0</v>
      </c>
      <c r="M207" s="72">
        <v>4.0</v>
      </c>
      <c r="N207" s="72">
        <v>4.0</v>
      </c>
      <c r="O207" s="73"/>
      <c r="P207" s="35">
        <f>IFERROR(__xludf.DUMMYFUNCTION("""COMPUTED_VALUE"""),6741.0)</f>
        <v>6741</v>
      </c>
      <c r="Q207" s="35" t="str">
        <f>IFERROR(__xludf.DUMMYFUNCTION("query(C207:N1200,""Select D,E,F,G,H,I,J,K,L,M WHERE ""&amp;P207&amp;"" =C Limit 1"")"),"Ironing, Pressing and Finishing Occupations")</f>
        <v>Ironing, Pressing and Finishing Occupations</v>
      </c>
      <c r="R207" s="35" t="str">
        <f>IFERROR(__xludf.DUMMYFUNCTION("""COMPUTED_VALUE"""),"Dry cleaning, laundry and related occupations")</f>
        <v>Dry cleaning, laundry and related occupations</v>
      </c>
      <c r="S207" s="35">
        <f>IFERROR(__xludf.DUMMYFUNCTION("""COMPUTED_VALUE"""),4.0)</f>
        <v>4</v>
      </c>
      <c r="T207" s="35">
        <f>IFERROR(__xludf.DUMMYFUNCTION("""COMPUTED_VALUE"""),4.0)</f>
        <v>4</v>
      </c>
      <c r="U207" s="35">
        <f>IFERROR(__xludf.DUMMYFUNCTION("""COMPUTED_VALUE"""),5.0)</f>
        <v>5</v>
      </c>
      <c r="V207" s="35">
        <f>IFERROR(__xludf.DUMMYFUNCTION("""COMPUTED_VALUE"""),4.0)</f>
        <v>4</v>
      </c>
      <c r="W207" s="35">
        <f>IFERROR(__xludf.DUMMYFUNCTION("""COMPUTED_VALUE"""),4.0)</f>
        <v>4</v>
      </c>
      <c r="X207" s="35">
        <f>IFERROR(__xludf.DUMMYFUNCTION("""COMPUTED_VALUE"""),5.0)</f>
        <v>5</v>
      </c>
      <c r="Y207" s="35">
        <f>IFERROR(__xludf.DUMMYFUNCTION("""COMPUTED_VALUE"""),3.0)</f>
        <v>3</v>
      </c>
      <c r="Z207" s="35">
        <f>IFERROR(__xludf.DUMMYFUNCTION("""COMPUTED_VALUE"""),4.0)</f>
        <v>4</v>
      </c>
    </row>
    <row r="208" ht="15.75" customHeight="1">
      <c r="C208" s="34">
        <v>912.0</v>
      </c>
      <c r="D208" s="70" t="s">
        <v>359</v>
      </c>
      <c r="E208" s="71" t="str">
        <f>vlookup(C208,'NOC-List'!B$2:C$502,2,False)</f>
        <v>Utilities managers</v>
      </c>
      <c r="F208" s="72">
        <v>2.0</v>
      </c>
      <c r="G208" s="72">
        <v>2.0</v>
      </c>
      <c r="H208" s="72">
        <v>2.0</v>
      </c>
      <c r="I208" s="72">
        <v>3.0</v>
      </c>
      <c r="J208" s="72">
        <v>3.0</v>
      </c>
      <c r="K208" s="72">
        <v>3.0</v>
      </c>
      <c r="L208" s="72">
        <v>4.0</v>
      </c>
      <c r="M208" s="72">
        <v>4.0</v>
      </c>
      <c r="N208" s="72">
        <v>4.0</v>
      </c>
      <c r="O208" s="73"/>
      <c r="P208" s="35">
        <f>IFERROR(__xludf.DUMMYFUNCTION("""COMPUTED_VALUE"""),9618.0)</f>
        <v>9618</v>
      </c>
      <c r="Q208" s="35" t="str">
        <f>IFERROR(__xludf.DUMMYFUNCTION("query(C208:N1201,""Select D,E,F,G,H,I,J,K,L,M WHERE ""&amp;P208&amp;"" =C Limit 1"")"),"Labourers in Fish Processing")</f>
        <v>Labourers in Fish Processing</v>
      </c>
      <c r="R208" s="35" t="str">
        <f>IFERROR(__xludf.DUMMYFUNCTION("""COMPUTED_VALUE"""),"Labourers in fish and seafood processing")</f>
        <v>Labourers in fish and seafood processing</v>
      </c>
      <c r="S208" s="35">
        <f>IFERROR(__xludf.DUMMYFUNCTION("""COMPUTED_VALUE"""),4.0)</f>
        <v>4</v>
      </c>
      <c r="T208" s="35">
        <f>IFERROR(__xludf.DUMMYFUNCTION("""COMPUTED_VALUE"""),4.0)</f>
        <v>4</v>
      </c>
      <c r="U208" s="35">
        <f>IFERROR(__xludf.DUMMYFUNCTION("""COMPUTED_VALUE"""),5.0)</f>
        <v>5</v>
      </c>
      <c r="V208" s="35">
        <f>IFERROR(__xludf.DUMMYFUNCTION("""COMPUTED_VALUE"""),4.0)</f>
        <v>4</v>
      </c>
      <c r="W208" s="35">
        <f>IFERROR(__xludf.DUMMYFUNCTION("""COMPUTED_VALUE"""),4.0)</f>
        <v>4</v>
      </c>
      <c r="X208" s="35">
        <f>IFERROR(__xludf.DUMMYFUNCTION("""COMPUTED_VALUE"""),5.0)</f>
        <v>5</v>
      </c>
      <c r="Y208" s="35">
        <f>IFERROR(__xludf.DUMMYFUNCTION("""COMPUTED_VALUE"""),3.0)</f>
        <v>3</v>
      </c>
      <c r="Z208" s="35">
        <f>IFERROR(__xludf.DUMMYFUNCTION("""COMPUTED_VALUE"""),4.0)</f>
        <v>4</v>
      </c>
    </row>
    <row r="209" ht="15.75" customHeight="1">
      <c r="C209" s="34">
        <v>6561.0</v>
      </c>
      <c r="D209" s="70" t="s">
        <v>360</v>
      </c>
      <c r="E209" s="71" t="str">
        <f>vlookup(C209,'NOC-List'!B$2:C$502,2,False)</f>
        <v>Image, social and other personal consultants</v>
      </c>
      <c r="F209" s="72">
        <v>3.0</v>
      </c>
      <c r="G209" s="72">
        <v>3.0</v>
      </c>
      <c r="H209" s="72">
        <v>3.0</v>
      </c>
      <c r="I209" s="72">
        <v>4.0</v>
      </c>
      <c r="J209" s="72">
        <v>3.0</v>
      </c>
      <c r="K209" s="72">
        <v>3.0</v>
      </c>
      <c r="L209" s="72">
        <v>4.0</v>
      </c>
      <c r="M209" s="72">
        <v>4.0</v>
      </c>
      <c r="N209" s="72">
        <v>4.0</v>
      </c>
      <c r="O209" s="73"/>
      <c r="P209" s="35">
        <f>IFERROR(__xludf.DUMMYFUNCTION("""COMPUTED_VALUE"""),9617.0)</f>
        <v>9617</v>
      </c>
      <c r="Q209" s="35" t="str">
        <f>IFERROR(__xludf.DUMMYFUNCTION("query(C209:N1202,""Select D,E,F,G,H,I,J,K,L,M WHERE ""&amp;P209&amp;"" =C Limit 1"")"),"Labourers in Food, Beverage and Tobacco Processing")</f>
        <v>Labourers in Food, Beverage and Tobacco Processing</v>
      </c>
      <c r="R209" s="35" t="str">
        <f>IFERROR(__xludf.DUMMYFUNCTION("""COMPUTED_VALUE"""),"Labourers in food, beverage and associated products processing")</f>
        <v>Labourers in food, beverage and associated products processing</v>
      </c>
      <c r="S209" s="35">
        <f>IFERROR(__xludf.DUMMYFUNCTION("""COMPUTED_VALUE"""),4.0)</f>
        <v>4</v>
      </c>
      <c r="T209" s="35">
        <f>IFERROR(__xludf.DUMMYFUNCTION("""COMPUTED_VALUE"""),5.0)</f>
        <v>5</v>
      </c>
      <c r="U209" s="35">
        <f>IFERROR(__xludf.DUMMYFUNCTION("""COMPUTED_VALUE"""),5.0)</f>
        <v>5</v>
      </c>
      <c r="V209" s="35">
        <f>IFERROR(__xludf.DUMMYFUNCTION("""COMPUTED_VALUE"""),4.0)</f>
        <v>4</v>
      </c>
      <c r="W209" s="35">
        <f>IFERROR(__xludf.DUMMYFUNCTION("""COMPUTED_VALUE"""),4.0)</f>
        <v>4</v>
      </c>
      <c r="X209" s="35">
        <f>IFERROR(__xludf.DUMMYFUNCTION("""COMPUTED_VALUE"""),5.0)</f>
        <v>5</v>
      </c>
      <c r="Y209" s="35">
        <f>IFERROR(__xludf.DUMMYFUNCTION("""COMPUTED_VALUE"""),4.0)</f>
        <v>4</v>
      </c>
      <c r="Z209" s="35">
        <f>IFERROR(__xludf.DUMMYFUNCTION("""COMPUTED_VALUE"""),4.0)</f>
        <v>4</v>
      </c>
    </row>
    <row r="210" ht="15.75" customHeight="1">
      <c r="C210" s="34">
        <v>632.0</v>
      </c>
      <c r="D210" s="70" t="s">
        <v>361</v>
      </c>
      <c r="E210" s="71" t="str">
        <f>vlookup(C210,'NOC-List'!B$2:C$502,2,False)</f>
        <v>Accommodation service managers</v>
      </c>
      <c r="F210" s="72">
        <v>3.0</v>
      </c>
      <c r="G210" s="72">
        <v>3.0</v>
      </c>
      <c r="H210" s="72">
        <v>3.0</v>
      </c>
      <c r="I210" s="72">
        <v>4.0</v>
      </c>
      <c r="J210" s="72">
        <v>4.0</v>
      </c>
      <c r="K210" s="72">
        <v>3.0</v>
      </c>
      <c r="L210" s="72">
        <v>4.0</v>
      </c>
      <c r="M210" s="72">
        <v>4.0</v>
      </c>
      <c r="N210" s="72">
        <v>4.0</v>
      </c>
      <c r="O210" s="73"/>
      <c r="P210" s="35">
        <f>IFERROR(__xludf.DUMMYFUNCTION("""COMPUTED_VALUE"""),9612.0)</f>
        <v>9612</v>
      </c>
      <c r="Q210" s="35" t="str">
        <f>IFERROR(__xludf.DUMMYFUNCTION("query(C210:N1203,""Select D,E,F,G,H,I,J,K,L,M WHERE ""&amp;P210&amp;"" =C Limit 1"")"),"Labourers in Metal Fabrication")</f>
        <v>Labourers in Metal Fabrication</v>
      </c>
      <c r="R210" s="35" t="str">
        <f>IFERROR(__xludf.DUMMYFUNCTION("""COMPUTED_VALUE"""),"Labourers in metal fabrication")</f>
        <v>Labourers in metal fabrication</v>
      </c>
      <c r="S210" s="35">
        <f>IFERROR(__xludf.DUMMYFUNCTION("""COMPUTED_VALUE"""),4.0)</f>
        <v>4</v>
      </c>
      <c r="T210" s="35">
        <f>IFERROR(__xludf.DUMMYFUNCTION("""COMPUTED_VALUE"""),4.0)</f>
        <v>4</v>
      </c>
      <c r="U210" s="35">
        <f>IFERROR(__xludf.DUMMYFUNCTION("""COMPUTED_VALUE"""),4.0)</f>
        <v>4</v>
      </c>
      <c r="V210" s="35">
        <f>IFERROR(__xludf.DUMMYFUNCTION("""COMPUTED_VALUE"""),4.0)</f>
        <v>4</v>
      </c>
      <c r="W210" s="35">
        <f>IFERROR(__xludf.DUMMYFUNCTION("""COMPUTED_VALUE"""),4.0)</f>
        <v>4</v>
      </c>
      <c r="X210" s="35">
        <f>IFERROR(__xludf.DUMMYFUNCTION("""COMPUTED_VALUE"""),5.0)</f>
        <v>5</v>
      </c>
      <c r="Y210" s="35">
        <f>IFERROR(__xludf.DUMMYFUNCTION("""COMPUTED_VALUE"""),4.0)</f>
        <v>4</v>
      </c>
      <c r="Z210" s="35">
        <f>IFERROR(__xludf.DUMMYFUNCTION("""COMPUTED_VALUE"""),4.0)</f>
        <v>4</v>
      </c>
    </row>
    <row r="211" ht="15.75" customHeight="1">
      <c r="C211" s="34">
        <v>1431.0</v>
      </c>
      <c r="D211" s="70" t="s">
        <v>362</v>
      </c>
      <c r="E211" s="71" t="str">
        <f>vlookup(C211,'NOC-List'!B$2:C$502,2,False)</f>
        <v>Accounting and related clerks</v>
      </c>
      <c r="F211" s="72">
        <v>3.0</v>
      </c>
      <c r="G211" s="72">
        <v>3.0</v>
      </c>
      <c r="H211" s="72">
        <v>3.0</v>
      </c>
      <c r="I211" s="72">
        <v>4.0</v>
      </c>
      <c r="J211" s="72">
        <v>4.0</v>
      </c>
      <c r="K211" s="72">
        <v>2.0</v>
      </c>
      <c r="L211" s="72">
        <v>4.0</v>
      </c>
      <c r="M211" s="72">
        <v>3.0</v>
      </c>
      <c r="N211" s="72">
        <v>4.0</v>
      </c>
      <c r="O211" s="73"/>
      <c r="P211" s="35">
        <f>IFERROR(__xludf.DUMMYFUNCTION("""COMPUTED_VALUE"""),9611.0)</f>
        <v>9611</v>
      </c>
      <c r="Q211" s="35" t="str">
        <f>IFERROR(__xludf.DUMMYFUNCTION("query(C211:N1204,""Select D,E,F,G,H,I,J,K,L,M WHERE ""&amp;P211&amp;"" =C Limit 1"")"),"Labourers in Mineral and Metal Processing")</f>
        <v>Labourers in Mineral and Metal Processing</v>
      </c>
      <c r="R211" s="35" t="str">
        <f>IFERROR(__xludf.DUMMYFUNCTION("""COMPUTED_VALUE"""),"Labourers in mineral and metal processing")</f>
        <v>Labourers in mineral and metal processing</v>
      </c>
      <c r="S211" s="35">
        <f>IFERROR(__xludf.DUMMYFUNCTION("""COMPUTED_VALUE"""),4.0)</f>
        <v>4</v>
      </c>
      <c r="T211" s="35">
        <f>IFERROR(__xludf.DUMMYFUNCTION("""COMPUTED_VALUE"""),4.0)</f>
        <v>4</v>
      </c>
      <c r="U211" s="35">
        <f>IFERROR(__xludf.DUMMYFUNCTION("""COMPUTED_VALUE"""),4.0)</f>
        <v>4</v>
      </c>
      <c r="V211" s="35">
        <f>IFERROR(__xludf.DUMMYFUNCTION("""COMPUTED_VALUE"""),4.0)</f>
        <v>4</v>
      </c>
      <c r="W211" s="35">
        <f>IFERROR(__xludf.DUMMYFUNCTION("""COMPUTED_VALUE"""),4.0)</f>
        <v>4</v>
      </c>
      <c r="X211" s="35">
        <f>IFERROR(__xludf.DUMMYFUNCTION("""COMPUTED_VALUE"""),5.0)</f>
        <v>5</v>
      </c>
      <c r="Y211" s="35">
        <f>IFERROR(__xludf.DUMMYFUNCTION("""COMPUTED_VALUE"""),4.0)</f>
        <v>4</v>
      </c>
      <c r="Z211" s="35">
        <f>IFERROR(__xludf.DUMMYFUNCTION("""COMPUTED_VALUE"""),4.0)</f>
        <v>4</v>
      </c>
    </row>
    <row r="212" ht="15.75" customHeight="1">
      <c r="C212" s="34">
        <v>212.0</v>
      </c>
      <c r="D212" s="70" t="s">
        <v>363</v>
      </c>
      <c r="E212" s="71" t="str">
        <f>vlookup(C212,'NOC-List'!B$2:C$502,2,False)</f>
        <v>Architecture and science managers</v>
      </c>
      <c r="F212" s="72">
        <v>1.0</v>
      </c>
      <c r="G212" s="72">
        <v>2.0</v>
      </c>
      <c r="H212" s="72">
        <v>1.0</v>
      </c>
      <c r="I212" s="72">
        <v>2.0</v>
      </c>
      <c r="J212" s="72">
        <v>3.0</v>
      </c>
      <c r="K212" s="72">
        <v>3.0</v>
      </c>
      <c r="L212" s="72">
        <v>4.0</v>
      </c>
      <c r="M212" s="72">
        <v>4.0</v>
      </c>
      <c r="N212" s="72">
        <v>4.0</v>
      </c>
      <c r="O212" s="73"/>
      <c r="P212" s="35">
        <f>IFERROR(__xludf.DUMMYFUNCTION("""COMPUTED_VALUE"""),9616.0)</f>
        <v>9616</v>
      </c>
      <c r="Q212" s="35" t="str">
        <f>IFERROR(__xludf.DUMMYFUNCTION("query(C212:N1205,""Select D,E,F,G,H,I,J,K,L,M WHERE ""&amp;P212&amp;"" =C Limit 1"")"),"Labourers in Textile Processing")</f>
        <v>Labourers in Textile Processing</v>
      </c>
      <c r="R212" s="35" t="str">
        <f>IFERROR(__xludf.DUMMYFUNCTION("""COMPUTED_VALUE"""),"Labourers in textile processing")</f>
        <v>Labourers in textile processing</v>
      </c>
      <c r="S212" s="35">
        <f>IFERROR(__xludf.DUMMYFUNCTION("""COMPUTED_VALUE"""),4.0)</f>
        <v>4</v>
      </c>
      <c r="T212" s="35">
        <f>IFERROR(__xludf.DUMMYFUNCTION("""COMPUTED_VALUE"""),4.0)</f>
        <v>4</v>
      </c>
      <c r="U212" s="35">
        <f>IFERROR(__xludf.DUMMYFUNCTION("""COMPUTED_VALUE"""),5.0)</f>
        <v>5</v>
      </c>
      <c r="V212" s="35">
        <f>IFERROR(__xludf.DUMMYFUNCTION("""COMPUTED_VALUE"""),4.0)</f>
        <v>4</v>
      </c>
      <c r="W212" s="35">
        <f>IFERROR(__xludf.DUMMYFUNCTION("""COMPUTED_VALUE"""),4.0)</f>
        <v>4</v>
      </c>
      <c r="X212" s="35">
        <f>IFERROR(__xludf.DUMMYFUNCTION("""COMPUTED_VALUE"""),4.0)</f>
        <v>4</v>
      </c>
      <c r="Y212" s="35">
        <f>IFERROR(__xludf.DUMMYFUNCTION("""COMPUTED_VALUE"""),4.0)</f>
        <v>4</v>
      </c>
      <c r="Z212" s="35">
        <f>IFERROR(__xludf.DUMMYFUNCTION("""COMPUTED_VALUE"""),4.0)</f>
        <v>4</v>
      </c>
    </row>
    <row r="213" ht="15.75" customHeight="1">
      <c r="C213" s="81">
        <v>5211.0</v>
      </c>
      <c r="D213" s="70" t="s">
        <v>364</v>
      </c>
      <c r="E213" s="71" t="str">
        <f>vlookup(C213,'NOC-List'!B$2:C$502,2,False)</f>
        <v>Library and public archive technicians</v>
      </c>
      <c r="F213" s="72">
        <v>3.0</v>
      </c>
      <c r="G213" s="72">
        <v>3.0</v>
      </c>
      <c r="H213" s="72">
        <v>4.0</v>
      </c>
      <c r="I213" s="72">
        <v>4.0</v>
      </c>
      <c r="J213" s="72">
        <v>4.0</v>
      </c>
      <c r="K213" s="72">
        <v>2.0</v>
      </c>
      <c r="L213" s="72">
        <v>4.0</v>
      </c>
      <c r="M213" s="72">
        <v>4.0</v>
      </c>
      <c r="N213" s="72">
        <v>4.0</v>
      </c>
      <c r="O213" s="73"/>
      <c r="P213" s="35">
        <f>IFERROR(__xludf.DUMMYFUNCTION("""COMPUTED_VALUE"""),5244.0)</f>
        <v>5244</v>
      </c>
      <c r="Q213" s="35" t="str">
        <f>IFERROR(__xludf.DUMMYFUNCTION("query(C213:N1206,""Select D,E,F,G,H,I,J,K,L,M WHERE ""&amp;P213&amp;"" =C Limit 1"")"),"Artistic Floral Arrangers")</f>
        <v>Artistic Floral Arrangers</v>
      </c>
      <c r="R213" s="35" t="str">
        <f>IFERROR(__xludf.DUMMYFUNCTION("""COMPUTED_VALUE"""),"Artisans and craftspersons")</f>
        <v>Artisans and craftspersons</v>
      </c>
      <c r="S213" s="35">
        <f>IFERROR(__xludf.DUMMYFUNCTION("""COMPUTED_VALUE"""),3.0)</f>
        <v>3</v>
      </c>
      <c r="T213" s="35">
        <f>IFERROR(__xludf.DUMMYFUNCTION("""COMPUTED_VALUE"""),4.0)</f>
        <v>4</v>
      </c>
      <c r="U213" s="35">
        <f>IFERROR(__xludf.DUMMYFUNCTION("""COMPUTED_VALUE"""),4.0)</f>
        <v>4</v>
      </c>
      <c r="V213" s="35">
        <f>IFERROR(__xludf.DUMMYFUNCTION("""COMPUTED_VALUE"""),2.0)</f>
        <v>2</v>
      </c>
      <c r="W213" s="35">
        <f>IFERROR(__xludf.DUMMYFUNCTION("""COMPUTED_VALUE"""),3.0)</f>
        <v>3</v>
      </c>
      <c r="X213" s="35">
        <f>IFERROR(__xludf.DUMMYFUNCTION("""COMPUTED_VALUE"""),4.0)</f>
        <v>4</v>
      </c>
      <c r="Y213" s="35">
        <f>IFERROR(__xludf.DUMMYFUNCTION("""COMPUTED_VALUE"""),2.0)</f>
        <v>2</v>
      </c>
      <c r="Z213" s="35">
        <f>IFERROR(__xludf.DUMMYFUNCTION("""COMPUTED_VALUE"""),3.0)</f>
        <v>3</v>
      </c>
    </row>
    <row r="214" ht="15.75" customHeight="1">
      <c r="C214" s="34">
        <v>5113.0</v>
      </c>
      <c r="D214" s="70" t="s">
        <v>365</v>
      </c>
      <c r="E214" s="71" t="str">
        <f>vlookup(C214,'NOC-List'!B$2:C$502,2,False)</f>
        <v>Archivists</v>
      </c>
      <c r="F214" s="72">
        <v>2.0</v>
      </c>
      <c r="G214" s="72">
        <v>2.0</v>
      </c>
      <c r="H214" s="72">
        <v>3.0</v>
      </c>
      <c r="I214" s="72">
        <v>3.0</v>
      </c>
      <c r="J214" s="72">
        <v>2.0</v>
      </c>
      <c r="K214" s="72">
        <v>2.0</v>
      </c>
      <c r="L214" s="72">
        <v>4.0</v>
      </c>
      <c r="M214" s="72">
        <v>4.0</v>
      </c>
      <c r="N214" s="72">
        <v>4.0</v>
      </c>
      <c r="O214" s="73"/>
      <c r="P214" s="35">
        <f>IFERROR(__xludf.DUMMYFUNCTION("""COMPUTED_VALUE"""),5134.0)</f>
        <v>5134</v>
      </c>
      <c r="Q214" s="35" t="str">
        <f>IFERROR(__xludf.DUMMYFUNCTION("query(C214:N1207,""Select D,E,F,G,H,I,J,K,L,M WHERE ""&amp;P214&amp;"" =C Limit 1"")"),"Dance Teachers")</f>
        <v>Dance Teachers</v>
      </c>
      <c r="R214" s="35" t="str">
        <f>IFERROR(__xludf.DUMMYFUNCTION("""COMPUTED_VALUE"""),"Dancers")</f>
        <v>Dancers</v>
      </c>
      <c r="S214" s="35">
        <f>IFERROR(__xludf.DUMMYFUNCTION("""COMPUTED_VALUE"""),2.0)</f>
        <v>2</v>
      </c>
      <c r="T214" s="35">
        <f>IFERROR(__xludf.DUMMYFUNCTION("""COMPUTED_VALUE"""),3.0)</f>
        <v>3</v>
      </c>
      <c r="U214" s="35">
        <f>IFERROR(__xludf.DUMMYFUNCTION("""COMPUTED_VALUE"""),4.0)</f>
        <v>4</v>
      </c>
      <c r="V214" s="35">
        <f>IFERROR(__xludf.DUMMYFUNCTION("""COMPUTED_VALUE"""),2.0)</f>
        <v>2</v>
      </c>
      <c r="W214" s="35">
        <f>IFERROR(__xludf.DUMMYFUNCTION("""COMPUTED_VALUE"""),3.0)</f>
        <v>3</v>
      </c>
      <c r="X214" s="35">
        <f>IFERROR(__xludf.DUMMYFUNCTION("""COMPUTED_VALUE"""),4.0)</f>
        <v>4</v>
      </c>
      <c r="Y214" s="35">
        <f>IFERROR(__xludf.DUMMYFUNCTION("""COMPUTED_VALUE"""),2.0)</f>
        <v>2</v>
      </c>
      <c r="Z214" s="35">
        <f>IFERROR(__xludf.DUMMYFUNCTION("""COMPUTED_VALUE"""),3.0)</f>
        <v>3</v>
      </c>
    </row>
    <row r="215" ht="15.75" customHeight="1">
      <c r="C215" s="34">
        <v>7535.0</v>
      </c>
      <c r="D215" s="70" t="s">
        <v>366</v>
      </c>
      <c r="E215" s="71" t="str">
        <f>vlookup(C215,'NOC-List'!B$2:C$502,2,False)</f>
        <v>Other automotive mechanical installers and servicers</v>
      </c>
      <c r="F215" s="72">
        <v>4.0</v>
      </c>
      <c r="G215" s="72">
        <v>4.0</v>
      </c>
      <c r="H215" s="72">
        <v>4.0</v>
      </c>
      <c r="I215" s="72">
        <v>4.0</v>
      </c>
      <c r="J215" s="72">
        <v>4.0</v>
      </c>
      <c r="K215" s="72">
        <v>5.0</v>
      </c>
      <c r="L215" s="72">
        <v>4.0</v>
      </c>
      <c r="M215" s="72">
        <v>4.0</v>
      </c>
      <c r="N215" s="72">
        <v>3.0</v>
      </c>
      <c r="O215" s="73"/>
      <c r="P215" s="35">
        <f>IFERROR(__xludf.DUMMYFUNCTION("""COMPUTED_VALUE"""),5251.0)</f>
        <v>5251</v>
      </c>
      <c r="Q215" s="35" t="str">
        <f>IFERROR(__xludf.DUMMYFUNCTION("query(C215:N1208,""Select D,E,F,G,H,I,J,K,L,M WHERE ""&amp;P215&amp;"" =C Limit 1"")"),"Athletes")</f>
        <v>Athletes</v>
      </c>
      <c r="R215" s="35" t="str">
        <f>IFERROR(__xludf.DUMMYFUNCTION("""COMPUTED_VALUE"""),"Athletes")</f>
        <v>Athletes</v>
      </c>
      <c r="S215" s="35">
        <f>IFERROR(__xludf.DUMMYFUNCTION("""COMPUTED_VALUE"""),3.0)</f>
        <v>3</v>
      </c>
      <c r="T215" s="35">
        <f>IFERROR(__xludf.DUMMYFUNCTION("""COMPUTED_VALUE"""),3.0)</f>
        <v>3</v>
      </c>
      <c r="U215" s="35">
        <f>IFERROR(__xludf.DUMMYFUNCTION("""COMPUTED_VALUE"""),4.0)</f>
        <v>4</v>
      </c>
      <c r="V215" s="35">
        <f>IFERROR(__xludf.DUMMYFUNCTION("""COMPUTED_VALUE"""),2.0)</f>
        <v>2</v>
      </c>
      <c r="W215" s="35">
        <f>IFERROR(__xludf.DUMMYFUNCTION("""COMPUTED_VALUE"""),3.0)</f>
        <v>3</v>
      </c>
      <c r="X215" s="35">
        <f>IFERROR(__xludf.DUMMYFUNCTION("""COMPUTED_VALUE"""),4.0)</f>
        <v>4</v>
      </c>
      <c r="Y215" s="35">
        <f>IFERROR(__xludf.DUMMYFUNCTION("""COMPUTED_VALUE"""),2.0)</f>
        <v>2</v>
      </c>
      <c r="Z215" s="35">
        <f>IFERROR(__xludf.DUMMYFUNCTION("""COMPUTED_VALUE"""),2.0)</f>
        <v>2</v>
      </c>
    </row>
    <row r="216" ht="15.75" customHeight="1">
      <c r="C216" s="34">
        <v>4411.0</v>
      </c>
      <c r="D216" s="70" t="s">
        <v>367</v>
      </c>
      <c r="E216" s="71" t="str">
        <f>vlookup(C216,'NOC-List'!B$2:C$502,2,False)</f>
        <v>Home child care providers</v>
      </c>
      <c r="F216" s="72">
        <v>4.0</v>
      </c>
      <c r="G216" s="72">
        <v>4.0</v>
      </c>
      <c r="H216" s="72">
        <v>4.0</v>
      </c>
      <c r="I216" s="72">
        <v>4.0</v>
      </c>
      <c r="J216" s="72">
        <v>4.0</v>
      </c>
      <c r="K216" s="72">
        <v>5.0</v>
      </c>
      <c r="L216" s="72">
        <v>4.0</v>
      </c>
      <c r="M216" s="72">
        <v>4.0</v>
      </c>
      <c r="N216" s="72">
        <v>3.0</v>
      </c>
      <c r="O216" s="73"/>
      <c r="P216" s="35">
        <f>IFERROR(__xludf.DUMMYFUNCTION("""COMPUTED_VALUE"""),2231.0)</f>
        <v>2231</v>
      </c>
      <c r="Q216" s="35" t="str">
        <f>IFERROR(__xludf.DUMMYFUNCTION("query(C216:N1209,""Select D,E,F,G,H,I,J,K,L,M WHERE ""&amp;P216&amp;"" =C Limit 1"")"),"Civil Engineering Technicians")</f>
        <v>Civil Engineering Technicians</v>
      </c>
      <c r="R216" s="35" t="str">
        <f>IFERROR(__xludf.DUMMYFUNCTION("""COMPUTED_VALUE"""),"Civil engineering technologists and technicians")</f>
        <v>Civil engineering technologists and technicians</v>
      </c>
      <c r="S216" s="35">
        <f>IFERROR(__xludf.DUMMYFUNCTION("""COMPUTED_VALUE"""),2.0)</f>
        <v>2</v>
      </c>
      <c r="T216" s="35">
        <f>IFERROR(__xludf.DUMMYFUNCTION("""COMPUTED_VALUE"""),3.0)</f>
        <v>3</v>
      </c>
      <c r="U216" s="35">
        <f>IFERROR(__xludf.DUMMYFUNCTION("""COMPUTED_VALUE"""),3.0)</f>
        <v>3</v>
      </c>
      <c r="V216" s="35">
        <f>IFERROR(__xludf.DUMMYFUNCTION("""COMPUTED_VALUE"""),2.0)</f>
        <v>2</v>
      </c>
      <c r="W216" s="35">
        <f>IFERROR(__xludf.DUMMYFUNCTION("""COMPUTED_VALUE"""),3.0)</f>
        <v>3</v>
      </c>
      <c r="X216" s="35">
        <f>IFERROR(__xludf.DUMMYFUNCTION("""COMPUTED_VALUE"""),3.0)</f>
        <v>3</v>
      </c>
      <c r="Y216" s="35">
        <f>IFERROR(__xludf.DUMMYFUNCTION("""COMPUTED_VALUE"""),3.0)</f>
        <v>3</v>
      </c>
      <c r="Z216" s="35">
        <f>IFERROR(__xludf.DUMMYFUNCTION("""COMPUTED_VALUE"""),3.0)</f>
        <v>3</v>
      </c>
    </row>
    <row r="217" ht="15.75" customHeight="1">
      <c r="C217" s="34">
        <v>2121.0</v>
      </c>
      <c r="D217" s="70" t="s">
        <v>368</v>
      </c>
      <c r="E217" s="71" t="str">
        <f>vlookup(C217,'NOC-List'!B$2:C$502,2,False)</f>
        <v>Biologists and related scientists</v>
      </c>
      <c r="F217" s="72">
        <v>1.0</v>
      </c>
      <c r="G217" s="72">
        <v>1.0</v>
      </c>
      <c r="H217" s="72">
        <v>1.0</v>
      </c>
      <c r="I217" s="72">
        <v>2.0</v>
      </c>
      <c r="J217" s="72">
        <v>2.0</v>
      </c>
      <c r="K217" s="72">
        <v>3.0</v>
      </c>
      <c r="L217" s="72">
        <v>4.0</v>
      </c>
      <c r="M217" s="72">
        <v>3.0</v>
      </c>
      <c r="N217" s="72">
        <v>3.0</v>
      </c>
      <c r="O217" s="73"/>
      <c r="P217" s="35">
        <f>IFERROR(__xludf.DUMMYFUNCTION("""COMPUTED_VALUE"""),2233.0)</f>
        <v>2233</v>
      </c>
      <c r="Q217" s="35" t="str">
        <f>IFERROR(__xludf.DUMMYFUNCTION("query(C217:N1210,""Select D,E,F,G,H,I,J,K,L,M WHERE ""&amp;P217&amp;"" =C Limit 1"")"),"Industrial Engineering and Manufacturing Technicians")</f>
        <v>Industrial Engineering and Manufacturing Technicians</v>
      </c>
      <c r="R217" s="35" t="str">
        <f>IFERROR(__xludf.DUMMYFUNCTION("""COMPUTED_VALUE"""),"Industrial engineering and manufacturing technologists and technicians")</f>
        <v>Industrial engineering and manufacturing technologists and technicians</v>
      </c>
      <c r="S217" s="35">
        <f>IFERROR(__xludf.DUMMYFUNCTION("""COMPUTED_VALUE"""),2.0)</f>
        <v>2</v>
      </c>
      <c r="T217" s="35">
        <f>IFERROR(__xludf.DUMMYFUNCTION("""COMPUTED_VALUE"""),3.0)</f>
        <v>3</v>
      </c>
      <c r="U217" s="35">
        <f>IFERROR(__xludf.DUMMYFUNCTION("""COMPUTED_VALUE"""),3.0)</f>
        <v>3</v>
      </c>
      <c r="V217" s="35">
        <f>IFERROR(__xludf.DUMMYFUNCTION("""COMPUTED_VALUE"""),2.0)</f>
        <v>2</v>
      </c>
      <c r="W217" s="35">
        <f>IFERROR(__xludf.DUMMYFUNCTION("""COMPUTED_VALUE"""),3.0)</f>
        <v>3</v>
      </c>
      <c r="X217" s="35">
        <f>IFERROR(__xludf.DUMMYFUNCTION("""COMPUTED_VALUE"""),3.0)</f>
        <v>3</v>
      </c>
      <c r="Y217" s="35">
        <f>IFERROR(__xludf.DUMMYFUNCTION("""COMPUTED_VALUE"""),3.0)</f>
        <v>3</v>
      </c>
      <c r="Z217" s="35">
        <f>IFERROR(__xludf.DUMMYFUNCTION("""COMPUTED_VALUE"""),3.0)</f>
        <v>3</v>
      </c>
    </row>
    <row r="218" ht="15.75" customHeight="1">
      <c r="C218" s="34">
        <v>7533.0</v>
      </c>
      <c r="D218" s="70" t="s">
        <v>369</v>
      </c>
      <c r="E218" s="71" t="str">
        <f>vlookup(C218,'NOC-List'!B$2:C$502,2,False)</f>
        <v>Boat and cable ferry operators and related occupations</v>
      </c>
      <c r="F218" s="72">
        <v>4.0</v>
      </c>
      <c r="G218" s="72">
        <v>3.0</v>
      </c>
      <c r="H218" s="72">
        <v>5.0</v>
      </c>
      <c r="I218" s="72">
        <v>3.0</v>
      </c>
      <c r="J218" s="72">
        <v>4.0</v>
      </c>
      <c r="K218" s="72">
        <v>5.0</v>
      </c>
      <c r="L218" s="72">
        <v>3.0</v>
      </c>
      <c r="M218" s="72">
        <v>4.0</v>
      </c>
      <c r="N218" s="72">
        <v>3.0</v>
      </c>
      <c r="O218" s="73"/>
      <c r="P218" s="35">
        <f>IFERROR(__xludf.DUMMYFUNCTION("""COMPUTED_VALUE"""),9442.0)</f>
        <v>9442</v>
      </c>
      <c r="Q218" s="35" t="str">
        <f>IFERROR(__xludf.DUMMYFUNCTION("query(C218:N1211,""Select D,E,F,G,H,I,J,K,L,M WHERE ""&amp;P218&amp;"" =C Limit 1"")"),"Weavers")</f>
        <v>Weavers</v>
      </c>
      <c r="R218" s="35" t="str">
        <f>IFERROR(__xludf.DUMMYFUNCTION("""COMPUTED_VALUE"""),"Weavers, knitters and other fabric making occupations")</f>
        <v>Weavers, knitters and other fabric making occupations</v>
      </c>
      <c r="S218" s="35">
        <f>IFERROR(__xludf.DUMMYFUNCTION("""COMPUTED_VALUE"""),3.0)</f>
        <v>3</v>
      </c>
      <c r="T218" s="35">
        <f>IFERROR(__xludf.DUMMYFUNCTION("""COMPUTED_VALUE"""),4.0)</f>
        <v>4</v>
      </c>
      <c r="U218" s="35">
        <f>IFERROR(__xludf.DUMMYFUNCTION("""COMPUTED_VALUE"""),4.0)</f>
        <v>4</v>
      </c>
      <c r="V218" s="35">
        <f>IFERROR(__xludf.DUMMYFUNCTION("""COMPUTED_VALUE"""),2.0)</f>
        <v>2</v>
      </c>
      <c r="W218" s="35">
        <f>IFERROR(__xludf.DUMMYFUNCTION("""COMPUTED_VALUE"""),3.0)</f>
        <v>3</v>
      </c>
      <c r="X218" s="35">
        <f>IFERROR(__xludf.DUMMYFUNCTION("""COMPUTED_VALUE"""),4.0)</f>
        <v>4</v>
      </c>
      <c r="Y218" s="35">
        <f>IFERROR(__xludf.DUMMYFUNCTION("""COMPUTED_VALUE"""),2.0)</f>
        <v>2</v>
      </c>
      <c r="Z218" s="35">
        <f>IFERROR(__xludf.DUMMYFUNCTION("""COMPUTED_VALUE"""),3.0)</f>
        <v>3</v>
      </c>
    </row>
    <row r="219" ht="15.75" customHeight="1">
      <c r="C219" s="34">
        <v>1311.0</v>
      </c>
      <c r="D219" s="70" t="s">
        <v>370</v>
      </c>
      <c r="E219" s="71" t="str">
        <f>vlookup(C219,'NOC-List'!B$2:C$502,2,False)</f>
        <v>Accounting technicians and bookkeepers</v>
      </c>
      <c r="F219" s="72">
        <v>3.0</v>
      </c>
      <c r="G219" s="72">
        <v>3.0</v>
      </c>
      <c r="H219" s="72">
        <v>2.0</v>
      </c>
      <c r="I219" s="72">
        <v>4.0</v>
      </c>
      <c r="J219" s="72">
        <v>4.0</v>
      </c>
      <c r="K219" s="72">
        <v>2.0</v>
      </c>
      <c r="L219" s="72">
        <v>3.0</v>
      </c>
      <c r="M219" s="72">
        <v>3.0</v>
      </c>
      <c r="N219" s="72">
        <v>4.0</v>
      </c>
      <c r="O219" s="73"/>
      <c r="P219" s="35">
        <f>IFERROR(__xludf.DUMMYFUNCTION("""COMPUTED_VALUE"""),7315.0)</f>
        <v>7315</v>
      </c>
      <c r="Q219" s="35" t="str">
        <f>IFERROR(__xludf.DUMMYFUNCTION("query(C219:N1212,""Select D,E,F,G,H,I,J,K,L,M WHERE ""&amp;P219&amp;"" =C Limit 1"")"),"Aircraft Mechanics")</f>
        <v>Aircraft Mechanics</v>
      </c>
      <c r="R219" s="35" t="str">
        <f>IFERROR(__xludf.DUMMYFUNCTION("""COMPUTED_VALUE"""),"Aircraft mechanics and aircraft inspectors")</f>
        <v>Aircraft mechanics and aircraft inspectors</v>
      </c>
      <c r="S219" s="35">
        <f>IFERROR(__xludf.DUMMYFUNCTION("""COMPUTED_VALUE"""),3.0)</f>
        <v>3</v>
      </c>
      <c r="T219" s="35">
        <f>IFERROR(__xludf.DUMMYFUNCTION("""COMPUTED_VALUE"""),4.0)</f>
        <v>4</v>
      </c>
      <c r="U219" s="35">
        <f>IFERROR(__xludf.DUMMYFUNCTION("""COMPUTED_VALUE"""),3.0)</f>
        <v>3</v>
      </c>
      <c r="V219" s="35">
        <f>IFERROR(__xludf.DUMMYFUNCTION("""COMPUTED_VALUE"""),2.0)</f>
        <v>2</v>
      </c>
      <c r="W219" s="35">
        <f>IFERROR(__xludf.DUMMYFUNCTION("""COMPUTED_VALUE"""),2.0)</f>
        <v>2</v>
      </c>
      <c r="X219" s="35">
        <f>IFERROR(__xludf.DUMMYFUNCTION("""COMPUTED_VALUE"""),4.0)</f>
        <v>4</v>
      </c>
      <c r="Y219" s="35">
        <f>IFERROR(__xludf.DUMMYFUNCTION("""COMPUTED_VALUE"""),3.0)</f>
        <v>3</v>
      </c>
      <c r="Z219" s="35">
        <f>IFERROR(__xludf.DUMMYFUNCTION("""COMPUTED_VALUE"""),3.0)</f>
        <v>3</v>
      </c>
    </row>
    <row r="220" ht="15.75" customHeight="1">
      <c r="C220" s="81">
        <v>4423.0</v>
      </c>
      <c r="D220" s="70" t="s">
        <v>371</v>
      </c>
      <c r="E220" s="71" t="str">
        <f>vlookup(C220,'NOC-List'!B$2:C$502,2,False)</f>
        <v>By-law enforcement and other regulatory officers, n.e.c.</v>
      </c>
      <c r="F220" s="72">
        <v>3.0</v>
      </c>
      <c r="G220" s="72">
        <v>3.0</v>
      </c>
      <c r="H220" s="72">
        <v>4.0</v>
      </c>
      <c r="I220" s="72">
        <v>4.0</v>
      </c>
      <c r="J220" s="72">
        <v>4.0</v>
      </c>
      <c r="K220" s="72">
        <v>4.0</v>
      </c>
      <c r="L220" s="72">
        <v>4.0</v>
      </c>
      <c r="M220" s="72">
        <v>4.0</v>
      </c>
      <c r="N220" s="72">
        <v>4.0</v>
      </c>
      <c r="O220" s="73"/>
      <c r="P220" s="35">
        <f>IFERROR(__xludf.DUMMYFUNCTION("""COMPUTED_VALUE"""),7234.0)</f>
        <v>7234</v>
      </c>
      <c r="Q220" s="35" t="str">
        <f>IFERROR(__xludf.DUMMYFUNCTION("query(C220:N1213,""Select D,E,F,G,H,I,J,K,L,M WHERE ""&amp;P220&amp;"" =C Limit 1"")"),"Boilermakers")</f>
        <v>Boilermakers</v>
      </c>
      <c r="R220" s="35" t="str">
        <f>IFERROR(__xludf.DUMMYFUNCTION("""COMPUTED_VALUE"""),"Boilermakers")</f>
        <v>Boilermakers</v>
      </c>
      <c r="S220" s="35">
        <f>IFERROR(__xludf.DUMMYFUNCTION("""COMPUTED_VALUE"""),3.0)</f>
        <v>3</v>
      </c>
      <c r="T220" s="35">
        <f>IFERROR(__xludf.DUMMYFUNCTION("""COMPUTED_VALUE"""),3.0)</f>
        <v>3</v>
      </c>
      <c r="U220" s="35">
        <f>IFERROR(__xludf.DUMMYFUNCTION("""COMPUTED_VALUE"""),3.0)</f>
        <v>3</v>
      </c>
      <c r="V220" s="35">
        <f>IFERROR(__xludf.DUMMYFUNCTION("""COMPUTED_VALUE"""),2.0)</f>
        <v>2</v>
      </c>
      <c r="W220" s="35">
        <f>IFERROR(__xludf.DUMMYFUNCTION("""COMPUTED_VALUE"""),3.0)</f>
        <v>3</v>
      </c>
      <c r="X220" s="35">
        <f>IFERROR(__xludf.DUMMYFUNCTION("""COMPUTED_VALUE"""),4.0)</f>
        <v>4</v>
      </c>
      <c r="Y220" s="35">
        <f>IFERROR(__xludf.DUMMYFUNCTION("""COMPUTED_VALUE"""),3.0)</f>
        <v>3</v>
      </c>
      <c r="Z220" s="35">
        <f>IFERROR(__xludf.DUMMYFUNCTION("""COMPUTED_VALUE"""),3.0)</f>
        <v>3</v>
      </c>
    </row>
    <row r="221" ht="15.75" customHeight="1">
      <c r="C221" s="81">
        <v>6564.0</v>
      </c>
      <c r="D221" s="70" t="s">
        <v>372</v>
      </c>
      <c r="E221" s="71" t="str">
        <f>vlookup(C221,'NOC-List'!B$2:C$502,2,False)</f>
        <v>Other personal service occupations</v>
      </c>
      <c r="F221" s="72">
        <v>3.0</v>
      </c>
      <c r="G221" s="72">
        <v>3.0</v>
      </c>
      <c r="H221" s="72">
        <v>3.0</v>
      </c>
      <c r="I221" s="72">
        <v>4.0</v>
      </c>
      <c r="J221" s="72">
        <v>4.0</v>
      </c>
      <c r="K221" s="72">
        <v>3.0</v>
      </c>
      <c r="L221" s="72">
        <v>4.0</v>
      </c>
      <c r="M221" s="72">
        <v>4.0</v>
      </c>
      <c r="N221" s="72">
        <v>4.0</v>
      </c>
      <c r="O221" s="73"/>
      <c r="P221" s="35">
        <f>IFERROR(__xludf.DUMMYFUNCTION("""COMPUTED_VALUE"""),7233.0)</f>
        <v>7233</v>
      </c>
      <c r="Q221" s="35" t="str">
        <f>IFERROR(__xludf.DUMMYFUNCTION("query(C221:N1214,""Select D,E,F,G,H,I,J,K,L,M WHERE ""&amp;P221&amp;"" =C Limit 1"")"),"Sheet Metal Workers")</f>
        <v>Sheet Metal Workers</v>
      </c>
      <c r="R221" s="35" t="str">
        <f>IFERROR(__xludf.DUMMYFUNCTION("""COMPUTED_VALUE"""),"Sheet metal workers")</f>
        <v>Sheet metal workers</v>
      </c>
      <c r="S221" s="35">
        <f>IFERROR(__xludf.DUMMYFUNCTION("""COMPUTED_VALUE"""),3.0)</f>
        <v>3</v>
      </c>
      <c r="T221" s="35">
        <f>IFERROR(__xludf.DUMMYFUNCTION("""COMPUTED_VALUE"""),4.0)</f>
        <v>4</v>
      </c>
      <c r="U221" s="35">
        <f>IFERROR(__xludf.DUMMYFUNCTION("""COMPUTED_VALUE"""),3.0)</f>
        <v>3</v>
      </c>
      <c r="V221" s="35">
        <f>IFERROR(__xludf.DUMMYFUNCTION("""COMPUTED_VALUE"""),2.0)</f>
        <v>2</v>
      </c>
      <c r="W221" s="35">
        <f>IFERROR(__xludf.DUMMYFUNCTION("""COMPUTED_VALUE"""),3.0)</f>
        <v>3</v>
      </c>
      <c r="X221" s="35">
        <f>IFERROR(__xludf.DUMMYFUNCTION("""COMPUTED_VALUE"""),4.0)</f>
        <v>4</v>
      </c>
      <c r="Y221" s="35">
        <f>IFERROR(__xludf.DUMMYFUNCTION("""COMPUTED_VALUE"""),3.0)</f>
        <v>3</v>
      </c>
      <c r="Z221" s="35">
        <f>IFERROR(__xludf.DUMMYFUNCTION("""COMPUTED_VALUE"""),3.0)</f>
        <v>3</v>
      </c>
    </row>
    <row r="222" ht="15.75" customHeight="1">
      <c r="C222" s="81">
        <v>6524.0</v>
      </c>
      <c r="D222" s="70" t="s">
        <v>373</v>
      </c>
      <c r="E222" s="71" t="str">
        <f>vlookup(C222,'NOC-List'!B$2:C$502,2,False)</f>
        <v>Ground and water transport ticket agents, cargo service representatives and related clerks</v>
      </c>
      <c r="F222" s="72">
        <v>3.0</v>
      </c>
      <c r="G222" s="72">
        <v>3.0</v>
      </c>
      <c r="H222" s="72">
        <v>3.0</v>
      </c>
      <c r="I222" s="72">
        <v>4.0</v>
      </c>
      <c r="J222" s="72">
        <v>4.0</v>
      </c>
      <c r="K222" s="72">
        <v>3.0</v>
      </c>
      <c r="L222" s="72">
        <v>4.0</v>
      </c>
      <c r="M222" s="72">
        <v>4.0</v>
      </c>
      <c r="N222" s="72">
        <v>4.0</v>
      </c>
      <c r="O222" s="73"/>
      <c r="P222" s="35">
        <f>IFERROR(__xludf.DUMMYFUNCTION("""COMPUTED_VALUE"""),7272.0)</f>
        <v>7272</v>
      </c>
      <c r="Q222" s="35" t="str">
        <f>IFERROR(__xludf.DUMMYFUNCTION("query(C222:N1215,""Select D,E,F,G,H,I,J,K,L,M WHERE ""&amp;P222&amp;"" =C Limit 1"")"),"Cabinetmakers")</f>
        <v>Cabinetmakers</v>
      </c>
      <c r="R222" s="35" t="str">
        <f>IFERROR(__xludf.DUMMYFUNCTION("""COMPUTED_VALUE"""),"Cabinetmakers")</f>
        <v>Cabinetmakers</v>
      </c>
      <c r="S222" s="35">
        <f>IFERROR(__xludf.DUMMYFUNCTION("""COMPUTED_VALUE"""),3.0)</f>
        <v>3</v>
      </c>
      <c r="T222" s="35">
        <f>IFERROR(__xludf.DUMMYFUNCTION("""COMPUTED_VALUE"""),4.0)</f>
        <v>4</v>
      </c>
      <c r="U222" s="35">
        <f>IFERROR(__xludf.DUMMYFUNCTION("""COMPUTED_VALUE"""),3.0)</f>
        <v>3</v>
      </c>
      <c r="V222" s="35">
        <f>IFERROR(__xludf.DUMMYFUNCTION("""COMPUTED_VALUE"""),3.0)</f>
        <v>3</v>
      </c>
      <c r="W222" s="35">
        <f>IFERROR(__xludf.DUMMYFUNCTION("""COMPUTED_VALUE"""),3.0)</f>
        <v>3</v>
      </c>
      <c r="X222" s="35">
        <f>IFERROR(__xludf.DUMMYFUNCTION("""COMPUTED_VALUE"""),4.0)</f>
        <v>4</v>
      </c>
      <c r="Y222" s="35">
        <f>IFERROR(__xludf.DUMMYFUNCTION("""COMPUTED_VALUE"""),3.0)</f>
        <v>3</v>
      </c>
      <c r="Z222" s="35">
        <f>IFERROR(__xludf.DUMMYFUNCTION("""COMPUTED_VALUE"""),3.0)</f>
        <v>3</v>
      </c>
    </row>
    <row r="223" ht="15.75" customHeight="1">
      <c r="C223" s="34">
        <v>3414.0</v>
      </c>
      <c r="D223" s="70" t="s">
        <v>374</v>
      </c>
      <c r="E223" s="71" t="str">
        <f>vlookup(C223,'NOC-List'!B$2:C$502,2,False)</f>
        <v>Other assisting occupations in support of health services</v>
      </c>
      <c r="F223" s="72">
        <v>4.0</v>
      </c>
      <c r="G223" s="72">
        <v>4.0</v>
      </c>
      <c r="H223" s="72">
        <v>4.0</v>
      </c>
      <c r="I223" s="72">
        <v>4.0</v>
      </c>
      <c r="J223" s="72">
        <v>4.0</v>
      </c>
      <c r="K223" s="72">
        <v>4.0</v>
      </c>
      <c r="L223" s="72">
        <v>4.0</v>
      </c>
      <c r="M223" s="72">
        <v>4.0</v>
      </c>
      <c r="N223" s="72">
        <v>4.0</v>
      </c>
      <c r="O223" s="73"/>
      <c r="P223" s="35">
        <f>IFERROR(__xludf.DUMMYFUNCTION("""COMPUTED_VALUE"""),7311.0)</f>
        <v>7311</v>
      </c>
      <c r="Q223" s="35" t="str">
        <f>IFERROR(__xludf.DUMMYFUNCTION("query(C223:N1216,""Select D,E,F,G,H,I,J,K,L,M WHERE ""&amp;P223&amp;"" =C Limit 1"")"),"Construction Millwrights and Industrial Mechanics (Except Textile)")</f>
        <v>Construction Millwrights and Industrial Mechanics (Except Textile)</v>
      </c>
      <c r="R223" s="35" t="str">
        <f>IFERROR(__xludf.DUMMYFUNCTION("""COMPUTED_VALUE"""),"Construction millwrights and industrial mechanics")</f>
        <v>Construction millwrights and industrial mechanics</v>
      </c>
      <c r="S223" s="35">
        <f>IFERROR(__xludf.DUMMYFUNCTION("""COMPUTED_VALUE"""),3.0)</f>
        <v>3</v>
      </c>
      <c r="T223" s="35">
        <f>IFERROR(__xludf.DUMMYFUNCTION("""COMPUTED_VALUE"""),4.0)</f>
        <v>4</v>
      </c>
      <c r="U223" s="35">
        <f>IFERROR(__xludf.DUMMYFUNCTION("""COMPUTED_VALUE"""),3.0)</f>
        <v>3</v>
      </c>
      <c r="V223" s="35">
        <f>IFERROR(__xludf.DUMMYFUNCTION("""COMPUTED_VALUE"""),2.0)</f>
        <v>2</v>
      </c>
      <c r="W223" s="35">
        <f>IFERROR(__xludf.DUMMYFUNCTION("""COMPUTED_VALUE"""),3.0)</f>
        <v>3</v>
      </c>
      <c r="X223" s="35">
        <f>IFERROR(__xludf.DUMMYFUNCTION("""COMPUTED_VALUE"""),4.0)</f>
        <v>4</v>
      </c>
      <c r="Y223" s="35">
        <f>IFERROR(__xludf.DUMMYFUNCTION("""COMPUTED_VALUE"""),3.0)</f>
        <v>3</v>
      </c>
      <c r="Z223" s="35">
        <f>IFERROR(__xludf.DUMMYFUNCTION("""COMPUTED_VALUE"""),3.0)</f>
        <v>3</v>
      </c>
    </row>
    <row r="224" ht="15.75" customHeight="1">
      <c r="C224" s="81">
        <v>6732.0</v>
      </c>
      <c r="D224" s="70" t="s">
        <v>375</v>
      </c>
      <c r="E224" s="71" t="str">
        <f>vlookup(C224,'NOC-List'!B$2:C$502,2,False)</f>
        <v>Specialized cleaners</v>
      </c>
      <c r="F224" s="72">
        <v>4.0</v>
      </c>
      <c r="G224" s="72">
        <v>4.0</v>
      </c>
      <c r="H224" s="72">
        <v>4.0</v>
      </c>
      <c r="I224" s="72">
        <v>4.0</v>
      </c>
      <c r="J224" s="72">
        <v>4.0</v>
      </c>
      <c r="K224" s="72">
        <v>5.0</v>
      </c>
      <c r="L224" s="72">
        <v>4.0</v>
      </c>
      <c r="M224" s="72">
        <v>4.0</v>
      </c>
      <c r="N224" s="72">
        <v>3.0</v>
      </c>
      <c r="O224" s="73"/>
      <c r="P224" s="35">
        <f>IFERROR(__xludf.DUMMYFUNCTION("""COMPUTED_VALUE"""),3223.0)</f>
        <v>3223</v>
      </c>
      <c r="Q224" s="35" t="str">
        <f>IFERROR(__xludf.DUMMYFUNCTION("query(C224:N1217,""Select D,E,F,G,H,I,J,K,L,M WHERE ""&amp;P224&amp;"" =C Limit 1"")"),"Dental Laboratory Bench Workers")</f>
        <v>Dental Laboratory Bench Workers</v>
      </c>
      <c r="R224" s="35" t="str">
        <f>IFERROR(__xludf.DUMMYFUNCTION("""COMPUTED_VALUE"""),"Dental technologists, technicians and laboratory assistants")</f>
        <v>Dental technologists, technicians and laboratory assistants</v>
      </c>
      <c r="S224" s="35">
        <f>IFERROR(__xludf.DUMMYFUNCTION("""COMPUTED_VALUE"""),3.0)</f>
        <v>3</v>
      </c>
      <c r="T224" s="35">
        <f>IFERROR(__xludf.DUMMYFUNCTION("""COMPUTED_VALUE"""),4.0)</f>
        <v>4</v>
      </c>
      <c r="U224" s="35">
        <f>IFERROR(__xludf.DUMMYFUNCTION("""COMPUTED_VALUE"""),4.0)</f>
        <v>4</v>
      </c>
      <c r="V224" s="35">
        <f>IFERROR(__xludf.DUMMYFUNCTION("""COMPUTED_VALUE"""),3.0)</f>
        <v>3</v>
      </c>
      <c r="W224" s="35">
        <f>IFERROR(__xludf.DUMMYFUNCTION("""COMPUTED_VALUE"""),3.0)</f>
        <v>3</v>
      </c>
      <c r="X224" s="35">
        <f>IFERROR(__xludf.DUMMYFUNCTION("""COMPUTED_VALUE"""),4.0)</f>
        <v>4</v>
      </c>
      <c r="Y224" s="35">
        <f>IFERROR(__xludf.DUMMYFUNCTION("""COMPUTED_VALUE"""),3.0)</f>
        <v>3</v>
      </c>
      <c r="Z224" s="35">
        <f>IFERROR(__xludf.DUMMYFUNCTION("""COMPUTED_VALUE"""),3.0)</f>
        <v>3</v>
      </c>
    </row>
    <row r="225" ht="15.75" customHeight="1">
      <c r="C225" s="34">
        <v>4155.0</v>
      </c>
      <c r="D225" s="70" t="s">
        <v>376</v>
      </c>
      <c r="E225" s="71" t="str">
        <f>vlookup(C225,'NOC-List'!B$2:C$502,2,False)</f>
        <v>Probation and parole officers and related occupations</v>
      </c>
      <c r="F225" s="72">
        <v>2.0</v>
      </c>
      <c r="G225" s="72">
        <v>2.0</v>
      </c>
      <c r="H225" s="72">
        <v>3.0</v>
      </c>
      <c r="I225" s="72">
        <v>4.0</v>
      </c>
      <c r="J225" s="72">
        <v>4.0</v>
      </c>
      <c r="K225" s="72">
        <v>3.0</v>
      </c>
      <c r="L225" s="72">
        <v>4.0</v>
      </c>
      <c r="M225" s="72">
        <v>4.0</v>
      </c>
      <c r="N225" s="72">
        <v>4.0</v>
      </c>
      <c r="O225" s="73"/>
      <c r="P225" s="35">
        <f>IFERROR(__xludf.DUMMYFUNCTION("""COMPUTED_VALUE"""),7244.0)</f>
        <v>7244</v>
      </c>
      <c r="Q225" s="35" t="str">
        <f>IFERROR(__xludf.DUMMYFUNCTION("query(C225:N1218,""Select D,E,F,G,H,I,J,K,L,M WHERE ""&amp;P225&amp;"" =C Limit 1"")"),"Electrical Power Line and Cable Workers")</f>
        <v>Electrical Power Line and Cable Workers</v>
      </c>
      <c r="R225" s="35" t="str">
        <f>IFERROR(__xludf.DUMMYFUNCTION("""COMPUTED_VALUE"""),"Electrical power line and cable workers")</f>
        <v>Electrical power line and cable workers</v>
      </c>
      <c r="S225" s="35">
        <f>IFERROR(__xludf.DUMMYFUNCTION("""COMPUTED_VALUE"""),3.0)</f>
        <v>3</v>
      </c>
      <c r="T225" s="35">
        <f>IFERROR(__xludf.DUMMYFUNCTION("""COMPUTED_VALUE"""),3.0)</f>
        <v>3</v>
      </c>
      <c r="U225" s="35">
        <f>IFERROR(__xludf.DUMMYFUNCTION("""COMPUTED_VALUE"""),4.0)</f>
        <v>4</v>
      </c>
      <c r="V225" s="35">
        <f>IFERROR(__xludf.DUMMYFUNCTION("""COMPUTED_VALUE"""),3.0)</f>
        <v>3</v>
      </c>
      <c r="W225" s="35">
        <f>IFERROR(__xludf.DUMMYFUNCTION("""COMPUTED_VALUE"""),3.0)</f>
        <v>3</v>
      </c>
      <c r="X225" s="35">
        <f>IFERROR(__xludf.DUMMYFUNCTION("""COMPUTED_VALUE"""),4.0)</f>
        <v>4</v>
      </c>
      <c r="Y225" s="35">
        <f>IFERROR(__xludf.DUMMYFUNCTION("""COMPUTED_VALUE"""),2.0)</f>
        <v>2</v>
      </c>
      <c r="Z225" s="35">
        <f>IFERROR(__xludf.DUMMYFUNCTION("""COMPUTED_VALUE"""),3.0)</f>
        <v>3</v>
      </c>
    </row>
    <row r="226" ht="15.75" customHeight="1">
      <c r="C226" s="34">
        <v>6315.0</v>
      </c>
      <c r="D226" s="70" t="s">
        <v>377</v>
      </c>
      <c r="E226" s="71" t="str">
        <f>vlookup(C226,'NOC-List'!B$2:C$502,2,False)</f>
        <v>Cleaning supervisors</v>
      </c>
      <c r="F226" s="72">
        <v>3.0</v>
      </c>
      <c r="G226" s="72">
        <v>3.0</v>
      </c>
      <c r="H226" s="72">
        <v>3.0</v>
      </c>
      <c r="I226" s="72">
        <v>4.0</v>
      </c>
      <c r="J226" s="72">
        <v>4.0</v>
      </c>
      <c r="K226" s="72">
        <v>3.0</v>
      </c>
      <c r="L226" s="72">
        <v>4.0</v>
      </c>
      <c r="M226" s="72">
        <v>4.0</v>
      </c>
      <c r="N226" s="72">
        <v>4.0</v>
      </c>
      <c r="O226" s="73"/>
      <c r="P226" s="35">
        <f>IFERROR(__xludf.DUMMYFUNCTION("""COMPUTED_VALUE"""),2242.0)</f>
        <v>2242</v>
      </c>
      <c r="Q226" s="35" t="str">
        <f>IFERROR(__xludf.DUMMYFUNCTION("query(C226:N1219,""Select D,E,F,G,H,I,J,K,L,M WHERE ""&amp;P226&amp;"" =C Limit 1"")"),"Electronic Service Technicians (Household and Business Equipment)")</f>
        <v>Electronic Service Technicians (Household and Business Equipment)</v>
      </c>
      <c r="R226" s="35" t="str">
        <f>IFERROR(__xludf.DUMMYFUNCTION("""COMPUTED_VALUE"""),"Electronic service technicians (household and business equipment)")</f>
        <v>Electronic service technicians (household and business equipment)</v>
      </c>
      <c r="S226" s="35">
        <f>IFERROR(__xludf.DUMMYFUNCTION("""COMPUTED_VALUE"""),3.0)</f>
        <v>3</v>
      </c>
      <c r="T226" s="35">
        <f>IFERROR(__xludf.DUMMYFUNCTION("""COMPUTED_VALUE"""),3.0)</f>
        <v>3</v>
      </c>
      <c r="U226" s="35">
        <f>IFERROR(__xludf.DUMMYFUNCTION("""COMPUTED_VALUE"""),3.0)</f>
        <v>3</v>
      </c>
      <c r="V226" s="35">
        <f>IFERROR(__xludf.DUMMYFUNCTION("""COMPUTED_VALUE"""),2.0)</f>
        <v>2</v>
      </c>
      <c r="W226" s="35">
        <f>IFERROR(__xludf.DUMMYFUNCTION("""COMPUTED_VALUE"""),3.0)</f>
        <v>3</v>
      </c>
      <c r="X226" s="35">
        <f>IFERROR(__xludf.DUMMYFUNCTION("""COMPUTED_VALUE"""),4.0)</f>
        <v>4</v>
      </c>
      <c r="Y226" s="35">
        <f>IFERROR(__xludf.DUMMYFUNCTION("""COMPUTED_VALUE"""),2.0)</f>
        <v>2</v>
      </c>
      <c r="Z226" s="35">
        <f>IFERROR(__xludf.DUMMYFUNCTION("""COMPUTED_VALUE"""),2.0)</f>
        <v>2</v>
      </c>
    </row>
    <row r="227" ht="15.75" customHeight="1">
      <c r="C227" s="34">
        <v>1435.0</v>
      </c>
      <c r="D227" s="70" t="s">
        <v>378</v>
      </c>
      <c r="E227" s="71" t="str">
        <f>vlookup(C227,'NOC-List'!B$2:C$502,2,False)</f>
        <v>Collectors</v>
      </c>
      <c r="F227" s="72">
        <v>3.0</v>
      </c>
      <c r="G227" s="72">
        <v>3.0</v>
      </c>
      <c r="H227" s="72">
        <v>3.0</v>
      </c>
      <c r="I227" s="72">
        <v>4.0</v>
      </c>
      <c r="J227" s="72">
        <v>4.0</v>
      </c>
      <c r="K227" s="72">
        <v>3.0</v>
      </c>
      <c r="L227" s="72">
        <v>4.0</v>
      </c>
      <c r="M227" s="72">
        <v>4.0</v>
      </c>
      <c r="N227" s="72">
        <v>4.0</v>
      </c>
      <c r="O227" s="73"/>
      <c r="P227" s="35">
        <f>IFERROR(__xludf.DUMMYFUNCTION("""COMPUTED_VALUE"""),9523.0)</f>
        <v>9523</v>
      </c>
      <c r="Q227" s="35" t="str">
        <f>IFERROR(__xludf.DUMMYFUNCTION("query(C227:N1220,""Select D,E,F,G,H,I,J,K,L,M WHERE ""&amp;P227&amp;"" =C Limit 1"")"),"Electronics Assemblers")</f>
        <v>Electronics Assemblers</v>
      </c>
      <c r="R227" s="35" t="str">
        <f>IFERROR(__xludf.DUMMYFUNCTION("""COMPUTED_VALUE"""),"Electronics assemblers, fabricators, inspectors and testers")</f>
        <v>Electronics assemblers, fabricators, inspectors and testers</v>
      </c>
      <c r="S227" s="35">
        <f>IFERROR(__xludf.DUMMYFUNCTION("""COMPUTED_VALUE"""),3.0)</f>
        <v>3</v>
      </c>
      <c r="T227" s="35">
        <f>IFERROR(__xludf.DUMMYFUNCTION("""COMPUTED_VALUE"""),4.0)</f>
        <v>4</v>
      </c>
      <c r="U227" s="35">
        <f>IFERROR(__xludf.DUMMYFUNCTION("""COMPUTED_VALUE"""),4.0)</f>
        <v>4</v>
      </c>
      <c r="V227" s="35">
        <f>IFERROR(__xludf.DUMMYFUNCTION("""COMPUTED_VALUE"""),3.0)</f>
        <v>3</v>
      </c>
      <c r="W227" s="35">
        <f>IFERROR(__xludf.DUMMYFUNCTION("""COMPUTED_VALUE"""),3.0)</f>
        <v>3</v>
      </c>
      <c r="X227" s="35">
        <f>IFERROR(__xludf.DUMMYFUNCTION("""COMPUTED_VALUE"""),4.0)</f>
        <v>4</v>
      </c>
      <c r="Y227" s="35">
        <f>IFERROR(__xludf.DUMMYFUNCTION("""COMPUTED_VALUE"""),1.0)</f>
        <v>1</v>
      </c>
      <c r="Z227" s="35">
        <f>IFERROR(__xludf.DUMMYFUNCTION("""COMPUTED_VALUE"""),1.0)</f>
        <v>1</v>
      </c>
    </row>
    <row r="228" ht="15.75" customHeight="1">
      <c r="C228" s="34">
        <v>4423.0</v>
      </c>
      <c r="D228" s="70" t="s">
        <v>379</v>
      </c>
      <c r="E228" s="71" t="str">
        <f>vlookup(C228,'NOC-List'!B$2:C$502,2,False)</f>
        <v>By-law enforcement and other regulatory officers, n.e.c.</v>
      </c>
      <c r="F228" s="72">
        <v>3.0</v>
      </c>
      <c r="G228" s="72">
        <v>3.0</v>
      </c>
      <c r="H228" s="72">
        <v>3.0</v>
      </c>
      <c r="I228" s="72">
        <v>4.0</v>
      </c>
      <c r="J228" s="72">
        <v>4.0</v>
      </c>
      <c r="K228" s="72">
        <v>3.0</v>
      </c>
      <c r="L228" s="72">
        <v>4.0</v>
      </c>
      <c r="M228" s="72">
        <v>4.0</v>
      </c>
      <c r="N228" s="72">
        <v>4.0</v>
      </c>
      <c r="O228" s="73"/>
      <c r="P228" s="35">
        <f>IFERROR(__xludf.DUMMYFUNCTION("""COMPUTED_VALUE"""),7333.0)</f>
        <v>7333</v>
      </c>
      <c r="Q228" s="35" t="str">
        <f>IFERROR(__xludf.DUMMYFUNCTION("query(C228:N1221,""Select D,E,F,G,H,I,J,K,L,M WHERE ""&amp;P228&amp;"" =C Limit 1"")"),"Electrical Mechanics")</f>
        <v>Electrical Mechanics</v>
      </c>
      <c r="R228" s="35" t="str">
        <f>IFERROR(__xludf.DUMMYFUNCTION("""COMPUTED_VALUE"""),"Electrical mechanics")</f>
        <v>Electrical mechanics</v>
      </c>
      <c r="S228" s="35">
        <f>IFERROR(__xludf.DUMMYFUNCTION("""COMPUTED_VALUE"""),3.0)</f>
        <v>3</v>
      </c>
      <c r="T228" s="35">
        <f>IFERROR(__xludf.DUMMYFUNCTION("""COMPUTED_VALUE"""),4.0)</f>
        <v>4</v>
      </c>
      <c r="U228" s="35">
        <f>IFERROR(__xludf.DUMMYFUNCTION("""COMPUTED_VALUE"""),4.0)</f>
        <v>4</v>
      </c>
      <c r="V228" s="35">
        <f>IFERROR(__xludf.DUMMYFUNCTION("""COMPUTED_VALUE"""),3.0)</f>
        <v>3</v>
      </c>
      <c r="W228" s="35">
        <f>IFERROR(__xludf.DUMMYFUNCTION("""COMPUTED_VALUE"""),3.0)</f>
        <v>3</v>
      </c>
      <c r="X228" s="35">
        <f>IFERROR(__xludf.DUMMYFUNCTION("""COMPUTED_VALUE"""),4.0)</f>
        <v>4</v>
      </c>
      <c r="Y228" s="35">
        <f>IFERROR(__xludf.DUMMYFUNCTION("""COMPUTED_VALUE"""),3.0)</f>
        <v>3</v>
      </c>
      <c r="Z228" s="35">
        <f>IFERROR(__xludf.DUMMYFUNCTION("""COMPUTED_VALUE"""),3.0)</f>
        <v>3</v>
      </c>
    </row>
    <row r="229" ht="15.75" customHeight="1">
      <c r="C229" s="81">
        <v>4212.0</v>
      </c>
      <c r="D229" s="70" t="s">
        <v>380</v>
      </c>
      <c r="E229" s="71" t="str">
        <f>vlookup(C229,'NOC-List'!B$2:C$502,2,False)</f>
        <v>Social and community service workers</v>
      </c>
      <c r="F229" s="72">
        <v>3.0</v>
      </c>
      <c r="G229" s="72">
        <v>3.0</v>
      </c>
      <c r="H229" s="72">
        <v>3.0</v>
      </c>
      <c r="I229" s="72">
        <v>4.0</v>
      </c>
      <c r="J229" s="72">
        <v>4.0</v>
      </c>
      <c r="K229" s="72">
        <v>3.0</v>
      </c>
      <c r="L229" s="72">
        <v>4.0</v>
      </c>
      <c r="M229" s="72">
        <v>4.0</v>
      </c>
      <c r="N229" s="72">
        <v>4.0</v>
      </c>
      <c r="O229" s="73"/>
      <c r="P229" s="35">
        <f>IFERROR(__xludf.DUMMYFUNCTION("""COMPUTED_VALUE"""),5243.0)</f>
        <v>5243</v>
      </c>
      <c r="Q229" s="35" t="str">
        <f>IFERROR(__xludf.DUMMYFUNCTION("query(C229:N1222,""Select D,E,F,G,H,I,J,K,L,M WHERE ""&amp;P229&amp;"" =C Limit 1"")"),"Exhibit Designers")</f>
        <v>Exhibit Designers</v>
      </c>
      <c r="R229" s="35" t="str">
        <f>IFERROR(__xludf.DUMMYFUNCTION("""COMPUTED_VALUE"""),"Theatre, fashion, exhibit and other creative designers")</f>
        <v>Theatre, fashion, exhibit and other creative designers</v>
      </c>
      <c r="S229" s="35">
        <f>IFERROR(__xludf.DUMMYFUNCTION("""COMPUTED_VALUE"""),2.0)</f>
        <v>2</v>
      </c>
      <c r="T229" s="35">
        <f>IFERROR(__xludf.DUMMYFUNCTION("""COMPUTED_VALUE"""),3.0)</f>
        <v>3</v>
      </c>
      <c r="U229" s="35">
        <f>IFERROR(__xludf.DUMMYFUNCTION("""COMPUTED_VALUE"""),3.0)</f>
        <v>3</v>
      </c>
      <c r="V229" s="35">
        <f>IFERROR(__xludf.DUMMYFUNCTION("""COMPUTED_VALUE"""),2.0)</f>
        <v>2</v>
      </c>
      <c r="W229" s="35">
        <f>IFERROR(__xludf.DUMMYFUNCTION("""COMPUTED_VALUE"""),3.0)</f>
        <v>3</v>
      </c>
      <c r="X229" s="35">
        <f>IFERROR(__xludf.DUMMYFUNCTION("""COMPUTED_VALUE"""),4.0)</f>
        <v>4</v>
      </c>
      <c r="Y229" s="35">
        <f>IFERROR(__xludf.DUMMYFUNCTION("""COMPUTED_VALUE"""),3.0)</f>
        <v>3</v>
      </c>
      <c r="Z229" s="35">
        <f>IFERROR(__xludf.DUMMYFUNCTION("""COMPUTED_VALUE"""),3.0)</f>
        <v>3</v>
      </c>
    </row>
    <row r="230" ht="15.75" customHeight="1">
      <c r="C230" s="34">
        <v>4412.0</v>
      </c>
      <c r="D230" s="70" t="s">
        <v>381</v>
      </c>
      <c r="E230" s="71" t="str">
        <f>vlookup(C230,'NOC-List'!B$2:C$502,2,False)</f>
        <v>Home support workers, housekeepers and related occupations</v>
      </c>
      <c r="F230" s="72">
        <v>4.0</v>
      </c>
      <c r="G230" s="72">
        <v>4.0</v>
      </c>
      <c r="H230" s="72">
        <v>4.0</v>
      </c>
      <c r="I230" s="72">
        <v>4.0</v>
      </c>
      <c r="J230" s="72">
        <v>4.0</v>
      </c>
      <c r="K230" s="72">
        <v>4.0</v>
      </c>
      <c r="L230" s="72">
        <v>4.0</v>
      </c>
      <c r="M230" s="72">
        <v>4.0</v>
      </c>
      <c r="N230" s="72">
        <v>4.0</v>
      </c>
      <c r="O230" s="73"/>
      <c r="P230" s="35">
        <f>IFERROR(__xludf.DUMMYFUNCTION("""COMPUTED_VALUE"""),2271.0)</f>
        <v>2271</v>
      </c>
      <c r="Q230" s="35" t="str">
        <f>IFERROR(__xludf.DUMMYFUNCTION("query(C230:N1223,""Select D,E,F,G,H,I,J,K,L,M WHERE ""&amp;P230&amp;"" =C Limit 1"")"),"Flight Engineers (Second Officers)")</f>
        <v>Flight Engineers (Second Officers)</v>
      </c>
      <c r="R230" s="35" t="str">
        <f>IFERROR(__xludf.DUMMYFUNCTION("""COMPUTED_VALUE"""),"Air pilots, flight engineers and flying instructors")</f>
        <v>Air pilots, flight engineers and flying instructors</v>
      </c>
      <c r="S230" s="35">
        <f>IFERROR(__xludf.DUMMYFUNCTION("""COMPUTED_VALUE"""),2.0)</f>
        <v>2</v>
      </c>
      <c r="T230" s="35">
        <f>IFERROR(__xludf.DUMMYFUNCTION("""COMPUTED_VALUE"""),2.0)</f>
        <v>2</v>
      </c>
      <c r="U230" s="35">
        <f>IFERROR(__xludf.DUMMYFUNCTION("""COMPUTED_VALUE"""),2.0)</f>
        <v>2</v>
      </c>
      <c r="V230" s="35">
        <f>IFERROR(__xludf.DUMMYFUNCTION("""COMPUTED_VALUE"""),1.0)</f>
        <v>1</v>
      </c>
      <c r="W230" s="35">
        <f>IFERROR(__xludf.DUMMYFUNCTION("""COMPUTED_VALUE"""),2.0)</f>
        <v>2</v>
      </c>
      <c r="X230" s="35">
        <f>IFERROR(__xludf.DUMMYFUNCTION("""COMPUTED_VALUE"""),3.0)</f>
        <v>3</v>
      </c>
      <c r="Y230" s="35">
        <f>IFERROR(__xludf.DUMMYFUNCTION("""COMPUTED_VALUE"""),2.0)</f>
        <v>2</v>
      </c>
      <c r="Z230" s="35">
        <f>IFERROR(__xludf.DUMMYFUNCTION("""COMPUTED_VALUE"""),3.0)</f>
        <v>3</v>
      </c>
    </row>
    <row r="231" ht="15.75" customHeight="1">
      <c r="C231" s="34">
        <v>213.0</v>
      </c>
      <c r="D231" s="70" t="s">
        <v>382</v>
      </c>
      <c r="E231" s="71" t="str">
        <f>vlookup(C231,'NOC-List'!B$2:C$502,2,False)</f>
        <v>Computer and information systems managers</v>
      </c>
      <c r="F231" s="72">
        <v>1.0</v>
      </c>
      <c r="G231" s="72">
        <v>2.0</v>
      </c>
      <c r="H231" s="72">
        <v>1.0</v>
      </c>
      <c r="I231" s="72">
        <v>2.0</v>
      </c>
      <c r="J231" s="72">
        <v>3.0</v>
      </c>
      <c r="K231" s="72">
        <v>3.0</v>
      </c>
      <c r="L231" s="72">
        <v>4.0</v>
      </c>
      <c r="M231" s="72">
        <v>4.0</v>
      </c>
      <c r="N231" s="72">
        <v>4.0</v>
      </c>
      <c r="O231" s="73"/>
      <c r="P231" s="35">
        <f>IFERROR(__xludf.DUMMYFUNCTION("""COMPUTED_VALUE"""),2223.0)</f>
        <v>2223</v>
      </c>
      <c r="Q231" s="35" t="str">
        <f>IFERROR(__xludf.DUMMYFUNCTION("query(C231:N1224,""Select D,E,F,G,H,I,J,K,L,M WHERE ""&amp;P231&amp;"" =C Limit 1"")"),"Forestry Technologists and Technicians")</f>
        <v>Forestry Technologists and Technicians</v>
      </c>
      <c r="R231" s="35" t="str">
        <f>IFERROR(__xludf.DUMMYFUNCTION("""COMPUTED_VALUE"""),"Forestry technologists and technicians")</f>
        <v>Forestry technologists and technicians</v>
      </c>
      <c r="S231" s="35">
        <f>IFERROR(__xludf.DUMMYFUNCTION("""COMPUTED_VALUE"""),2.0)</f>
        <v>2</v>
      </c>
      <c r="T231" s="35">
        <f>IFERROR(__xludf.DUMMYFUNCTION("""COMPUTED_VALUE"""),3.0)</f>
        <v>3</v>
      </c>
      <c r="U231" s="35">
        <f>IFERROR(__xludf.DUMMYFUNCTION("""COMPUTED_VALUE"""),3.0)</f>
        <v>3</v>
      </c>
      <c r="V231" s="35">
        <f>IFERROR(__xludf.DUMMYFUNCTION("""COMPUTED_VALUE"""),3.0)</f>
        <v>3</v>
      </c>
      <c r="W231" s="35">
        <f>IFERROR(__xludf.DUMMYFUNCTION("""COMPUTED_VALUE"""),3.0)</f>
        <v>3</v>
      </c>
      <c r="X231" s="35">
        <f>IFERROR(__xludf.DUMMYFUNCTION("""COMPUTED_VALUE"""),3.0)</f>
        <v>3</v>
      </c>
      <c r="Y231" s="35">
        <f>IFERROR(__xludf.DUMMYFUNCTION("""COMPUTED_VALUE"""),3.0)</f>
        <v>3</v>
      </c>
      <c r="Z231" s="35">
        <f>IFERROR(__xludf.DUMMYFUNCTION("""COMPUTED_VALUE"""),3.0)</f>
        <v>3</v>
      </c>
    </row>
    <row r="232" ht="15.75" customHeight="1">
      <c r="C232" s="34">
        <v>6541.0</v>
      </c>
      <c r="D232" s="70" t="s">
        <v>383</v>
      </c>
      <c r="E232" s="71" t="str">
        <f>vlookup(C232,'NOC-List'!B$2:C$502,2,False)</f>
        <v>Security guards and related security service occupations</v>
      </c>
      <c r="F232" s="72">
        <v>3.0</v>
      </c>
      <c r="G232" s="72">
        <v>3.0</v>
      </c>
      <c r="H232" s="72">
        <v>4.0</v>
      </c>
      <c r="I232" s="72">
        <v>4.0</v>
      </c>
      <c r="J232" s="72">
        <v>4.0</v>
      </c>
      <c r="K232" s="72">
        <v>4.0</v>
      </c>
      <c r="L232" s="72">
        <v>4.0</v>
      </c>
      <c r="M232" s="72">
        <v>4.0</v>
      </c>
      <c r="N232" s="72">
        <v>4.0</v>
      </c>
      <c r="O232" s="73"/>
      <c r="P232" s="35">
        <f>IFERROR(__xludf.DUMMYFUNCTION("""COMPUTED_VALUE"""),5241.0)</f>
        <v>5241</v>
      </c>
      <c r="Q232" s="35" t="str">
        <f>IFERROR(__xludf.DUMMYFUNCTION("query(C232:N1225,""Select D,E,F,G,H,I,J,K,L,M WHERE ""&amp;P232&amp;"" =C Limit 1"")"),"Graphic Designers")</f>
        <v>Graphic Designers</v>
      </c>
      <c r="R232" s="35" t="str">
        <f>IFERROR(__xludf.DUMMYFUNCTION("""COMPUTED_VALUE"""),"Graphic designers and illustrators")</f>
        <v>Graphic designers and illustrators</v>
      </c>
      <c r="S232" s="35">
        <f>IFERROR(__xludf.DUMMYFUNCTION("""COMPUTED_VALUE"""),2.0)</f>
        <v>2</v>
      </c>
      <c r="T232" s="35">
        <f>IFERROR(__xludf.DUMMYFUNCTION("""COMPUTED_VALUE"""),3.0)</f>
        <v>3</v>
      </c>
      <c r="U232" s="35">
        <f>IFERROR(__xludf.DUMMYFUNCTION("""COMPUTED_VALUE"""),3.0)</f>
        <v>3</v>
      </c>
      <c r="V232" s="35">
        <f>IFERROR(__xludf.DUMMYFUNCTION("""COMPUTED_VALUE"""),2.0)</f>
        <v>2</v>
      </c>
      <c r="W232" s="35">
        <f>IFERROR(__xludf.DUMMYFUNCTION("""COMPUTED_VALUE"""),2.0)</f>
        <v>2</v>
      </c>
      <c r="X232" s="35">
        <f>IFERROR(__xludf.DUMMYFUNCTION("""COMPUTED_VALUE"""),3.0)</f>
        <v>3</v>
      </c>
      <c r="Y232" s="35">
        <f>IFERROR(__xludf.DUMMYFUNCTION("""COMPUTED_VALUE"""),2.0)</f>
        <v>2</v>
      </c>
      <c r="Z232" s="35">
        <f>IFERROR(__xludf.DUMMYFUNCTION("""COMPUTED_VALUE"""),2.0)</f>
        <v>2</v>
      </c>
    </row>
    <row r="233" ht="15.75" customHeight="1">
      <c r="C233" s="34">
        <v>1416.0</v>
      </c>
      <c r="D233" s="70" t="s">
        <v>384</v>
      </c>
      <c r="E233" s="71" t="str">
        <f>vlookup(C233,'NOC-List'!B$2:C$502,2,False)</f>
        <v>Court clerks</v>
      </c>
      <c r="F233" s="72">
        <v>3.0</v>
      </c>
      <c r="G233" s="72">
        <v>3.0</v>
      </c>
      <c r="H233" s="72">
        <v>3.0</v>
      </c>
      <c r="I233" s="72">
        <v>4.0</v>
      </c>
      <c r="J233" s="72">
        <v>4.0</v>
      </c>
      <c r="K233" s="72">
        <v>3.0</v>
      </c>
      <c r="L233" s="72">
        <v>4.0</v>
      </c>
      <c r="M233" s="72">
        <v>4.0</v>
      </c>
      <c r="N233" s="72">
        <v>4.0</v>
      </c>
      <c r="O233" s="73"/>
      <c r="P233" s="35">
        <f>IFERROR(__xludf.DUMMYFUNCTION("""COMPUTED_VALUE"""),6346.0)</f>
        <v>6346</v>
      </c>
      <c r="Q233" s="35" t="str">
        <f>IFERROR(__xludf.DUMMYFUNCTION("query(C233:N1226,""Select D,E,F,G,H,I,J,K,L,M WHERE ""&amp;P233&amp;"" =C Limit 1"")"),"Embalmers")</f>
        <v>Embalmers</v>
      </c>
      <c r="R233" s="35" t="str">
        <f>IFERROR(__xludf.DUMMYFUNCTION("""COMPUTED_VALUE"""),"Funeral directors and embalmers")</f>
        <v>Funeral directors and embalmers</v>
      </c>
      <c r="S233" s="35">
        <f>IFERROR(__xludf.DUMMYFUNCTION("""COMPUTED_VALUE"""),3.0)</f>
        <v>3</v>
      </c>
      <c r="T233" s="35">
        <f>IFERROR(__xludf.DUMMYFUNCTION("""COMPUTED_VALUE"""),4.0)</f>
        <v>4</v>
      </c>
      <c r="U233" s="35">
        <f>IFERROR(__xludf.DUMMYFUNCTION("""COMPUTED_VALUE"""),4.0)</f>
        <v>4</v>
      </c>
      <c r="V233" s="35">
        <f>IFERROR(__xludf.DUMMYFUNCTION("""COMPUTED_VALUE"""),3.0)</f>
        <v>3</v>
      </c>
      <c r="W233" s="35">
        <f>IFERROR(__xludf.DUMMYFUNCTION("""COMPUTED_VALUE"""),3.0)</f>
        <v>3</v>
      </c>
      <c r="X233" s="35">
        <f>IFERROR(__xludf.DUMMYFUNCTION("""COMPUTED_VALUE"""),4.0)</f>
        <v>4</v>
      </c>
      <c r="Y233" s="35">
        <f>IFERROR(__xludf.DUMMYFUNCTION("""COMPUTED_VALUE"""),3.0)</f>
        <v>3</v>
      </c>
      <c r="Z233" s="35">
        <f>IFERROR(__xludf.DUMMYFUNCTION("""COMPUTED_VALUE"""),3.0)</f>
        <v>3</v>
      </c>
    </row>
    <row r="234" ht="15.75" customHeight="1">
      <c r="C234" s="34">
        <v>1227.0</v>
      </c>
      <c r="D234" s="70" t="s">
        <v>385</v>
      </c>
      <c r="E234" s="71" t="str">
        <f>vlookup(C234,'NOC-List'!B$2:C$502,2,False)</f>
        <v>Court officers and justices of the peace</v>
      </c>
      <c r="F234" s="72">
        <v>3.0</v>
      </c>
      <c r="G234" s="72">
        <v>3.0</v>
      </c>
      <c r="H234" s="72">
        <v>3.0</v>
      </c>
      <c r="I234" s="72">
        <v>4.0</v>
      </c>
      <c r="J234" s="72">
        <v>4.0</v>
      </c>
      <c r="K234" s="72">
        <v>3.0</v>
      </c>
      <c r="L234" s="72">
        <v>4.0</v>
      </c>
      <c r="M234" s="72">
        <v>4.0</v>
      </c>
      <c r="N234" s="72">
        <v>4.0</v>
      </c>
      <c r="O234" s="73"/>
      <c r="P234" s="35">
        <f>IFERROR(__xludf.DUMMYFUNCTION("""COMPUTED_VALUE"""),7312.0)</f>
        <v>7312</v>
      </c>
      <c r="Q234" s="35" t="str">
        <f>IFERROR(__xludf.DUMMYFUNCTION("query(C234:N1227,""Select D,E,F,G,H,I,J,K,L,M WHERE ""&amp;P234&amp;"" =C Limit 1"")"),"Heavy-Duty Equipment Mechanics")</f>
        <v>Heavy-Duty Equipment Mechanics</v>
      </c>
      <c r="R234" s="35" t="str">
        <f>IFERROR(__xludf.DUMMYFUNCTION("""COMPUTED_VALUE"""),"Heavy-duty equipment mechanics")</f>
        <v>Heavy-duty equipment mechanics</v>
      </c>
      <c r="S234" s="35">
        <f>IFERROR(__xludf.DUMMYFUNCTION("""COMPUTED_VALUE"""),3.0)</f>
        <v>3</v>
      </c>
      <c r="T234" s="35">
        <f>IFERROR(__xludf.DUMMYFUNCTION("""COMPUTED_VALUE"""),4.0)</f>
        <v>4</v>
      </c>
      <c r="U234" s="35">
        <f>IFERROR(__xludf.DUMMYFUNCTION("""COMPUTED_VALUE"""),3.0)</f>
        <v>3</v>
      </c>
      <c r="V234" s="35">
        <f>IFERROR(__xludf.DUMMYFUNCTION("""COMPUTED_VALUE"""),3.0)</f>
        <v>3</v>
      </c>
      <c r="W234" s="35">
        <f>IFERROR(__xludf.DUMMYFUNCTION("""COMPUTED_VALUE"""),2.0)</f>
        <v>2</v>
      </c>
      <c r="X234" s="35">
        <f>IFERROR(__xludf.DUMMYFUNCTION("""COMPUTED_VALUE"""),4.0)</f>
        <v>4</v>
      </c>
      <c r="Y234" s="35">
        <f>IFERROR(__xludf.DUMMYFUNCTION("""COMPUTED_VALUE"""),3.0)</f>
        <v>3</v>
      </c>
      <c r="Z234" s="35">
        <f>IFERROR(__xludf.DUMMYFUNCTION("""COMPUTED_VALUE"""),3.0)</f>
        <v>3</v>
      </c>
    </row>
    <row r="235" ht="15.75" customHeight="1">
      <c r="C235" s="81">
        <v>5121.0</v>
      </c>
      <c r="D235" s="70" t="s">
        <v>386</v>
      </c>
      <c r="E235" s="71" t="str">
        <f>vlookup(C235,'NOC-List'!B$2:C$502,2,False)</f>
        <v>Authors and writers</v>
      </c>
      <c r="F235" s="72">
        <v>2.0</v>
      </c>
      <c r="G235" s="72">
        <v>1.0</v>
      </c>
      <c r="H235" s="72">
        <v>4.0</v>
      </c>
      <c r="I235" s="72">
        <v>4.0</v>
      </c>
      <c r="J235" s="72">
        <v>4.0</v>
      </c>
      <c r="K235" s="72">
        <v>3.0</v>
      </c>
      <c r="L235" s="72">
        <v>4.0</v>
      </c>
      <c r="M235" s="72">
        <v>4.0</v>
      </c>
      <c r="N235" s="72">
        <v>4.0</v>
      </c>
      <c r="O235" s="73"/>
      <c r="P235" s="35">
        <f>IFERROR(__xludf.DUMMYFUNCTION("""COMPUTED_VALUE"""),7322.0)</f>
        <v>7322</v>
      </c>
      <c r="Q235" s="35" t="str">
        <f>IFERROR(__xludf.DUMMYFUNCTION("query(C235:N1228,""Select D,E,F,G,H,I,J,K,L,M WHERE ""&amp;P235&amp;"" =C Limit 1"")"),"Motor Vehicle Body Repairers")</f>
        <v>Motor Vehicle Body Repairers</v>
      </c>
      <c r="R235" s="35" t="str">
        <f>IFERROR(__xludf.DUMMYFUNCTION("""COMPUTED_VALUE"""),"Motor vehicle body repairers")</f>
        <v>Motor vehicle body repairers</v>
      </c>
      <c r="S235" s="35">
        <f>IFERROR(__xludf.DUMMYFUNCTION("""COMPUTED_VALUE"""),3.0)</f>
        <v>3</v>
      </c>
      <c r="T235" s="35">
        <f>IFERROR(__xludf.DUMMYFUNCTION("""COMPUTED_VALUE"""),4.0)</f>
        <v>4</v>
      </c>
      <c r="U235" s="35">
        <f>IFERROR(__xludf.DUMMYFUNCTION("""COMPUTED_VALUE"""),4.0)</f>
        <v>4</v>
      </c>
      <c r="V235" s="35">
        <f>IFERROR(__xludf.DUMMYFUNCTION("""COMPUTED_VALUE"""),3.0)</f>
        <v>3</v>
      </c>
      <c r="W235" s="35">
        <f>IFERROR(__xludf.DUMMYFUNCTION("""COMPUTED_VALUE"""),3.0)</f>
        <v>3</v>
      </c>
      <c r="X235" s="35">
        <f>IFERROR(__xludf.DUMMYFUNCTION("""COMPUTED_VALUE"""),4.0)</f>
        <v>4</v>
      </c>
      <c r="Y235" s="35">
        <f>IFERROR(__xludf.DUMMYFUNCTION("""COMPUTED_VALUE"""),3.0)</f>
        <v>3</v>
      </c>
      <c r="Z235" s="35">
        <f>IFERROR(__xludf.DUMMYFUNCTION("""COMPUTED_VALUE"""),3.0)</f>
        <v>3</v>
      </c>
    </row>
    <row r="236" ht="15.75" customHeight="1">
      <c r="C236" s="83">
        <v>6314.0</v>
      </c>
      <c r="D236" s="70" t="s">
        <v>387</v>
      </c>
      <c r="E236" s="71" t="str">
        <f>vlookup(C236,'NOC-List'!B$2:C$502,2,False)</f>
        <v>Customer and information services supervisors</v>
      </c>
      <c r="F236" s="72">
        <v>3.0</v>
      </c>
      <c r="G236" s="72">
        <v>3.0</v>
      </c>
      <c r="H236" s="72">
        <v>3.0</v>
      </c>
      <c r="I236" s="72">
        <v>4.0</v>
      </c>
      <c r="J236" s="72">
        <v>4.0</v>
      </c>
      <c r="K236" s="72">
        <v>3.0</v>
      </c>
      <c r="L236" s="72">
        <v>4.0</v>
      </c>
      <c r="M236" s="72">
        <v>4.0</v>
      </c>
      <c r="N236" s="72">
        <v>4.0</v>
      </c>
      <c r="O236" s="73"/>
      <c r="P236" s="35">
        <f>IFERROR(__xludf.DUMMYFUNCTION("""COMPUTED_VALUE"""),7331.0)</f>
        <v>7331</v>
      </c>
      <c r="Q236" s="35" t="str">
        <f>IFERROR(__xludf.DUMMYFUNCTION("query(C236:N1229,""Select D,E,F,G,H,I,J,K,L,M WHERE ""&amp;P236&amp;"" =C Limit 1"")"),"Oil and Solid Fuel Heating Mechanics")</f>
        <v>Oil and Solid Fuel Heating Mechanics</v>
      </c>
      <c r="R236" s="35" t="str">
        <f>IFERROR(__xludf.DUMMYFUNCTION("""COMPUTED_VALUE"""),"Oil and solid fuel heating mechanics")</f>
        <v>Oil and solid fuel heating mechanics</v>
      </c>
      <c r="S236" s="35">
        <f>IFERROR(__xludf.DUMMYFUNCTION("""COMPUTED_VALUE"""),3.0)</f>
        <v>3</v>
      </c>
      <c r="T236" s="35">
        <f>IFERROR(__xludf.DUMMYFUNCTION("""COMPUTED_VALUE"""),4.0)</f>
        <v>4</v>
      </c>
      <c r="U236" s="35">
        <f>IFERROR(__xludf.DUMMYFUNCTION("""COMPUTED_VALUE"""),4.0)</f>
        <v>4</v>
      </c>
      <c r="V236" s="35">
        <f>IFERROR(__xludf.DUMMYFUNCTION("""COMPUTED_VALUE"""),3.0)</f>
        <v>3</v>
      </c>
      <c r="W236" s="35">
        <f>IFERROR(__xludf.DUMMYFUNCTION("""COMPUTED_VALUE"""),3.0)</f>
        <v>3</v>
      </c>
      <c r="X236" s="35">
        <f>IFERROR(__xludf.DUMMYFUNCTION("""COMPUTED_VALUE"""),4.0)</f>
        <v>4</v>
      </c>
      <c r="Y236" s="35">
        <f>IFERROR(__xludf.DUMMYFUNCTION("""COMPUTED_VALUE"""),3.0)</f>
        <v>3</v>
      </c>
      <c r="Z236" s="35">
        <f>IFERROR(__xludf.DUMMYFUNCTION("""COMPUTED_VALUE"""),3.0)</f>
        <v>3</v>
      </c>
    </row>
    <row r="237" ht="15.75" customHeight="1">
      <c r="C237" s="81">
        <v>6552.0</v>
      </c>
      <c r="D237" s="70" t="s">
        <v>388</v>
      </c>
      <c r="E237" s="71" t="str">
        <f>vlookup(C237,'NOC-List'!B$2:C$502,2,False)</f>
        <v>Other customer and information services representatives</v>
      </c>
      <c r="F237" s="72">
        <v>3.0</v>
      </c>
      <c r="G237" s="72">
        <v>3.0</v>
      </c>
      <c r="H237" s="72">
        <v>3.0</v>
      </c>
      <c r="I237" s="72">
        <v>4.0</v>
      </c>
      <c r="J237" s="72">
        <v>4.0</v>
      </c>
      <c r="K237" s="72">
        <v>3.0</v>
      </c>
      <c r="L237" s="72">
        <v>4.0</v>
      </c>
      <c r="M237" s="72">
        <v>4.0</v>
      </c>
      <c r="N237" s="72">
        <v>4.0</v>
      </c>
      <c r="O237" s="73"/>
      <c r="P237" s="35">
        <f>IFERROR(__xludf.DUMMYFUNCTION("""COMPUTED_VALUE"""),7381.0)</f>
        <v>7381</v>
      </c>
      <c r="Q237" s="35" t="str">
        <f>IFERROR(__xludf.DUMMYFUNCTION("query(C237:N1230,""Select D,E,F,G,H,I,J,K,L,M WHERE ""&amp;P237&amp;"" =C Limit 1"")"),"Printing Press Operators")</f>
        <v>Printing Press Operators</v>
      </c>
      <c r="R237" s="35" t="str">
        <f>IFERROR(__xludf.DUMMYFUNCTION("""COMPUTED_VALUE"""),"Printing press operators")</f>
        <v>Printing press operators</v>
      </c>
      <c r="S237" s="35">
        <f>IFERROR(__xludf.DUMMYFUNCTION("""COMPUTED_VALUE"""),3.0)</f>
        <v>3</v>
      </c>
      <c r="T237" s="35">
        <f>IFERROR(__xludf.DUMMYFUNCTION("""COMPUTED_VALUE"""),3.0)</f>
        <v>3</v>
      </c>
      <c r="U237" s="35">
        <f>IFERROR(__xludf.DUMMYFUNCTION("""COMPUTED_VALUE"""),4.0)</f>
        <v>4</v>
      </c>
      <c r="V237" s="35">
        <f>IFERROR(__xludf.DUMMYFUNCTION("""COMPUTED_VALUE"""),3.0)</f>
        <v>3</v>
      </c>
      <c r="W237" s="35">
        <f>IFERROR(__xludf.DUMMYFUNCTION("""COMPUTED_VALUE"""),3.0)</f>
        <v>3</v>
      </c>
      <c r="X237" s="35">
        <f>IFERROR(__xludf.DUMMYFUNCTION("""COMPUTED_VALUE"""),3.0)</f>
        <v>3</v>
      </c>
      <c r="Y237" s="35">
        <f>IFERROR(__xludf.DUMMYFUNCTION("""COMPUTED_VALUE"""),3.0)</f>
        <v>3</v>
      </c>
      <c r="Z237" s="35">
        <f>IFERROR(__xludf.DUMMYFUNCTION("""COMPUTED_VALUE"""),3.0)</f>
        <v>3</v>
      </c>
    </row>
    <row r="238" ht="15.75" customHeight="1">
      <c r="C238" s="81">
        <v>6551.0</v>
      </c>
      <c r="D238" s="70" t="s">
        <v>389</v>
      </c>
      <c r="E238" s="71" t="str">
        <f>vlookup(C238,'NOC-List'!B$2:C$502,2,False)</f>
        <v>Customer services representatives - financial institutions</v>
      </c>
      <c r="F238" s="72">
        <v>3.0</v>
      </c>
      <c r="G238" s="72">
        <v>3.0</v>
      </c>
      <c r="H238" s="72">
        <v>3.0</v>
      </c>
      <c r="I238" s="72">
        <v>4.0</v>
      </c>
      <c r="J238" s="72">
        <v>4.0</v>
      </c>
      <c r="K238" s="72">
        <v>2.0</v>
      </c>
      <c r="L238" s="72">
        <v>4.0</v>
      </c>
      <c r="M238" s="72">
        <v>3.0</v>
      </c>
      <c r="N238" s="72">
        <v>4.0</v>
      </c>
      <c r="O238" s="73"/>
      <c r="P238" s="35">
        <f>IFERROR(__xludf.DUMMYFUNCTION("""COMPUTED_VALUE"""),7445.0)</f>
        <v>7445</v>
      </c>
      <c r="Q238" s="35" t="str">
        <f>IFERROR(__xludf.DUMMYFUNCTION("query(C238:N1231,""Select D,E,F,G,H,I,J,K,L,M WHERE ""&amp;P238&amp;"" =C Limit 1"")"),"Other Repairers and Servicers")</f>
        <v>Other Repairers and Servicers</v>
      </c>
      <c r="R238" s="35" t="str">
        <f>IFERROR(__xludf.DUMMYFUNCTION("""COMPUTED_VALUE"""),"Other repairers and servicers")</f>
        <v>Other repairers and servicers</v>
      </c>
      <c r="S238" s="35">
        <f>IFERROR(__xludf.DUMMYFUNCTION("""COMPUTED_VALUE"""),3.0)</f>
        <v>3</v>
      </c>
      <c r="T238" s="35">
        <f>IFERROR(__xludf.DUMMYFUNCTION("""COMPUTED_VALUE"""),4.0)</f>
        <v>4</v>
      </c>
      <c r="U238" s="35">
        <f>IFERROR(__xludf.DUMMYFUNCTION("""COMPUTED_VALUE"""),4.0)</f>
        <v>4</v>
      </c>
      <c r="V238" s="35">
        <f>IFERROR(__xludf.DUMMYFUNCTION("""COMPUTED_VALUE"""),3.0)</f>
        <v>3</v>
      </c>
      <c r="W238" s="35">
        <f>IFERROR(__xludf.DUMMYFUNCTION("""COMPUTED_VALUE"""),3.0)</f>
        <v>3</v>
      </c>
      <c r="X238" s="35">
        <f>IFERROR(__xludf.DUMMYFUNCTION("""COMPUTED_VALUE"""),4.0)</f>
        <v>4</v>
      </c>
      <c r="Y238" s="35">
        <f>IFERROR(__xludf.DUMMYFUNCTION("""COMPUTED_VALUE"""),3.0)</f>
        <v>3</v>
      </c>
      <c r="Z238" s="35">
        <f>IFERROR(__xludf.DUMMYFUNCTION("""COMPUTED_VALUE"""),3.0)</f>
        <v>3</v>
      </c>
    </row>
    <row r="239" ht="15.75" customHeight="1">
      <c r="C239" s="34">
        <v>1315.0</v>
      </c>
      <c r="D239" s="70" t="s">
        <v>390</v>
      </c>
      <c r="E239" s="71" t="str">
        <f>vlookup(C239,'NOC-List'!B$2:C$502,2,False)</f>
        <v>Customs, ship and other brokers</v>
      </c>
      <c r="F239" s="72">
        <v>2.0</v>
      </c>
      <c r="G239" s="72">
        <v>2.0</v>
      </c>
      <c r="H239" s="72">
        <v>3.0</v>
      </c>
      <c r="I239" s="72">
        <v>4.0</v>
      </c>
      <c r="J239" s="72">
        <v>4.0</v>
      </c>
      <c r="K239" s="72">
        <v>3.0</v>
      </c>
      <c r="L239" s="72">
        <v>4.0</v>
      </c>
      <c r="M239" s="72">
        <v>4.0</v>
      </c>
      <c r="N239" s="72">
        <v>4.0</v>
      </c>
      <c r="O239" s="73"/>
      <c r="P239" s="35">
        <f>IFERROR(__xludf.DUMMYFUNCTION("""COMPUTED_VALUE"""),4216.0)</f>
        <v>4216</v>
      </c>
      <c r="Q239" s="35" t="str">
        <f>IFERROR(__xludf.DUMMYFUNCTION("query(C239:N1232,""Select D,E,F,G,H,I,J,K,L,M WHERE ""&amp;P239&amp;"" =C Limit 1"")"),"Sewing Instructors")</f>
        <v>Sewing Instructors</v>
      </c>
      <c r="R239" s="35" t="str">
        <f>IFERROR(__xludf.DUMMYFUNCTION("""COMPUTED_VALUE"""),"Other instructors")</f>
        <v>Other instructors</v>
      </c>
      <c r="S239" s="35">
        <f>IFERROR(__xludf.DUMMYFUNCTION("""COMPUTED_VALUE"""),3.0)</f>
        <v>3</v>
      </c>
      <c r="T239" s="35">
        <f>IFERROR(__xludf.DUMMYFUNCTION("""COMPUTED_VALUE"""),3.0)</f>
        <v>3</v>
      </c>
      <c r="U239" s="35">
        <f>IFERROR(__xludf.DUMMYFUNCTION("""COMPUTED_VALUE"""),4.0)</f>
        <v>4</v>
      </c>
      <c r="V239" s="35">
        <f>IFERROR(__xludf.DUMMYFUNCTION("""COMPUTED_VALUE"""),2.0)</f>
        <v>2</v>
      </c>
      <c r="W239" s="35">
        <f>IFERROR(__xludf.DUMMYFUNCTION("""COMPUTED_VALUE"""),3.0)</f>
        <v>3</v>
      </c>
      <c r="X239" s="35">
        <f>IFERROR(__xludf.DUMMYFUNCTION("""COMPUTED_VALUE"""),4.0)</f>
        <v>4</v>
      </c>
      <c r="Y239" s="35">
        <f>IFERROR(__xludf.DUMMYFUNCTION("""COMPUTED_VALUE"""),3.0)</f>
        <v>3</v>
      </c>
      <c r="Z239" s="35">
        <f>IFERROR(__xludf.DUMMYFUNCTION("""COMPUTED_VALUE"""),3.0)</f>
        <v>3</v>
      </c>
    </row>
    <row r="240" ht="15.75" customHeight="1">
      <c r="C240" s="34">
        <v>3219.0</v>
      </c>
      <c r="D240" s="70" t="s">
        <v>391</v>
      </c>
      <c r="E240" s="71" t="str">
        <f>vlookup(C240,'NOC-List'!B$2:C$502,2,False)</f>
        <v>Other medical technologists and technicians (except dental health)</v>
      </c>
      <c r="F240" s="72">
        <v>3.0</v>
      </c>
      <c r="G240" s="72">
        <v>3.0</v>
      </c>
      <c r="H240" s="72">
        <v>3.0</v>
      </c>
      <c r="I240" s="72">
        <v>4.0</v>
      </c>
      <c r="J240" s="72">
        <v>4.0</v>
      </c>
      <c r="K240" s="72">
        <v>3.0</v>
      </c>
      <c r="L240" s="72">
        <v>4.0</v>
      </c>
      <c r="M240" s="72">
        <v>4.0</v>
      </c>
      <c r="N240" s="72">
        <v>4.0</v>
      </c>
      <c r="O240" s="73"/>
      <c r="P240" s="35">
        <f>IFERROR(__xludf.DUMMYFUNCTION("""COMPUTED_VALUE"""),9474.0)</f>
        <v>9474</v>
      </c>
      <c r="Q240" s="35" t="str">
        <f>IFERROR(__xludf.DUMMYFUNCTION("query(C240:N1233,""Select D,E,F,G,H,I,J,K,L,M WHERE ""&amp;P240&amp;"" =C Limit 1"")"),"Photographic and Film Processors")</f>
        <v>Photographic and Film Processors</v>
      </c>
      <c r="R240" s="35" t="str">
        <f>IFERROR(__xludf.DUMMYFUNCTION("""COMPUTED_VALUE"""),"Photographic and film processors")</f>
        <v>Photographic and film processors</v>
      </c>
      <c r="S240" s="35">
        <f>IFERROR(__xludf.DUMMYFUNCTION("""COMPUTED_VALUE"""),3.0)</f>
        <v>3</v>
      </c>
      <c r="T240" s="35">
        <f>IFERROR(__xludf.DUMMYFUNCTION("""COMPUTED_VALUE"""),4.0)</f>
        <v>4</v>
      </c>
      <c r="U240" s="35">
        <f>IFERROR(__xludf.DUMMYFUNCTION("""COMPUTED_VALUE"""),4.0)</f>
        <v>4</v>
      </c>
      <c r="V240" s="35">
        <f>IFERROR(__xludf.DUMMYFUNCTION("""COMPUTED_VALUE"""),3.0)</f>
        <v>3</v>
      </c>
      <c r="W240" s="35">
        <f>IFERROR(__xludf.DUMMYFUNCTION("""COMPUTED_VALUE"""),3.0)</f>
        <v>3</v>
      </c>
      <c r="X240" s="35">
        <f>IFERROR(__xludf.DUMMYFUNCTION("""COMPUTED_VALUE"""),4.0)</f>
        <v>4</v>
      </c>
      <c r="Y240" s="35">
        <f>IFERROR(__xludf.DUMMYFUNCTION("""COMPUTED_VALUE"""),3.0)</f>
        <v>3</v>
      </c>
      <c r="Z240" s="35">
        <f>IFERROR(__xludf.DUMMYFUNCTION("""COMPUTED_VALUE"""),3.0)</f>
        <v>3</v>
      </c>
    </row>
    <row r="241" ht="15.75" customHeight="1">
      <c r="C241" s="34">
        <v>3132.0</v>
      </c>
      <c r="D241" s="70" t="s">
        <v>392</v>
      </c>
      <c r="E241" s="71" t="str">
        <f>vlookup(C241,'NOC-List'!B$2:C$502,2,False)</f>
        <v>Dietitians and nutritionists</v>
      </c>
      <c r="F241" s="72">
        <v>2.0</v>
      </c>
      <c r="G241" s="72">
        <v>2.0</v>
      </c>
      <c r="H241" s="72">
        <v>2.0</v>
      </c>
      <c r="I241" s="72">
        <v>3.0</v>
      </c>
      <c r="J241" s="72">
        <v>3.0</v>
      </c>
      <c r="K241" s="72">
        <v>4.0</v>
      </c>
      <c r="L241" s="72">
        <v>4.0</v>
      </c>
      <c r="M241" s="72">
        <v>4.0</v>
      </c>
      <c r="N241" s="72">
        <v>4.0</v>
      </c>
      <c r="O241" s="73"/>
      <c r="P241" s="35">
        <f>IFERROR(__xludf.DUMMYFUNCTION("""COMPUTED_VALUE"""),7303.0)</f>
        <v>7303</v>
      </c>
      <c r="Q241" s="35" t="str">
        <f>IFERROR(__xludf.DUMMYFUNCTION("query(C241:N1234,""Select D,E,F,G,H,I,J,K,L,M WHERE ""&amp;P241&amp;"" =C Limit 1"")"),"Supervisors, Printing and Related Occupations")</f>
        <v>Supervisors, Printing and Related Occupations</v>
      </c>
      <c r="R241" s="35" t="str">
        <f>IFERROR(__xludf.DUMMYFUNCTION("""COMPUTED_VALUE"""),"Supervisors, printing and related occupations")</f>
        <v>Supervisors, printing and related occupations</v>
      </c>
      <c r="S241" s="35">
        <f>IFERROR(__xludf.DUMMYFUNCTION("""COMPUTED_VALUE"""),3.0)</f>
        <v>3</v>
      </c>
      <c r="T241" s="35">
        <f>IFERROR(__xludf.DUMMYFUNCTION("""COMPUTED_VALUE"""),3.0)</f>
        <v>3</v>
      </c>
      <c r="U241" s="35">
        <f>IFERROR(__xludf.DUMMYFUNCTION("""COMPUTED_VALUE"""),4.0)</f>
        <v>4</v>
      </c>
      <c r="V241" s="35">
        <f>IFERROR(__xludf.DUMMYFUNCTION("""COMPUTED_VALUE"""),3.0)</f>
        <v>3</v>
      </c>
      <c r="W241" s="35">
        <f>IFERROR(__xludf.DUMMYFUNCTION("""COMPUTED_VALUE"""),3.0)</f>
        <v>3</v>
      </c>
      <c r="X241" s="35">
        <f>IFERROR(__xludf.DUMMYFUNCTION("""COMPUTED_VALUE"""),3.0)</f>
        <v>3</v>
      </c>
      <c r="Y241" s="35">
        <f>IFERROR(__xludf.DUMMYFUNCTION("""COMPUTED_VALUE"""),3.0)</f>
        <v>3</v>
      </c>
      <c r="Z241" s="35">
        <f>IFERROR(__xludf.DUMMYFUNCTION("""COMPUTED_VALUE"""),3.0)</f>
        <v>3</v>
      </c>
    </row>
    <row r="242" ht="15.75" customHeight="1">
      <c r="C242" s="34">
        <v>1525.0</v>
      </c>
      <c r="D242" s="70" t="s">
        <v>393</v>
      </c>
      <c r="E242" s="71" t="str">
        <f>vlookup(C242,'NOC-List'!B$2:C$502,2,False)</f>
        <v>Dispatchers</v>
      </c>
      <c r="F242" s="72">
        <v>3.0</v>
      </c>
      <c r="G242" s="72">
        <v>3.0</v>
      </c>
      <c r="H242" s="72">
        <v>3.0</v>
      </c>
      <c r="I242" s="72">
        <v>4.0</v>
      </c>
      <c r="J242" s="72">
        <v>4.0</v>
      </c>
      <c r="K242" s="72">
        <v>3.0</v>
      </c>
      <c r="L242" s="72">
        <v>4.0</v>
      </c>
      <c r="M242" s="72">
        <v>4.0</v>
      </c>
      <c r="N242" s="72">
        <v>4.0</v>
      </c>
      <c r="O242" s="73"/>
      <c r="P242" s="35">
        <f>IFERROR(__xludf.DUMMYFUNCTION("""COMPUTED_VALUE"""),7314.0)</f>
        <v>7314</v>
      </c>
      <c r="Q242" s="35" t="str">
        <f>IFERROR(__xludf.DUMMYFUNCTION("query(C242:N1235,""Select D,E,F,G,H,I,J,K,L,M WHERE ""&amp;P242&amp;"" =C Limit 1"")"),"Railway Carmen/women")</f>
        <v>Railway Carmen/women</v>
      </c>
      <c r="R242" s="35" t="str">
        <f>IFERROR(__xludf.DUMMYFUNCTION("""COMPUTED_VALUE"""),"Railway carmen/women")</f>
        <v>Railway carmen/women</v>
      </c>
      <c r="S242" s="35">
        <f>IFERROR(__xludf.DUMMYFUNCTION("""COMPUTED_VALUE"""),3.0)</f>
        <v>3</v>
      </c>
      <c r="T242" s="35">
        <f>IFERROR(__xludf.DUMMYFUNCTION("""COMPUTED_VALUE"""),4.0)</f>
        <v>4</v>
      </c>
      <c r="U242" s="35">
        <f>IFERROR(__xludf.DUMMYFUNCTION("""COMPUTED_VALUE"""),4.0)</f>
        <v>4</v>
      </c>
      <c r="V242" s="35">
        <f>IFERROR(__xludf.DUMMYFUNCTION("""COMPUTED_VALUE"""),3.0)</f>
        <v>3</v>
      </c>
      <c r="W242" s="35">
        <f>IFERROR(__xludf.DUMMYFUNCTION("""COMPUTED_VALUE"""),3.0)</f>
        <v>3</v>
      </c>
      <c r="X242" s="35">
        <f>IFERROR(__xludf.DUMMYFUNCTION("""COMPUTED_VALUE"""),4.0)</f>
        <v>4</v>
      </c>
      <c r="Y242" s="35">
        <f>IFERROR(__xludf.DUMMYFUNCTION("""COMPUTED_VALUE"""),3.0)</f>
        <v>3</v>
      </c>
      <c r="Z242" s="35">
        <f>IFERROR(__xludf.DUMMYFUNCTION("""COMPUTED_VALUE"""),3.0)</f>
        <v>3</v>
      </c>
    </row>
    <row r="243" ht="15.75" customHeight="1">
      <c r="C243" s="34">
        <v>4214.0</v>
      </c>
      <c r="D243" s="70" t="s">
        <v>394</v>
      </c>
      <c r="E243" s="71" t="str">
        <f>vlookup(C243,'NOC-List'!B$2:C$502,2,False)</f>
        <v>Early childhood educators and assistants</v>
      </c>
      <c r="F243" s="72">
        <v>3.0</v>
      </c>
      <c r="G243" s="72">
        <v>3.0</v>
      </c>
      <c r="H243" s="72">
        <v>4.0</v>
      </c>
      <c r="I243" s="72">
        <v>4.0</v>
      </c>
      <c r="J243" s="72">
        <v>4.0</v>
      </c>
      <c r="K243" s="72">
        <v>4.0</v>
      </c>
      <c r="L243" s="72">
        <v>4.0</v>
      </c>
      <c r="M243" s="72">
        <v>4.0</v>
      </c>
      <c r="N243" s="72">
        <v>4.0</v>
      </c>
      <c r="O243" s="73"/>
      <c r="P243" s="35">
        <f>IFERROR(__xludf.DUMMYFUNCTION("""COMPUTED_VALUE"""),9521.0)</f>
        <v>9521</v>
      </c>
      <c r="Q243" s="35" t="str">
        <f>IFERROR(__xludf.DUMMYFUNCTION("query(C243:N1236,""Select D,E,F,G,H,I,J,K,L,M WHERE ""&amp;P243&amp;"" =C Limit 1"")"),"Aircraft Assembly Inspectors")</f>
        <v>Aircraft Assembly Inspectors</v>
      </c>
      <c r="R243" s="35" t="str">
        <f>IFERROR(__xludf.DUMMYFUNCTION("""COMPUTED_VALUE"""),"Aircraft assemblers and aircraft assembly inspectors")</f>
        <v>Aircraft assemblers and aircraft assembly inspectors</v>
      </c>
      <c r="S243" s="35">
        <f>IFERROR(__xludf.DUMMYFUNCTION("""COMPUTED_VALUE"""),3.0)</f>
        <v>3</v>
      </c>
      <c r="T243" s="35">
        <f>IFERROR(__xludf.DUMMYFUNCTION("""COMPUTED_VALUE"""),3.0)</f>
        <v>3</v>
      </c>
      <c r="U243" s="35">
        <f>IFERROR(__xludf.DUMMYFUNCTION("""COMPUTED_VALUE"""),3.0)</f>
        <v>3</v>
      </c>
      <c r="V243" s="35">
        <f>IFERROR(__xludf.DUMMYFUNCTION("""COMPUTED_VALUE"""),3.0)</f>
        <v>3</v>
      </c>
      <c r="W243" s="35">
        <f>IFERROR(__xludf.DUMMYFUNCTION("""COMPUTED_VALUE"""),3.0)</f>
        <v>3</v>
      </c>
      <c r="X243" s="35">
        <f>IFERROR(__xludf.DUMMYFUNCTION("""COMPUTED_VALUE"""),3.0)</f>
        <v>3</v>
      </c>
      <c r="Y243" s="35">
        <f>IFERROR(__xludf.DUMMYFUNCTION("""COMPUTED_VALUE"""),3.0)</f>
        <v>3</v>
      </c>
      <c r="Z243" s="35">
        <f>IFERROR(__xludf.DUMMYFUNCTION("""COMPUTED_VALUE"""),3.0)</f>
        <v>3</v>
      </c>
    </row>
    <row r="244" ht="15.75" customHeight="1">
      <c r="C244" s="34">
        <v>4214.0</v>
      </c>
      <c r="D244" s="70" t="s">
        <v>395</v>
      </c>
      <c r="E244" s="71" t="str">
        <f>vlookup(C244,'NOC-List'!B$2:C$502,2,False)</f>
        <v>Early childhood educators and assistants</v>
      </c>
      <c r="F244" s="72">
        <v>3.0</v>
      </c>
      <c r="G244" s="72">
        <v>3.0</v>
      </c>
      <c r="H244" s="72">
        <v>4.0</v>
      </c>
      <c r="I244" s="72">
        <v>4.0</v>
      </c>
      <c r="J244" s="72">
        <v>4.0</v>
      </c>
      <c r="K244" s="72">
        <v>4.0</v>
      </c>
      <c r="L244" s="72">
        <v>4.0</v>
      </c>
      <c r="M244" s="72">
        <v>4.0</v>
      </c>
      <c r="N244" s="72">
        <v>4.0</v>
      </c>
      <c r="O244" s="73"/>
      <c r="P244" s="35">
        <f>IFERROR(__xludf.DUMMYFUNCTION("""COMPUTED_VALUE"""),5136.0)</f>
        <v>5136</v>
      </c>
      <c r="Q244" s="35" t="str">
        <f>IFERROR(__xludf.DUMMYFUNCTION("query(C244:N1237,""Select D,E,F,G,H,I,J,K,L,M WHERE ""&amp;P244&amp;"" =C Limit 1"")"),"Art Instructors and Teachers")</f>
        <v>Art Instructors and Teachers</v>
      </c>
      <c r="R244" s="35" t="str">
        <f>IFERROR(__xludf.DUMMYFUNCTION("""COMPUTED_VALUE"""),"Painters, sculptors and other visual artists")</f>
        <v>Painters, sculptors and other visual artists</v>
      </c>
      <c r="S244" s="35">
        <f>IFERROR(__xludf.DUMMYFUNCTION("""COMPUTED_VALUE"""),2.0)</f>
        <v>2</v>
      </c>
      <c r="T244" s="35">
        <f>IFERROR(__xludf.DUMMYFUNCTION("""COMPUTED_VALUE"""),2.0)</f>
        <v>2</v>
      </c>
      <c r="U244" s="35">
        <f>IFERROR(__xludf.DUMMYFUNCTION("""COMPUTED_VALUE"""),4.0)</f>
        <v>4</v>
      </c>
      <c r="V244" s="35">
        <f>IFERROR(__xludf.DUMMYFUNCTION("""COMPUTED_VALUE"""),2.0)</f>
        <v>2</v>
      </c>
      <c r="W244" s="35">
        <f>IFERROR(__xludf.DUMMYFUNCTION("""COMPUTED_VALUE"""),2.0)</f>
        <v>2</v>
      </c>
      <c r="X244" s="35">
        <f>IFERROR(__xludf.DUMMYFUNCTION("""COMPUTED_VALUE"""),4.0)</f>
        <v>4</v>
      </c>
      <c r="Y244" s="35">
        <f>IFERROR(__xludf.DUMMYFUNCTION("""COMPUTED_VALUE"""),2.0)</f>
        <v>2</v>
      </c>
      <c r="Z244" s="35">
        <f>IFERROR(__xludf.DUMMYFUNCTION("""COMPUTED_VALUE"""),2.0)</f>
        <v>2</v>
      </c>
    </row>
    <row r="245" ht="15.75" customHeight="1">
      <c r="C245" s="34">
        <v>5122.0</v>
      </c>
      <c r="D245" s="70" t="s">
        <v>396</v>
      </c>
      <c r="E245" s="71" t="str">
        <f>vlookup(C245,'NOC-List'!B$2:C$502,2,False)</f>
        <v>Editors</v>
      </c>
      <c r="F245" s="72">
        <v>2.0</v>
      </c>
      <c r="G245" s="72">
        <v>1.0</v>
      </c>
      <c r="H245" s="72">
        <v>3.0</v>
      </c>
      <c r="I245" s="72">
        <v>3.0</v>
      </c>
      <c r="J245" s="72">
        <v>4.0</v>
      </c>
      <c r="K245" s="72">
        <v>3.0</v>
      </c>
      <c r="L245" s="72">
        <v>4.0</v>
      </c>
      <c r="M245" s="72">
        <v>4.0</v>
      </c>
      <c r="N245" s="72">
        <v>4.0</v>
      </c>
      <c r="O245" s="73"/>
      <c r="P245" s="35">
        <f>IFERROR(__xludf.DUMMYFUNCTION("""COMPUTED_VALUE"""),7321.0)</f>
        <v>7321</v>
      </c>
      <c r="Q245" s="35" t="str">
        <f>IFERROR(__xludf.DUMMYFUNCTION("query(C245:N1238,""Select D,E,F,G,H,I,J,K,L,M WHERE ""&amp;P245&amp;"" =C Limit 1"")"),"Automotive Service Technicians")</f>
        <v>Automotive Service Technicians</v>
      </c>
      <c r="R245" s="35" t="str">
        <f>IFERROR(__xludf.DUMMYFUNCTION("""COMPUTED_VALUE"""),"Automotive service technicians, truck and bus mechanics and mechanical repairers")</f>
        <v>Automotive service technicians, truck and bus mechanics and mechanical repairers</v>
      </c>
      <c r="S245" s="35">
        <f>IFERROR(__xludf.DUMMYFUNCTION("""COMPUTED_VALUE"""),3.0)</f>
        <v>3</v>
      </c>
      <c r="T245" s="35">
        <f>IFERROR(__xludf.DUMMYFUNCTION("""COMPUTED_VALUE"""),3.0)</f>
        <v>3</v>
      </c>
      <c r="U245" s="35">
        <f>IFERROR(__xludf.DUMMYFUNCTION("""COMPUTED_VALUE"""),4.0)</f>
        <v>4</v>
      </c>
      <c r="V245" s="35">
        <f>IFERROR(__xludf.DUMMYFUNCTION("""COMPUTED_VALUE"""),3.0)</f>
        <v>3</v>
      </c>
      <c r="W245" s="35">
        <f>IFERROR(__xludf.DUMMYFUNCTION("""COMPUTED_VALUE"""),3.0)</f>
        <v>3</v>
      </c>
      <c r="X245" s="35">
        <f>IFERROR(__xludf.DUMMYFUNCTION("""COMPUTED_VALUE"""),4.0)</f>
        <v>4</v>
      </c>
      <c r="Y245" s="35">
        <f>IFERROR(__xludf.DUMMYFUNCTION("""COMPUTED_VALUE"""),3.0)</f>
        <v>3</v>
      </c>
      <c r="Z245" s="35">
        <f>IFERROR(__xludf.DUMMYFUNCTION("""COMPUTED_VALUE"""),3.0)</f>
        <v>3</v>
      </c>
    </row>
    <row r="246" ht="15.75" customHeight="1">
      <c r="C246" s="34">
        <v>4166.0</v>
      </c>
      <c r="D246" s="70" t="s">
        <v>397</v>
      </c>
      <c r="E246" s="71" t="str">
        <f>vlookup(C246,'NOC-List'!B$2:C$502,2,False)</f>
        <v>Education policy researchers, consultants and program officers</v>
      </c>
      <c r="F246" s="72">
        <v>2.0</v>
      </c>
      <c r="G246" s="72">
        <v>2.0</v>
      </c>
      <c r="H246" s="72">
        <v>3.0</v>
      </c>
      <c r="I246" s="72">
        <v>4.0</v>
      </c>
      <c r="J246" s="72">
        <v>4.0</v>
      </c>
      <c r="K246" s="72">
        <v>3.0</v>
      </c>
      <c r="L246" s="72">
        <v>4.0</v>
      </c>
      <c r="M246" s="72">
        <v>4.0</v>
      </c>
      <c r="N246" s="72">
        <v>4.0</v>
      </c>
      <c r="O246" s="73"/>
      <c r="P246" s="35">
        <f>IFERROR(__xludf.DUMMYFUNCTION("""COMPUTED_VALUE"""),5224.0)</f>
        <v>5224</v>
      </c>
      <c r="Q246" s="35" t="str">
        <f>IFERROR(__xludf.DUMMYFUNCTION("query(C246:N1239,""Select D,E,F,G,H,I,J,K,L,M WHERE ""&amp;P246&amp;"" =C Limit 1"")"),"Broadcast Technicians")</f>
        <v>Broadcast Technicians</v>
      </c>
      <c r="R246" s="35" t="str">
        <f>IFERROR(__xludf.DUMMYFUNCTION("""COMPUTED_VALUE"""),"Broadcast technicians")</f>
        <v>Broadcast technicians</v>
      </c>
      <c r="S246" s="35">
        <f>IFERROR(__xludf.DUMMYFUNCTION("""COMPUTED_VALUE"""),3.0)</f>
        <v>3</v>
      </c>
      <c r="T246" s="35">
        <f>IFERROR(__xludf.DUMMYFUNCTION("""COMPUTED_VALUE"""),3.0)</f>
        <v>3</v>
      </c>
      <c r="U246" s="35">
        <f>IFERROR(__xludf.DUMMYFUNCTION("""COMPUTED_VALUE"""),4.0)</f>
        <v>4</v>
      </c>
      <c r="V246" s="35">
        <f>IFERROR(__xludf.DUMMYFUNCTION("""COMPUTED_VALUE"""),3.0)</f>
        <v>3</v>
      </c>
      <c r="W246" s="35">
        <f>IFERROR(__xludf.DUMMYFUNCTION("""COMPUTED_VALUE"""),3.0)</f>
        <v>3</v>
      </c>
      <c r="X246" s="35">
        <f>IFERROR(__xludf.DUMMYFUNCTION("""COMPUTED_VALUE"""),4.0)</f>
        <v>4</v>
      </c>
      <c r="Y246" s="35">
        <f>IFERROR(__xludf.DUMMYFUNCTION("""COMPUTED_VALUE"""),3.0)</f>
        <v>3</v>
      </c>
      <c r="Z246" s="35">
        <f>IFERROR(__xludf.DUMMYFUNCTION("""COMPUTED_VALUE"""),3.0)</f>
        <v>3</v>
      </c>
    </row>
    <row r="247" ht="15.75" customHeight="1">
      <c r="C247" s="34">
        <v>4032.0</v>
      </c>
      <c r="D247" s="70" t="s">
        <v>398</v>
      </c>
      <c r="E247" s="71" t="str">
        <f>vlookup(C247,'NOC-List'!B$2:C$502,2,False)</f>
        <v>Elementary school and kindergarten teachers</v>
      </c>
      <c r="F247" s="72">
        <v>2.0</v>
      </c>
      <c r="G247" s="72">
        <v>2.0</v>
      </c>
      <c r="H247" s="72">
        <v>3.0</v>
      </c>
      <c r="I247" s="72">
        <v>4.0</v>
      </c>
      <c r="J247" s="72">
        <v>4.0</v>
      </c>
      <c r="K247" s="72">
        <v>3.0</v>
      </c>
      <c r="L247" s="72">
        <v>4.0</v>
      </c>
      <c r="M247" s="72">
        <v>4.0</v>
      </c>
      <c r="N247" s="72">
        <v>4.0</v>
      </c>
      <c r="O247" s="73"/>
      <c r="P247" s="35">
        <f>IFERROR(__xludf.DUMMYFUNCTION("""COMPUTED_VALUE"""),8231.0)</f>
        <v>8231</v>
      </c>
      <c r="Q247" s="35" t="str">
        <f>IFERROR(__xludf.DUMMYFUNCTION("query(C247:N1240,""Select D,E,F,G,H,I,J,K,L,M WHERE ""&amp;P247&amp;"" =C Limit 1"")"),"Underground Production and Development Miners")</f>
        <v>Underground Production and Development Miners</v>
      </c>
      <c r="R247" s="35" t="str">
        <f>IFERROR(__xludf.DUMMYFUNCTION("""COMPUTED_VALUE"""),"Underground production and development miners")</f>
        <v>Underground production and development miners</v>
      </c>
      <c r="S247" s="35">
        <f>IFERROR(__xludf.DUMMYFUNCTION("""COMPUTED_VALUE"""),3.0)</f>
        <v>3</v>
      </c>
      <c r="T247" s="35">
        <f>IFERROR(__xludf.DUMMYFUNCTION("""COMPUTED_VALUE"""),4.0)</f>
        <v>4</v>
      </c>
      <c r="U247" s="35">
        <f>IFERROR(__xludf.DUMMYFUNCTION("""COMPUTED_VALUE"""),4.0)</f>
        <v>4</v>
      </c>
      <c r="V247" s="35">
        <f>IFERROR(__xludf.DUMMYFUNCTION("""COMPUTED_VALUE"""),3.0)</f>
        <v>3</v>
      </c>
      <c r="W247" s="35">
        <f>IFERROR(__xludf.DUMMYFUNCTION("""COMPUTED_VALUE"""),3.0)</f>
        <v>3</v>
      </c>
      <c r="X247" s="35">
        <f>IFERROR(__xludf.DUMMYFUNCTION("""COMPUTED_VALUE"""),4.0)</f>
        <v>4</v>
      </c>
      <c r="Y247" s="35">
        <f>IFERROR(__xludf.DUMMYFUNCTION("""COMPUTED_VALUE"""),3.0)</f>
        <v>3</v>
      </c>
      <c r="Z247" s="35">
        <f>IFERROR(__xludf.DUMMYFUNCTION("""COMPUTED_VALUE"""),3.0)</f>
        <v>3</v>
      </c>
    </row>
    <row r="248" ht="15.75" customHeight="1">
      <c r="C248" s="34">
        <v>211.0</v>
      </c>
      <c r="D248" s="70" t="s">
        <v>399</v>
      </c>
      <c r="E248" s="71" t="str">
        <f>vlookup(C248,'NOC-List'!B$2:C$502,2,False)</f>
        <v>Engineering managers</v>
      </c>
      <c r="F248" s="72">
        <v>1.0</v>
      </c>
      <c r="G248" s="72">
        <v>2.0</v>
      </c>
      <c r="H248" s="72">
        <v>1.0</v>
      </c>
      <c r="I248" s="72">
        <v>2.0</v>
      </c>
      <c r="J248" s="72">
        <v>3.0</v>
      </c>
      <c r="K248" s="72">
        <v>3.0</v>
      </c>
      <c r="L248" s="72">
        <v>4.0</v>
      </c>
      <c r="M248" s="72">
        <v>4.0</v>
      </c>
      <c r="N248" s="72">
        <v>4.0</v>
      </c>
      <c r="O248" s="73"/>
      <c r="P248" s="35">
        <f>IFERROR(__xludf.DUMMYFUNCTION("""COMPUTED_VALUE"""),2211.0)</f>
        <v>2211</v>
      </c>
      <c r="Q248" s="35" t="str">
        <f>IFERROR(__xludf.DUMMYFUNCTION("query(C248:N1241,""Select D,E,F,G,H,I,J,K,L,M WHERE ""&amp;P248&amp;"" =C Limit 1"")"),"Chemical Technicians")</f>
        <v>Chemical Technicians</v>
      </c>
      <c r="R248" s="35" t="str">
        <f>IFERROR(__xludf.DUMMYFUNCTION("""COMPUTED_VALUE"""),"Chemical technologists and technicians")</f>
        <v>Chemical technologists and technicians</v>
      </c>
      <c r="S248" s="35">
        <f>IFERROR(__xludf.DUMMYFUNCTION("""COMPUTED_VALUE"""),2.0)</f>
        <v>2</v>
      </c>
      <c r="T248" s="35">
        <f>IFERROR(__xludf.DUMMYFUNCTION("""COMPUTED_VALUE"""),3.0)</f>
        <v>3</v>
      </c>
      <c r="U248" s="35">
        <f>IFERROR(__xludf.DUMMYFUNCTION("""COMPUTED_VALUE"""),3.0)</f>
        <v>3</v>
      </c>
      <c r="V248" s="35">
        <f>IFERROR(__xludf.DUMMYFUNCTION("""COMPUTED_VALUE"""),3.0)</f>
        <v>3</v>
      </c>
      <c r="W248" s="35">
        <f>IFERROR(__xludf.DUMMYFUNCTION("""COMPUTED_VALUE"""),2.0)</f>
        <v>2</v>
      </c>
      <c r="X248" s="35">
        <f>IFERROR(__xludf.DUMMYFUNCTION("""COMPUTED_VALUE"""),3.0)</f>
        <v>3</v>
      </c>
      <c r="Y248" s="35">
        <f>IFERROR(__xludf.DUMMYFUNCTION("""COMPUTED_VALUE"""),3.0)</f>
        <v>3</v>
      </c>
      <c r="Z248" s="35">
        <f>IFERROR(__xludf.DUMMYFUNCTION("""COMPUTED_VALUE"""),3.0)</f>
        <v>3</v>
      </c>
    </row>
    <row r="249" ht="15.75" customHeight="1">
      <c r="C249" s="34">
        <v>1228.0</v>
      </c>
      <c r="D249" s="70" t="s">
        <v>400</v>
      </c>
      <c r="E249" s="71" t="str">
        <f>vlookup(C249,'NOC-List'!B$2:C$502,2,False)</f>
        <v>Employment insurance, immigration, border services and revenue officers</v>
      </c>
      <c r="F249" s="72">
        <v>2.0</v>
      </c>
      <c r="G249" s="72">
        <v>2.0</v>
      </c>
      <c r="H249" s="72">
        <v>2.0</v>
      </c>
      <c r="I249" s="72">
        <v>4.0</v>
      </c>
      <c r="J249" s="72">
        <v>3.0</v>
      </c>
      <c r="K249" s="72">
        <v>2.0</v>
      </c>
      <c r="L249" s="72">
        <v>4.0</v>
      </c>
      <c r="M249" s="72">
        <v>4.0</v>
      </c>
      <c r="N249" s="72">
        <v>3.0</v>
      </c>
      <c r="O249" s="73"/>
      <c r="P249" s="35">
        <f>IFERROR(__xludf.DUMMYFUNCTION("""COMPUTED_VALUE"""),5252.0)</f>
        <v>5252</v>
      </c>
      <c r="Q249" s="35" t="str">
        <f>IFERROR(__xludf.DUMMYFUNCTION("query(C249:N1242,""Select D,E,F,G,H,I,J,K,L,M WHERE ""&amp;P249&amp;"" =C Limit 1"")"),"Coaches")</f>
        <v>Coaches</v>
      </c>
      <c r="R249" s="35" t="str">
        <f>IFERROR(__xludf.DUMMYFUNCTION("""COMPUTED_VALUE"""),"Coaches")</f>
        <v>Coaches</v>
      </c>
      <c r="S249" s="35">
        <f>IFERROR(__xludf.DUMMYFUNCTION("""COMPUTED_VALUE"""),3.0)</f>
        <v>3</v>
      </c>
      <c r="T249" s="35">
        <f>IFERROR(__xludf.DUMMYFUNCTION("""COMPUTED_VALUE"""),3.0)</f>
        <v>3</v>
      </c>
      <c r="U249" s="35">
        <f>IFERROR(__xludf.DUMMYFUNCTION("""COMPUTED_VALUE"""),4.0)</f>
        <v>4</v>
      </c>
      <c r="V249" s="35">
        <f>IFERROR(__xludf.DUMMYFUNCTION("""COMPUTED_VALUE"""),3.0)</f>
        <v>3</v>
      </c>
      <c r="W249" s="35">
        <f>IFERROR(__xludf.DUMMYFUNCTION("""COMPUTED_VALUE"""),3.0)</f>
        <v>3</v>
      </c>
      <c r="X249" s="35">
        <f>IFERROR(__xludf.DUMMYFUNCTION("""COMPUTED_VALUE"""),4.0)</f>
        <v>4</v>
      </c>
      <c r="Y249" s="35">
        <f>IFERROR(__xludf.DUMMYFUNCTION("""COMPUTED_VALUE"""),3.0)</f>
        <v>3</v>
      </c>
      <c r="Z249" s="35">
        <f>IFERROR(__xludf.DUMMYFUNCTION("""COMPUTED_VALUE"""),3.0)</f>
        <v>3</v>
      </c>
    </row>
    <row r="250" ht="15.75" customHeight="1">
      <c r="C250" s="34">
        <v>1222.0</v>
      </c>
      <c r="D250" s="70" t="s">
        <v>401</v>
      </c>
      <c r="E250" s="71" t="str">
        <f>vlookup(C250,'NOC-List'!B$2:C$502,2,False)</f>
        <v>Executive assistants</v>
      </c>
      <c r="F250" s="72">
        <v>2.0</v>
      </c>
      <c r="G250" s="72">
        <v>2.0</v>
      </c>
      <c r="H250" s="72">
        <v>3.0</v>
      </c>
      <c r="I250" s="72">
        <v>4.0</v>
      </c>
      <c r="J250" s="72">
        <v>4.0</v>
      </c>
      <c r="K250" s="72">
        <v>3.0</v>
      </c>
      <c r="L250" s="72">
        <v>4.0</v>
      </c>
      <c r="M250" s="72">
        <v>4.0</v>
      </c>
      <c r="N250" s="72">
        <v>4.0</v>
      </c>
      <c r="O250" s="73"/>
      <c r="P250" s="35">
        <f>IFERROR(__xludf.DUMMYFUNCTION("""COMPUTED_VALUE"""),2281.0)</f>
        <v>2281</v>
      </c>
      <c r="Q250" s="35" t="str">
        <f>IFERROR(__xludf.DUMMYFUNCTION("query(C250:N1243,""Select D,E,F,G,H,I,J,K,L,M WHERE ""&amp;P250&amp;"" =C Limit 1"")"),"Computer and Network Operators")</f>
        <v>Computer and Network Operators</v>
      </c>
      <c r="R250" s="35" t="str">
        <f>IFERROR(__xludf.DUMMYFUNCTION("""COMPUTED_VALUE"""),"Computer network technicians")</f>
        <v>Computer network technicians</v>
      </c>
      <c r="S250" s="35">
        <f>IFERROR(__xludf.DUMMYFUNCTION("""COMPUTED_VALUE"""),2.0)</f>
        <v>2</v>
      </c>
      <c r="T250" s="35">
        <f>IFERROR(__xludf.DUMMYFUNCTION("""COMPUTED_VALUE"""),3.0)</f>
        <v>3</v>
      </c>
      <c r="U250" s="35">
        <f>IFERROR(__xludf.DUMMYFUNCTION("""COMPUTED_VALUE"""),2.0)</f>
        <v>2</v>
      </c>
      <c r="V250" s="35">
        <f>IFERROR(__xludf.DUMMYFUNCTION("""COMPUTED_VALUE"""),3.0)</f>
        <v>3</v>
      </c>
      <c r="W250" s="35">
        <f>IFERROR(__xludf.DUMMYFUNCTION("""COMPUTED_VALUE"""),3.0)</f>
        <v>3</v>
      </c>
      <c r="X250" s="35">
        <f>IFERROR(__xludf.DUMMYFUNCTION("""COMPUTED_VALUE"""),3.0)</f>
        <v>3</v>
      </c>
      <c r="Y250" s="35">
        <f>IFERROR(__xludf.DUMMYFUNCTION("""COMPUTED_VALUE"""),3.0)</f>
        <v>3</v>
      </c>
      <c r="Z250" s="35">
        <f>IFERROR(__xludf.DUMMYFUNCTION("""COMPUTED_VALUE"""),3.0)</f>
        <v>3</v>
      </c>
    </row>
    <row r="251" ht="15.75" customHeight="1">
      <c r="C251" s="34">
        <v>6321.0</v>
      </c>
      <c r="D251" s="70" t="s">
        <v>402</v>
      </c>
      <c r="E251" s="71" t="str">
        <f>vlookup(C251,'NOC-List'!B$2:C$502,2,False)</f>
        <v>Chefs</v>
      </c>
      <c r="F251" s="72">
        <v>3.0</v>
      </c>
      <c r="G251" s="72">
        <v>3.0</v>
      </c>
      <c r="H251" s="72">
        <v>3.0</v>
      </c>
      <c r="I251" s="72">
        <v>4.0</v>
      </c>
      <c r="J251" s="72">
        <v>4.0</v>
      </c>
      <c r="K251" s="72">
        <v>3.0</v>
      </c>
      <c r="L251" s="72">
        <v>4.0</v>
      </c>
      <c r="M251" s="72">
        <v>4.0</v>
      </c>
      <c r="N251" s="72">
        <v>4.0</v>
      </c>
      <c r="O251" s="73"/>
      <c r="P251" s="35">
        <f>IFERROR(__xludf.DUMMYFUNCTION("""COMPUTED_VALUE"""),6331.0)</f>
        <v>6331</v>
      </c>
      <c r="Q251" s="35" t="str">
        <f>IFERROR(__xludf.DUMMYFUNCTION("query(C251:N1244,""Select D,E,F,G,H,I,J,K,L,M WHERE ""&amp;P251&amp;"" =C Limit 1"")"),"Butchers and Meat Cutters - Retail and Wholesale")</f>
        <v>Butchers and Meat Cutters - Retail and Wholesale</v>
      </c>
      <c r="R251" s="35" t="str">
        <f>IFERROR(__xludf.DUMMYFUNCTION("""COMPUTED_VALUE"""),"Butchers, meat cutters and fishmongers - retail and wholesale")</f>
        <v>Butchers, meat cutters and fishmongers - retail and wholesale</v>
      </c>
      <c r="S251" s="35">
        <f>IFERROR(__xludf.DUMMYFUNCTION("""COMPUTED_VALUE"""),3.0)</f>
        <v>3</v>
      </c>
      <c r="T251" s="35">
        <f>IFERROR(__xludf.DUMMYFUNCTION("""COMPUTED_VALUE"""),4.0)</f>
        <v>4</v>
      </c>
      <c r="U251" s="35">
        <f>IFERROR(__xludf.DUMMYFUNCTION("""COMPUTED_VALUE"""),4.0)</f>
        <v>4</v>
      </c>
      <c r="V251" s="35">
        <f>IFERROR(__xludf.DUMMYFUNCTION("""COMPUTED_VALUE"""),3.0)</f>
        <v>3</v>
      </c>
      <c r="W251" s="35">
        <f>IFERROR(__xludf.DUMMYFUNCTION("""COMPUTED_VALUE"""),3.0)</f>
        <v>3</v>
      </c>
      <c r="X251" s="35">
        <f>IFERROR(__xludf.DUMMYFUNCTION("""COMPUTED_VALUE"""),5.0)</f>
        <v>5</v>
      </c>
      <c r="Y251" s="35">
        <f>IFERROR(__xludf.DUMMYFUNCTION("""COMPUTED_VALUE"""),3.0)</f>
        <v>3</v>
      </c>
      <c r="Z251" s="35">
        <f>IFERROR(__xludf.DUMMYFUNCTION("""COMPUTED_VALUE"""),3.0)</f>
        <v>3</v>
      </c>
    </row>
    <row r="252" ht="15.75" customHeight="1">
      <c r="C252" s="34">
        <v>6312.0</v>
      </c>
      <c r="D252" s="70" t="s">
        <v>403</v>
      </c>
      <c r="E252" s="71" t="str">
        <f>vlookup(C252,'NOC-List'!B$2:C$502,2,False)</f>
        <v>Executive housekeepers</v>
      </c>
      <c r="F252" s="72">
        <v>3.0</v>
      </c>
      <c r="G252" s="72">
        <v>3.0</v>
      </c>
      <c r="H252" s="72">
        <v>3.0</v>
      </c>
      <c r="I252" s="72">
        <v>4.0</v>
      </c>
      <c r="J252" s="72">
        <v>4.0</v>
      </c>
      <c r="K252" s="72">
        <v>3.0</v>
      </c>
      <c r="L252" s="72">
        <v>4.0</v>
      </c>
      <c r="M252" s="72">
        <v>4.0</v>
      </c>
      <c r="N252" s="72">
        <v>4.0</v>
      </c>
      <c r="O252" s="73"/>
      <c r="P252" s="35">
        <f>IFERROR(__xludf.DUMMYFUNCTION("""COMPUTED_VALUE"""),9414.0)</f>
        <v>9414</v>
      </c>
      <c r="Q252" s="35" t="str">
        <f>IFERROR(__xludf.DUMMYFUNCTION("query(C252:N1245,""Select D,E,F,G,H,I,J,K,L,M WHERE ""&amp;P252&amp;"" =C Limit 1"")"),"Clay Products Forming and Finishing Machine Operators")</f>
        <v>Clay Products Forming and Finishing Machine Operators</v>
      </c>
      <c r="R252" s="35" t="str">
        <f>IFERROR(__xludf.DUMMYFUNCTION("""COMPUTED_VALUE"""),"Concrete, clay and stone forming operators")</f>
        <v>Concrete, clay and stone forming operators</v>
      </c>
      <c r="S252" s="35">
        <f>IFERROR(__xludf.DUMMYFUNCTION("""COMPUTED_VALUE"""),3.0)</f>
        <v>3</v>
      </c>
      <c r="T252" s="35">
        <f>IFERROR(__xludf.DUMMYFUNCTION("""COMPUTED_VALUE"""),4.0)</f>
        <v>4</v>
      </c>
      <c r="U252" s="35">
        <f>IFERROR(__xludf.DUMMYFUNCTION("""COMPUTED_VALUE"""),4.0)</f>
        <v>4</v>
      </c>
      <c r="V252" s="35">
        <f>IFERROR(__xludf.DUMMYFUNCTION("""COMPUTED_VALUE"""),3.0)</f>
        <v>3</v>
      </c>
      <c r="W252" s="35">
        <f>IFERROR(__xludf.DUMMYFUNCTION("""COMPUTED_VALUE"""),3.0)</f>
        <v>3</v>
      </c>
      <c r="X252" s="35">
        <f>IFERROR(__xludf.DUMMYFUNCTION("""COMPUTED_VALUE"""),4.0)</f>
        <v>4</v>
      </c>
      <c r="Y252" s="35">
        <f>IFERROR(__xludf.DUMMYFUNCTION("""COMPUTED_VALUE"""),3.0)</f>
        <v>3</v>
      </c>
      <c r="Z252" s="35">
        <f>IFERROR(__xludf.DUMMYFUNCTION("""COMPUTED_VALUE"""),4.0)</f>
        <v>4</v>
      </c>
    </row>
    <row r="253" ht="15.75" customHeight="1">
      <c r="C253" s="34">
        <v>714.0</v>
      </c>
      <c r="D253" s="70" t="s">
        <v>404</v>
      </c>
      <c r="E253" s="71" t="str">
        <f>vlookup(C253,'NOC-List'!B$2:C$502,2,False)</f>
        <v>Facility operation and maintenance managers</v>
      </c>
      <c r="F253" s="72">
        <v>2.0</v>
      </c>
      <c r="G253" s="72">
        <v>2.0</v>
      </c>
      <c r="H253" s="72">
        <v>3.0</v>
      </c>
      <c r="I253" s="72">
        <v>4.0</v>
      </c>
      <c r="J253" s="72">
        <v>4.0</v>
      </c>
      <c r="K253" s="72">
        <v>3.0</v>
      </c>
      <c r="L253" s="72">
        <v>4.0</v>
      </c>
      <c r="M253" s="72">
        <v>4.0</v>
      </c>
      <c r="N253" s="72">
        <v>4.0</v>
      </c>
      <c r="O253" s="73"/>
      <c r="P253" s="35">
        <f>IFERROR(__xludf.DUMMYFUNCTION("""COMPUTED_VALUE"""),2274.0)</f>
        <v>2274</v>
      </c>
      <c r="Q253" s="35" t="str">
        <f>IFERROR(__xludf.DUMMYFUNCTION("query(C253:N1246,""Select D,E,F,G,H,I,J,K,L,M WHERE ""&amp;P253&amp;"" =C Limit 1"")"),"Engineer Officers, Water Transport")</f>
        <v>Engineer Officers, Water Transport</v>
      </c>
      <c r="R253" s="35" t="str">
        <f>IFERROR(__xludf.DUMMYFUNCTION("""COMPUTED_VALUE"""),"Engineer officers, water transport")</f>
        <v>Engineer officers, water transport</v>
      </c>
      <c r="S253" s="35">
        <f>IFERROR(__xludf.DUMMYFUNCTION("""COMPUTED_VALUE"""),2.0)</f>
        <v>2</v>
      </c>
      <c r="T253" s="35">
        <f>IFERROR(__xludf.DUMMYFUNCTION("""COMPUTED_VALUE"""),3.0)</f>
        <v>3</v>
      </c>
      <c r="U253" s="35">
        <f>IFERROR(__xludf.DUMMYFUNCTION("""COMPUTED_VALUE"""),3.0)</f>
        <v>3</v>
      </c>
      <c r="V253" s="35">
        <f>IFERROR(__xludf.DUMMYFUNCTION("""COMPUTED_VALUE"""),2.0)</f>
        <v>2</v>
      </c>
      <c r="W253" s="35">
        <f>IFERROR(__xludf.DUMMYFUNCTION("""COMPUTED_VALUE"""),3.0)</f>
        <v>3</v>
      </c>
      <c r="X253" s="35">
        <f>IFERROR(__xludf.DUMMYFUNCTION("""COMPUTED_VALUE"""),4.0)</f>
        <v>4</v>
      </c>
      <c r="Y253" s="35">
        <f>IFERROR(__xludf.DUMMYFUNCTION("""COMPUTED_VALUE"""),3.0)</f>
        <v>3</v>
      </c>
      <c r="Z253" s="35">
        <f>IFERROR(__xludf.DUMMYFUNCTION("""COMPUTED_VALUE"""),4.0)</f>
        <v>4</v>
      </c>
    </row>
    <row r="254" ht="15.75" customHeight="1">
      <c r="C254" s="34">
        <v>7533.0</v>
      </c>
      <c r="D254" s="70" t="s">
        <v>405</v>
      </c>
      <c r="E254" s="71" t="str">
        <f>vlookup(C254,'NOC-List'!B$2:C$502,2,False)</f>
        <v>Boat and cable ferry operators and related occupations</v>
      </c>
      <c r="F254" s="72">
        <v>4.0</v>
      </c>
      <c r="G254" s="72">
        <v>4.0</v>
      </c>
      <c r="H254" s="72">
        <v>4.0</v>
      </c>
      <c r="I254" s="72">
        <v>4.0</v>
      </c>
      <c r="J254" s="72">
        <v>4.0</v>
      </c>
      <c r="K254" s="72">
        <v>4.0</v>
      </c>
      <c r="L254" s="72">
        <v>4.0</v>
      </c>
      <c r="M254" s="72">
        <v>4.0</v>
      </c>
      <c r="N254" s="72">
        <v>4.0</v>
      </c>
      <c r="O254" s="73"/>
      <c r="P254" s="35">
        <f>IFERROR(__xludf.DUMMYFUNCTION("""COMPUTED_VALUE"""),5222.0)</f>
        <v>5222</v>
      </c>
      <c r="Q254" s="35" t="str">
        <f>IFERROR(__xludf.DUMMYFUNCTION("query(C254:N1247,""Select D,E,F,G,H,I,J,K,L,M WHERE ""&amp;P254&amp;"" =C Limit 1"")"),"Film and Video Camera Operators")</f>
        <v>Film and Video Camera Operators</v>
      </c>
      <c r="R254" s="35" t="str">
        <f>IFERROR(__xludf.DUMMYFUNCTION("""COMPUTED_VALUE"""),"Film and video camera operators")</f>
        <v>Film and video camera operators</v>
      </c>
      <c r="S254" s="35">
        <f>IFERROR(__xludf.DUMMYFUNCTION("""COMPUTED_VALUE"""),3.0)</f>
        <v>3</v>
      </c>
      <c r="T254" s="35">
        <f>IFERROR(__xludf.DUMMYFUNCTION("""COMPUTED_VALUE"""),3.0)</f>
        <v>3</v>
      </c>
      <c r="U254" s="35">
        <f>IFERROR(__xludf.DUMMYFUNCTION("""COMPUTED_VALUE"""),4.0)</f>
        <v>4</v>
      </c>
      <c r="V254" s="35">
        <f>IFERROR(__xludf.DUMMYFUNCTION("""COMPUTED_VALUE"""),2.0)</f>
        <v>2</v>
      </c>
      <c r="W254" s="35">
        <f>IFERROR(__xludf.DUMMYFUNCTION("""COMPUTED_VALUE"""),2.0)</f>
        <v>2</v>
      </c>
      <c r="X254" s="35">
        <f>IFERROR(__xludf.DUMMYFUNCTION("""COMPUTED_VALUE"""),4.0)</f>
        <v>4</v>
      </c>
      <c r="Y254" s="35">
        <f>IFERROR(__xludf.DUMMYFUNCTION("""COMPUTED_VALUE"""),3.0)</f>
        <v>3</v>
      </c>
      <c r="Z254" s="35">
        <f>IFERROR(__xludf.DUMMYFUNCTION("""COMPUTED_VALUE"""),3.0)</f>
        <v>3</v>
      </c>
    </row>
    <row r="255" ht="15.75" customHeight="1">
      <c r="C255" s="34">
        <v>1411.0</v>
      </c>
      <c r="D255" s="70" t="s">
        <v>406</v>
      </c>
      <c r="E255" s="71" t="str">
        <f>vlookup(C255,'NOC-List'!B$2:C$502,2,False)</f>
        <v>General office support workers</v>
      </c>
      <c r="F255" s="72">
        <v>3.0</v>
      </c>
      <c r="G255" s="72">
        <v>3.0</v>
      </c>
      <c r="H255" s="72">
        <v>3.0</v>
      </c>
      <c r="I255" s="72">
        <v>4.0</v>
      </c>
      <c r="J255" s="72">
        <v>4.0</v>
      </c>
      <c r="K255" s="72">
        <v>3.0</v>
      </c>
      <c r="L255" s="72">
        <v>4.0</v>
      </c>
      <c r="M255" s="72">
        <v>4.0</v>
      </c>
      <c r="N255" s="72">
        <v>4.0</v>
      </c>
      <c r="O255" s="73"/>
      <c r="P255" s="35">
        <f>IFERROR(__xludf.DUMMYFUNCTION("""COMPUTED_VALUE"""),7253.0)</f>
        <v>7253</v>
      </c>
      <c r="Q255" s="35" t="str">
        <f>IFERROR(__xludf.DUMMYFUNCTION("query(C255:N1248,""Select D,E,F,G,H,I,J,K,L,M WHERE ""&amp;P255&amp;"" =C Limit 1"")"),"Gas Fitters")</f>
        <v>Gas Fitters</v>
      </c>
      <c r="R255" s="35" t="str">
        <f>IFERROR(__xludf.DUMMYFUNCTION("""COMPUTED_VALUE"""),"Gas fitters")</f>
        <v>Gas fitters</v>
      </c>
      <c r="S255" s="35">
        <f>IFERROR(__xludf.DUMMYFUNCTION("""COMPUTED_VALUE"""),3.0)</f>
        <v>3</v>
      </c>
      <c r="T255" s="35">
        <f>IFERROR(__xludf.DUMMYFUNCTION("""COMPUTED_VALUE"""),3.0)</f>
        <v>3</v>
      </c>
      <c r="U255" s="35">
        <f>IFERROR(__xludf.DUMMYFUNCTION("""COMPUTED_VALUE"""),3.0)</f>
        <v>3</v>
      </c>
      <c r="V255" s="35">
        <f>IFERROR(__xludf.DUMMYFUNCTION("""COMPUTED_VALUE"""),3.0)</f>
        <v>3</v>
      </c>
      <c r="W255" s="35">
        <f>IFERROR(__xludf.DUMMYFUNCTION("""COMPUTED_VALUE"""),3.0)</f>
        <v>3</v>
      </c>
      <c r="X255" s="35">
        <f>IFERROR(__xludf.DUMMYFUNCTION("""COMPUTED_VALUE"""),3.0)</f>
        <v>3</v>
      </c>
      <c r="Y255" s="35">
        <f>IFERROR(__xludf.DUMMYFUNCTION("""COMPUTED_VALUE"""),3.0)</f>
        <v>3</v>
      </c>
      <c r="Z255" s="35">
        <f>IFERROR(__xludf.DUMMYFUNCTION("""COMPUTED_VALUE"""),3.0)</f>
        <v>3</v>
      </c>
    </row>
    <row r="256" ht="15.75" customHeight="1">
      <c r="C256" s="34">
        <v>9463.0</v>
      </c>
      <c r="D256" s="70" t="s">
        <v>407</v>
      </c>
      <c r="E256" s="71" t="str">
        <f>vlookup(C256,'NOC-List'!B$2:C$502,2,False)</f>
        <v>Fish and seafood plant workers</v>
      </c>
      <c r="F256" s="72">
        <v>4.0</v>
      </c>
      <c r="G256" s="72">
        <v>4.0</v>
      </c>
      <c r="H256" s="72">
        <v>5.0</v>
      </c>
      <c r="I256" s="72">
        <v>4.0</v>
      </c>
      <c r="J256" s="72">
        <v>3.0</v>
      </c>
      <c r="K256" s="72">
        <v>5.0</v>
      </c>
      <c r="L256" s="72">
        <v>4.0</v>
      </c>
      <c r="M256" s="72">
        <v>4.0</v>
      </c>
      <c r="N256" s="72">
        <v>3.0</v>
      </c>
      <c r="O256" s="73"/>
      <c r="P256" s="35">
        <f>IFERROR(__xludf.DUMMYFUNCTION("""COMPUTED_VALUE"""),5223.0)</f>
        <v>5223</v>
      </c>
      <c r="Q256" s="35" t="str">
        <f>IFERROR(__xludf.DUMMYFUNCTION("query(C256:N1249,""Select D,E,F,G,H,I,J,K,L,M WHERE ""&amp;P256&amp;"" =C Limit 1"")"),"Graphic Arts Technicians")</f>
        <v>Graphic Arts Technicians</v>
      </c>
      <c r="R256" s="35" t="str">
        <f>IFERROR(__xludf.DUMMYFUNCTION("""COMPUTED_VALUE"""),"Graphic arts technicians")</f>
        <v>Graphic arts technicians</v>
      </c>
      <c r="S256" s="35">
        <f>IFERROR(__xludf.DUMMYFUNCTION("""COMPUTED_VALUE"""),3.0)</f>
        <v>3</v>
      </c>
      <c r="T256" s="35">
        <f>IFERROR(__xludf.DUMMYFUNCTION("""COMPUTED_VALUE"""),3.0)</f>
        <v>3</v>
      </c>
      <c r="U256" s="35">
        <f>IFERROR(__xludf.DUMMYFUNCTION("""COMPUTED_VALUE"""),4.0)</f>
        <v>4</v>
      </c>
      <c r="V256" s="35">
        <f>IFERROR(__xludf.DUMMYFUNCTION("""COMPUTED_VALUE"""),3.0)</f>
        <v>3</v>
      </c>
      <c r="W256" s="35">
        <f>IFERROR(__xludf.DUMMYFUNCTION("""COMPUTED_VALUE"""),3.0)</f>
        <v>3</v>
      </c>
      <c r="X256" s="35">
        <f>IFERROR(__xludf.DUMMYFUNCTION("""COMPUTED_VALUE"""),4.0)</f>
        <v>4</v>
      </c>
      <c r="Y256" s="35">
        <f>IFERROR(__xludf.DUMMYFUNCTION("""COMPUTED_VALUE"""),3.0)</f>
        <v>3</v>
      </c>
      <c r="Z256" s="35">
        <f>IFERROR(__xludf.DUMMYFUNCTION("""COMPUTED_VALUE"""),3.0)</f>
        <v>3</v>
      </c>
    </row>
    <row r="257" ht="15.75" customHeight="1">
      <c r="C257" s="34">
        <v>6513.0</v>
      </c>
      <c r="D257" s="70" t="s">
        <v>408</v>
      </c>
      <c r="E257" s="71" t="str">
        <f>vlookup(C257,'NOC-List'!B$2:C$502,2,False)</f>
        <v>Food and beverage servers</v>
      </c>
      <c r="F257" s="72">
        <v>4.0</v>
      </c>
      <c r="G257" s="72">
        <v>4.0</v>
      </c>
      <c r="H257" s="72">
        <v>4.0</v>
      </c>
      <c r="I257" s="72">
        <v>4.0</v>
      </c>
      <c r="J257" s="72">
        <v>4.0</v>
      </c>
      <c r="K257" s="72">
        <v>4.0</v>
      </c>
      <c r="L257" s="72">
        <v>4.0</v>
      </c>
      <c r="M257" s="72">
        <v>4.0</v>
      </c>
      <c r="N257" s="72">
        <v>4.0</v>
      </c>
      <c r="O257" s="73"/>
      <c r="P257" s="35">
        <f>IFERROR(__xludf.DUMMYFUNCTION("""COMPUTED_VALUE"""),2243.0)</f>
        <v>2243</v>
      </c>
      <c r="Q257" s="35" t="str">
        <f>IFERROR(__xludf.DUMMYFUNCTION("query(C257:N1250,""Select D,E,F,G,H,I,J,K,L,M WHERE ""&amp;P257&amp;"" =C Limit 1"")"),"Industrial Instrument Technicians and Mechanics")</f>
        <v>Industrial Instrument Technicians and Mechanics</v>
      </c>
      <c r="R257" s="35" t="str">
        <f>IFERROR(__xludf.DUMMYFUNCTION("""COMPUTED_VALUE"""),"Industrial instrument technicians and mechanics")</f>
        <v>Industrial instrument technicians and mechanics</v>
      </c>
      <c r="S257" s="35">
        <f>IFERROR(__xludf.DUMMYFUNCTION("""COMPUTED_VALUE"""),3.0)</f>
        <v>3</v>
      </c>
      <c r="T257" s="35">
        <f>IFERROR(__xludf.DUMMYFUNCTION("""COMPUTED_VALUE"""),3.0)</f>
        <v>3</v>
      </c>
      <c r="U257" s="35">
        <f>IFERROR(__xludf.DUMMYFUNCTION("""COMPUTED_VALUE"""),3.0)</f>
        <v>3</v>
      </c>
      <c r="V257" s="35">
        <f>IFERROR(__xludf.DUMMYFUNCTION("""COMPUTED_VALUE"""),3.0)</f>
        <v>3</v>
      </c>
      <c r="W257" s="35">
        <f>IFERROR(__xludf.DUMMYFUNCTION("""COMPUTED_VALUE"""),3.0)</f>
        <v>3</v>
      </c>
      <c r="X257" s="35">
        <f>IFERROR(__xludf.DUMMYFUNCTION("""COMPUTED_VALUE"""),4.0)</f>
        <v>4</v>
      </c>
      <c r="Y257" s="35">
        <f>IFERROR(__xludf.DUMMYFUNCTION("""COMPUTED_VALUE"""),2.0)</f>
        <v>2</v>
      </c>
      <c r="Z257" s="35">
        <f>IFERROR(__xludf.DUMMYFUNCTION("""COMPUTED_VALUE"""),2.0)</f>
        <v>2</v>
      </c>
    </row>
    <row r="258" ht="15.75" customHeight="1">
      <c r="C258" s="34">
        <v>6711.0</v>
      </c>
      <c r="D258" s="70" t="s">
        <v>409</v>
      </c>
      <c r="E258" s="71" t="str">
        <f>vlookup(C258,'NOC-List'!B$2:C$502,2,False)</f>
        <v>Food counter attendants, kitchen helpers and related support occupations</v>
      </c>
      <c r="F258" s="72">
        <v>4.0</v>
      </c>
      <c r="G258" s="72">
        <v>4.0</v>
      </c>
      <c r="H258" s="72">
        <v>4.0</v>
      </c>
      <c r="I258" s="72">
        <v>4.0</v>
      </c>
      <c r="J258" s="72">
        <v>4.0</v>
      </c>
      <c r="K258" s="72">
        <v>4.0</v>
      </c>
      <c r="L258" s="72">
        <v>4.0</v>
      </c>
      <c r="M258" s="72">
        <v>4.0</v>
      </c>
      <c r="N258" s="72">
        <v>4.0</v>
      </c>
      <c r="O258" s="73"/>
      <c r="P258" s="35">
        <f>IFERROR(__xludf.DUMMYFUNCTION("""COMPUTED_VALUE"""),5242.0)</f>
        <v>5242</v>
      </c>
      <c r="Q258" s="35" t="str">
        <f>IFERROR(__xludf.DUMMYFUNCTION("query(C258:N1251,""Select D,E,F,G,H,I,J,K,L,M WHERE ""&amp;P258&amp;"" =C Limit 1"")"),"Interior Designers")</f>
        <v>Interior Designers</v>
      </c>
      <c r="R258" s="35" t="str">
        <f>IFERROR(__xludf.DUMMYFUNCTION("""COMPUTED_VALUE"""),"Interior designers and interior decorators")</f>
        <v>Interior designers and interior decorators</v>
      </c>
      <c r="S258" s="35">
        <f>IFERROR(__xludf.DUMMYFUNCTION("""COMPUTED_VALUE"""),2.0)</f>
        <v>2</v>
      </c>
      <c r="T258" s="35">
        <f>IFERROR(__xludf.DUMMYFUNCTION("""COMPUTED_VALUE"""),3.0)</f>
        <v>3</v>
      </c>
      <c r="U258" s="35">
        <f>IFERROR(__xludf.DUMMYFUNCTION("""COMPUTED_VALUE"""),3.0)</f>
        <v>3</v>
      </c>
      <c r="V258" s="35">
        <f>IFERROR(__xludf.DUMMYFUNCTION("""COMPUTED_VALUE"""),2.0)</f>
        <v>2</v>
      </c>
      <c r="W258" s="35">
        <f>IFERROR(__xludf.DUMMYFUNCTION("""COMPUTED_VALUE"""),2.0)</f>
        <v>2</v>
      </c>
      <c r="X258" s="35">
        <f>IFERROR(__xludf.DUMMYFUNCTION("""COMPUTED_VALUE"""),3.0)</f>
        <v>3</v>
      </c>
      <c r="Y258" s="35">
        <f>IFERROR(__xludf.DUMMYFUNCTION("""COMPUTED_VALUE"""),3.0)</f>
        <v>3</v>
      </c>
      <c r="Z258" s="35">
        <f>IFERROR(__xludf.DUMMYFUNCTION("""COMPUTED_VALUE"""),3.0)</f>
        <v>3</v>
      </c>
    </row>
    <row r="259" ht="15.75" customHeight="1">
      <c r="C259" s="34">
        <v>6311.0</v>
      </c>
      <c r="D259" s="70" t="s">
        <v>410</v>
      </c>
      <c r="E259" s="71" t="str">
        <f>vlookup(C259,'NOC-List'!B$2:C$502,2,False)</f>
        <v>Food service supervisors</v>
      </c>
      <c r="F259" s="72">
        <v>3.0</v>
      </c>
      <c r="G259" s="72">
        <v>3.0</v>
      </c>
      <c r="H259" s="72">
        <v>3.0</v>
      </c>
      <c r="I259" s="72">
        <v>4.0</v>
      </c>
      <c r="J259" s="72">
        <v>4.0</v>
      </c>
      <c r="K259" s="72">
        <v>3.0</v>
      </c>
      <c r="L259" s="72">
        <v>4.0</v>
      </c>
      <c r="M259" s="72">
        <v>4.0</v>
      </c>
      <c r="N259" s="72">
        <v>4.0</v>
      </c>
      <c r="O259" s="73"/>
      <c r="P259" s="35">
        <f>IFERROR(__xludf.DUMMYFUNCTION("""COMPUTED_VALUE"""),7318.0)</f>
        <v>7318</v>
      </c>
      <c r="Q259" s="35" t="str">
        <f>IFERROR(__xludf.DUMMYFUNCTION("query(C259:N1252,""Select D,E,F,G,H,I,J,K,L,M WHERE ""&amp;P259&amp;"" =C Limit 1"")"),"Elevator Constructors and Mechanics")</f>
        <v>Elevator Constructors and Mechanics</v>
      </c>
      <c r="R259" s="35" t="str">
        <f>IFERROR(__xludf.DUMMYFUNCTION("""COMPUTED_VALUE"""),"Elevator constructors and mechanics")</f>
        <v>Elevator constructors and mechanics</v>
      </c>
      <c r="S259" s="35">
        <f>IFERROR(__xludf.DUMMYFUNCTION("""COMPUTED_VALUE"""),3.0)</f>
        <v>3</v>
      </c>
      <c r="T259" s="35">
        <f>IFERROR(__xludf.DUMMYFUNCTION("""COMPUTED_VALUE"""),4.0)</f>
        <v>4</v>
      </c>
      <c r="U259" s="35">
        <f>IFERROR(__xludf.DUMMYFUNCTION("""COMPUTED_VALUE"""),3.0)</f>
        <v>3</v>
      </c>
      <c r="V259" s="35">
        <f>IFERROR(__xludf.DUMMYFUNCTION("""COMPUTED_VALUE"""),3.0)</f>
        <v>3</v>
      </c>
      <c r="W259" s="35">
        <f>IFERROR(__xludf.DUMMYFUNCTION("""COMPUTED_VALUE"""),3.0)</f>
        <v>3</v>
      </c>
      <c r="X259" s="35">
        <f>IFERROR(__xludf.DUMMYFUNCTION("""COMPUTED_VALUE"""),4.0)</f>
        <v>4</v>
      </c>
      <c r="Y259" s="35">
        <f>IFERROR(__xludf.DUMMYFUNCTION("""COMPUTED_VALUE"""),3.0)</f>
        <v>3</v>
      </c>
      <c r="Z259" s="35">
        <f>IFERROR(__xludf.DUMMYFUNCTION("""COMPUTED_VALUE"""),3.0)</f>
        <v>3</v>
      </c>
    </row>
    <row r="260" ht="15.75" customHeight="1">
      <c r="C260" s="34">
        <v>6732.0</v>
      </c>
      <c r="D260" s="70" t="s">
        <v>411</v>
      </c>
      <c r="E260" s="71" t="str">
        <f>vlookup(C260,'NOC-List'!B$2:C$502,2,False)</f>
        <v>Specialized cleaners</v>
      </c>
      <c r="F260" s="72">
        <v>4.0</v>
      </c>
      <c r="G260" s="72">
        <v>4.0</v>
      </c>
      <c r="H260" s="72">
        <v>5.0</v>
      </c>
      <c r="I260" s="72">
        <v>4.0</v>
      </c>
      <c r="J260" s="72">
        <v>4.0</v>
      </c>
      <c r="K260" s="72">
        <v>5.0</v>
      </c>
      <c r="L260" s="72">
        <v>3.0</v>
      </c>
      <c r="M260" s="72">
        <v>4.0</v>
      </c>
      <c r="N260" s="72">
        <v>3.0</v>
      </c>
      <c r="O260" s="73"/>
      <c r="P260" s="35">
        <f>IFERROR(__xludf.DUMMYFUNCTION("""COMPUTED_VALUE"""),2254.0)</f>
        <v>2254</v>
      </c>
      <c r="Q260" s="35" t="str">
        <f>IFERROR(__xludf.DUMMYFUNCTION("query(C260:N1253,""Select D,E,F,G,H,I,J,K,L,M WHERE ""&amp;P260&amp;"" =C Limit 1"")"),"Land Survey Technicians")</f>
        <v>Land Survey Technicians</v>
      </c>
      <c r="R260" s="35" t="str">
        <f>IFERROR(__xludf.DUMMYFUNCTION("""COMPUTED_VALUE"""),"Land survey technologists and technicians")</f>
        <v>Land survey technologists and technicians</v>
      </c>
      <c r="S260" s="35">
        <f>IFERROR(__xludf.DUMMYFUNCTION("""COMPUTED_VALUE"""),3.0)</f>
        <v>3</v>
      </c>
      <c r="T260" s="35">
        <f>IFERROR(__xludf.DUMMYFUNCTION("""COMPUTED_VALUE"""),3.0)</f>
        <v>3</v>
      </c>
      <c r="U260" s="35">
        <f>IFERROR(__xludf.DUMMYFUNCTION("""COMPUTED_VALUE"""),3.0)</f>
        <v>3</v>
      </c>
      <c r="V260" s="35">
        <f>IFERROR(__xludf.DUMMYFUNCTION("""COMPUTED_VALUE"""),3.0)</f>
        <v>3</v>
      </c>
      <c r="W260" s="35">
        <f>IFERROR(__xludf.DUMMYFUNCTION("""COMPUTED_VALUE"""),3.0)</f>
        <v>3</v>
      </c>
      <c r="X260" s="35">
        <f>IFERROR(__xludf.DUMMYFUNCTION("""COMPUTED_VALUE"""),3.0)</f>
        <v>3</v>
      </c>
      <c r="Y260" s="35">
        <f>IFERROR(__xludf.DUMMYFUNCTION("""COMPUTED_VALUE"""),3.0)</f>
        <v>3</v>
      </c>
      <c r="Z260" s="35">
        <f>IFERROR(__xludf.DUMMYFUNCTION("""COMPUTED_VALUE"""),3.0)</f>
        <v>3</v>
      </c>
    </row>
    <row r="261" ht="15.75" customHeight="1">
      <c r="C261" s="81">
        <v>6533.0</v>
      </c>
      <c r="D261" s="70" t="s">
        <v>412</v>
      </c>
      <c r="E261" s="71" t="str">
        <f>vlookup(C261,'NOC-List'!B$2:C$502,2,False)</f>
        <v>Casino occupations</v>
      </c>
      <c r="F261" s="72">
        <v>3.0</v>
      </c>
      <c r="G261" s="72">
        <v>3.0</v>
      </c>
      <c r="H261" s="72">
        <v>3.0</v>
      </c>
      <c r="I261" s="72">
        <v>4.0</v>
      </c>
      <c r="J261" s="72">
        <v>4.0</v>
      </c>
      <c r="K261" s="72">
        <v>4.0</v>
      </c>
      <c r="L261" s="72">
        <v>4.0</v>
      </c>
      <c r="M261" s="72">
        <v>4.0</v>
      </c>
      <c r="N261" s="72">
        <v>3.0</v>
      </c>
      <c r="O261" s="73"/>
      <c r="P261" s="35">
        <f>IFERROR(__xludf.DUMMYFUNCTION("""COMPUTED_VALUE"""),1251.0)</f>
        <v>1251</v>
      </c>
      <c r="Q261" s="35" t="str">
        <f>IFERROR(__xludf.DUMMYFUNCTION("query(C261:N1254,""Select D,E,F,G,H,I,J,K,L,M WHERE ""&amp;P261&amp;"" =C Limit 1"")"),"Medical Transcriptionists")</f>
        <v>Medical Transcriptionists</v>
      </c>
      <c r="R261" s="35" t="str">
        <f>IFERROR(__xludf.DUMMYFUNCTION("""COMPUTED_VALUE"""),"Court reporters, medical transcriptionists and related occupations")</f>
        <v>Court reporters, medical transcriptionists and related occupations</v>
      </c>
      <c r="S261" s="35">
        <f>IFERROR(__xludf.DUMMYFUNCTION("""COMPUTED_VALUE"""),3.0)</f>
        <v>3</v>
      </c>
      <c r="T261" s="35">
        <f>IFERROR(__xludf.DUMMYFUNCTION("""COMPUTED_VALUE"""),3.0)</f>
        <v>3</v>
      </c>
      <c r="U261" s="35">
        <f>IFERROR(__xludf.DUMMYFUNCTION("""COMPUTED_VALUE"""),4.0)</f>
        <v>4</v>
      </c>
      <c r="V261" s="35">
        <f>IFERROR(__xludf.DUMMYFUNCTION("""COMPUTED_VALUE"""),4.0)</f>
        <v>4</v>
      </c>
      <c r="W261" s="35">
        <f>IFERROR(__xludf.DUMMYFUNCTION("""COMPUTED_VALUE"""),3.0)</f>
        <v>3</v>
      </c>
      <c r="X261" s="35">
        <f>IFERROR(__xludf.DUMMYFUNCTION("""COMPUTED_VALUE"""),3.0)</f>
        <v>3</v>
      </c>
      <c r="Y261" s="35">
        <f>IFERROR(__xludf.DUMMYFUNCTION("""COMPUTED_VALUE"""),3.0)</f>
        <v>3</v>
      </c>
      <c r="Z261" s="35">
        <f>IFERROR(__xludf.DUMMYFUNCTION("""COMPUTED_VALUE"""),3.0)</f>
        <v>3</v>
      </c>
    </row>
    <row r="262" ht="15.75" customHeight="1">
      <c r="C262" s="34">
        <v>4423.0</v>
      </c>
      <c r="D262" s="70" t="s">
        <v>413</v>
      </c>
      <c r="E262" s="71" t="str">
        <f>vlookup(C262,'NOC-List'!B$2:C$502,2,False)</f>
        <v>By-law enforcement and other regulatory officers, n.e.c.</v>
      </c>
      <c r="F262" s="72">
        <v>3.0</v>
      </c>
      <c r="G262" s="72">
        <v>3.0</v>
      </c>
      <c r="H262" s="72">
        <v>4.0</v>
      </c>
      <c r="I262" s="72">
        <v>4.0</v>
      </c>
      <c r="J262" s="72">
        <v>4.0</v>
      </c>
      <c r="K262" s="72">
        <v>4.0</v>
      </c>
      <c r="L262" s="72">
        <v>4.0</v>
      </c>
      <c r="M262" s="72">
        <v>4.0</v>
      </c>
      <c r="N262" s="72">
        <v>4.0</v>
      </c>
      <c r="O262" s="73"/>
      <c r="P262" s="35">
        <f>IFERROR(__xludf.DUMMYFUNCTION("""COMPUTED_VALUE"""),8252.0)</f>
        <v>8252</v>
      </c>
      <c r="Q262" s="35" t="str">
        <f>IFERROR(__xludf.DUMMYFUNCTION("query(C262:N1255,""Select D,E,F,G,H,I,J,K,L,M WHERE ""&amp;P262&amp;"" =C Limit 1"")"),"Farm Supervisors")</f>
        <v>Farm Supervisors</v>
      </c>
      <c r="R262" s="35" t="str">
        <f>IFERROR(__xludf.DUMMYFUNCTION("""COMPUTED_VALUE"""),"Agricultural service contractors, farm supervisors and specialized livestock workers")</f>
        <v>Agricultural service contractors, farm supervisors and specialized livestock workers</v>
      </c>
      <c r="S262" s="35">
        <f>IFERROR(__xludf.DUMMYFUNCTION("""COMPUTED_VALUE"""),3.0)</f>
        <v>3</v>
      </c>
      <c r="T262" s="35">
        <f>IFERROR(__xludf.DUMMYFUNCTION("""COMPUTED_VALUE"""),4.0)</f>
        <v>4</v>
      </c>
      <c r="U262" s="35">
        <f>IFERROR(__xludf.DUMMYFUNCTION("""COMPUTED_VALUE"""),4.0)</f>
        <v>4</v>
      </c>
      <c r="V262" s="35">
        <f>IFERROR(__xludf.DUMMYFUNCTION("""COMPUTED_VALUE"""),4.0)</f>
        <v>4</v>
      </c>
      <c r="W262" s="35">
        <f>IFERROR(__xludf.DUMMYFUNCTION("""COMPUTED_VALUE"""),3.0)</f>
        <v>3</v>
      </c>
      <c r="X262" s="35">
        <f>IFERROR(__xludf.DUMMYFUNCTION("""COMPUTED_VALUE"""),4.0)</f>
        <v>4</v>
      </c>
      <c r="Y262" s="35">
        <f>IFERROR(__xludf.DUMMYFUNCTION("""COMPUTED_VALUE"""),3.0)</f>
        <v>3</v>
      </c>
      <c r="Z262" s="35">
        <f>IFERROR(__xludf.DUMMYFUNCTION("""COMPUTED_VALUE"""),3.0)</f>
        <v>3</v>
      </c>
    </row>
    <row r="263" ht="15.75" customHeight="1">
      <c r="C263" s="34">
        <v>2144.0</v>
      </c>
      <c r="D263" s="70" t="s">
        <v>414</v>
      </c>
      <c r="E263" s="71" t="str">
        <f>vlookup(C263,'NOC-List'!B$2:C$502,2,False)</f>
        <v>Geological engineers</v>
      </c>
      <c r="F263" s="72">
        <v>1.0</v>
      </c>
      <c r="G263" s="72">
        <v>2.0</v>
      </c>
      <c r="H263" s="72">
        <v>1.0</v>
      </c>
      <c r="I263" s="72">
        <v>2.0</v>
      </c>
      <c r="J263" s="72">
        <v>3.0</v>
      </c>
      <c r="K263" s="72">
        <v>3.0</v>
      </c>
      <c r="L263" s="72">
        <v>4.0</v>
      </c>
      <c r="M263" s="72">
        <v>4.0</v>
      </c>
      <c r="N263" s="72">
        <v>4.0</v>
      </c>
      <c r="O263" s="73"/>
      <c r="P263" s="35">
        <f>IFERROR(__xludf.DUMMYFUNCTION("""COMPUTED_VALUE"""),3124.0)</f>
        <v>3124</v>
      </c>
      <c r="Q263" s="35" t="str">
        <f>IFERROR(__xludf.DUMMYFUNCTION("query(C263:N1256,""Select D,E,F,G,H,I,J,K,L,M WHERE ""&amp;P263&amp;"" =C Limit 1"")"),"Midwives")</f>
        <v>Midwives</v>
      </c>
      <c r="R263" s="35" t="str">
        <f>IFERROR(__xludf.DUMMYFUNCTION("""COMPUTED_VALUE"""),"Allied primary health practitioners")</f>
        <v>Allied primary health practitioners</v>
      </c>
      <c r="S263" s="35">
        <f>IFERROR(__xludf.DUMMYFUNCTION("""COMPUTED_VALUE"""),2.0)</f>
        <v>2</v>
      </c>
      <c r="T263" s="35">
        <f>IFERROR(__xludf.DUMMYFUNCTION("""COMPUTED_VALUE"""),2.0)</f>
        <v>2</v>
      </c>
      <c r="U263" s="35">
        <f>IFERROR(__xludf.DUMMYFUNCTION("""COMPUTED_VALUE"""),3.0)</f>
        <v>3</v>
      </c>
      <c r="V263" s="35">
        <f>IFERROR(__xludf.DUMMYFUNCTION("""COMPUTED_VALUE"""),3.0)</f>
        <v>3</v>
      </c>
      <c r="W263" s="35">
        <f>IFERROR(__xludf.DUMMYFUNCTION("""COMPUTED_VALUE"""),3.0)</f>
        <v>3</v>
      </c>
      <c r="X263" s="35">
        <f>IFERROR(__xludf.DUMMYFUNCTION("""COMPUTED_VALUE"""),4.0)</f>
        <v>4</v>
      </c>
      <c r="Y263" s="35">
        <f>IFERROR(__xludf.DUMMYFUNCTION("""COMPUTED_VALUE"""),2.0)</f>
        <v>2</v>
      </c>
      <c r="Z263" s="35">
        <f>IFERROR(__xludf.DUMMYFUNCTION("""COMPUTED_VALUE"""),2.0)</f>
        <v>2</v>
      </c>
    </row>
    <row r="264" ht="15.75" customHeight="1">
      <c r="C264" s="34">
        <v>2113.0</v>
      </c>
      <c r="D264" s="70" t="s">
        <v>415</v>
      </c>
      <c r="E264" s="71" t="str">
        <f>vlookup(C264,'NOC-List'!B$2:C$502,2,False)</f>
        <v>Geoscientists and oceanographers</v>
      </c>
      <c r="F264" s="72">
        <v>1.0</v>
      </c>
      <c r="G264" s="72">
        <v>1.0</v>
      </c>
      <c r="H264" s="72">
        <v>1.0</v>
      </c>
      <c r="I264" s="72">
        <v>2.0</v>
      </c>
      <c r="J264" s="72">
        <v>2.0</v>
      </c>
      <c r="K264" s="72">
        <v>3.0</v>
      </c>
      <c r="L264" s="72">
        <v>3.0</v>
      </c>
      <c r="M264" s="72">
        <v>4.0</v>
      </c>
      <c r="N264" s="72">
        <v>3.0</v>
      </c>
      <c r="O264" s="73"/>
      <c r="P264" s="35">
        <f>IFERROR(__xludf.DUMMYFUNCTION("""COMPUTED_VALUE"""),4313.0)</f>
        <v>4313</v>
      </c>
      <c r="Q264" s="35" t="str">
        <f>IFERROR(__xludf.DUMMYFUNCTION("query(C264:N1257,""Select D,E,F,G,H,I,J,K,L,M WHERE ""&amp;P264&amp;"" =C Limit 1"")"),"Occupations Unique to the Armed Forces")</f>
        <v>Occupations Unique to the Armed Forces</v>
      </c>
      <c r="R264" s="35" t="str">
        <f>IFERROR(__xludf.DUMMYFUNCTION("""COMPUTED_VALUE"""),"Non-commissioned ranks of the Canadian Forces")</f>
        <v>Non-commissioned ranks of the Canadian Forces</v>
      </c>
      <c r="S264" s="35">
        <f>IFERROR(__xludf.DUMMYFUNCTION("""COMPUTED_VALUE"""),3.0)</f>
        <v>3</v>
      </c>
      <c r="T264" s="35">
        <f>IFERROR(__xludf.DUMMYFUNCTION("""COMPUTED_VALUE"""),3.0)</f>
        <v>3</v>
      </c>
      <c r="U264" s="35">
        <f>IFERROR(__xludf.DUMMYFUNCTION("""COMPUTED_VALUE"""),4.0)</f>
        <v>4</v>
      </c>
      <c r="V264" s="35">
        <f>IFERROR(__xludf.DUMMYFUNCTION("""COMPUTED_VALUE"""),3.0)</f>
        <v>3</v>
      </c>
      <c r="W264" s="35">
        <f>IFERROR(__xludf.DUMMYFUNCTION("""COMPUTED_VALUE"""),3.0)</f>
        <v>3</v>
      </c>
      <c r="X264" s="35">
        <f>IFERROR(__xludf.DUMMYFUNCTION("""COMPUTED_VALUE"""),4.0)</f>
        <v>4</v>
      </c>
      <c r="Y264" s="35">
        <f>IFERROR(__xludf.DUMMYFUNCTION("""COMPUTED_VALUE"""),3.0)</f>
        <v>3</v>
      </c>
      <c r="Z264" s="35">
        <f>IFERROR(__xludf.DUMMYFUNCTION("""COMPUTED_VALUE"""),3.0)</f>
        <v>3</v>
      </c>
    </row>
    <row r="265" ht="15.75" customHeight="1">
      <c r="C265" s="34">
        <v>6221.0</v>
      </c>
      <c r="D265" s="70" t="s">
        <v>416</v>
      </c>
      <c r="E265" s="71" t="str">
        <f>vlookup(C265,'NOC-List'!B$2:C$502,2,False)</f>
        <v>Technical sales specialists - wholesale trade</v>
      </c>
      <c r="F265" s="72">
        <v>3.0</v>
      </c>
      <c r="G265" s="72">
        <v>3.0</v>
      </c>
      <c r="H265" s="72">
        <v>3.0</v>
      </c>
      <c r="I265" s="72">
        <v>4.0</v>
      </c>
      <c r="J265" s="72">
        <v>4.0</v>
      </c>
      <c r="K265" s="72">
        <v>3.0</v>
      </c>
      <c r="L265" s="72">
        <v>4.0</v>
      </c>
      <c r="M265" s="72">
        <v>4.0</v>
      </c>
      <c r="N265" s="72">
        <v>4.0</v>
      </c>
      <c r="O265" s="73"/>
      <c r="P265" s="35">
        <f>IFERROR(__xludf.DUMMYFUNCTION("""COMPUTED_VALUE"""),5245.0)</f>
        <v>5245</v>
      </c>
      <c r="Q265" s="35" t="str">
        <f>IFERROR(__xludf.DUMMYFUNCTION("query(C265:N1258,""Select D,E,F,G,H,I,J,K,L,M WHERE ""&amp;P265&amp;"" =C Limit 1"")"),"Patternmakers  Textile, Leather and Fur Products")</f>
        <v>Patternmakers _x0013_ Textile, Leather and Fur Products</v>
      </c>
      <c r="R265" s="35" t="str">
        <f>IFERROR(__xludf.DUMMYFUNCTION("""COMPUTED_VALUE"""),"Patternmakers - textile, leather and fur products")</f>
        <v>Patternmakers - textile, leather and fur products</v>
      </c>
      <c r="S265" s="35">
        <f>IFERROR(__xludf.DUMMYFUNCTION("""COMPUTED_VALUE"""),3.0)</f>
        <v>3</v>
      </c>
      <c r="T265" s="35">
        <f>IFERROR(__xludf.DUMMYFUNCTION("""COMPUTED_VALUE"""),3.0)</f>
        <v>3</v>
      </c>
      <c r="U265" s="35">
        <f>IFERROR(__xludf.DUMMYFUNCTION("""COMPUTED_VALUE"""),3.0)</f>
        <v>3</v>
      </c>
      <c r="V265" s="35">
        <f>IFERROR(__xludf.DUMMYFUNCTION("""COMPUTED_VALUE"""),2.0)</f>
        <v>2</v>
      </c>
      <c r="W265" s="35">
        <f>IFERROR(__xludf.DUMMYFUNCTION("""COMPUTED_VALUE"""),2.0)</f>
        <v>2</v>
      </c>
      <c r="X265" s="35">
        <f>IFERROR(__xludf.DUMMYFUNCTION("""COMPUTED_VALUE"""),4.0)</f>
        <v>4</v>
      </c>
      <c r="Y265" s="35">
        <f>IFERROR(__xludf.DUMMYFUNCTION("""COMPUTED_VALUE"""),2.0)</f>
        <v>2</v>
      </c>
      <c r="Z265" s="35">
        <f>IFERROR(__xludf.DUMMYFUNCTION("""COMPUTED_VALUE"""),2.0)</f>
        <v>2</v>
      </c>
    </row>
    <row r="266" ht="15.75" customHeight="1">
      <c r="C266" s="34">
        <v>4165.0</v>
      </c>
      <c r="D266" s="70" t="s">
        <v>417</v>
      </c>
      <c r="E266" s="71" t="str">
        <f>vlookup(C266,'NOC-List'!B$2:C$502,2,False)</f>
        <v>Health policy researchers, consultants and program officers</v>
      </c>
      <c r="F266" s="72">
        <v>2.0</v>
      </c>
      <c r="G266" s="72">
        <v>2.0</v>
      </c>
      <c r="H266" s="72">
        <v>2.0</v>
      </c>
      <c r="I266" s="72">
        <v>3.0</v>
      </c>
      <c r="J266" s="72">
        <v>3.0</v>
      </c>
      <c r="K266" s="72">
        <v>2.0</v>
      </c>
      <c r="L266" s="72">
        <v>4.0</v>
      </c>
      <c r="M266" s="72">
        <v>4.0</v>
      </c>
      <c r="N266" s="72">
        <v>4.0</v>
      </c>
      <c r="O266" s="73"/>
      <c r="P266" s="35">
        <f>IFERROR(__xludf.DUMMYFUNCTION("""COMPUTED_VALUE"""),7236.0)</f>
        <v>7236</v>
      </c>
      <c r="Q266" s="35" t="str">
        <f>IFERROR(__xludf.DUMMYFUNCTION("query(C266:N1259,""Select D,E,F,G,H,I,J,K,L,M WHERE ""&amp;P266&amp;"" =C Limit 1"")"),"Ironworkers")</f>
        <v>Ironworkers</v>
      </c>
      <c r="R266" s="35" t="str">
        <f>IFERROR(__xludf.DUMMYFUNCTION("""COMPUTED_VALUE"""),"Ironworkers")</f>
        <v>Ironworkers</v>
      </c>
      <c r="S266" s="35">
        <f>IFERROR(__xludf.DUMMYFUNCTION("""COMPUTED_VALUE"""),3.0)</f>
        <v>3</v>
      </c>
      <c r="T266" s="35">
        <f>IFERROR(__xludf.DUMMYFUNCTION("""COMPUTED_VALUE"""),4.0)</f>
        <v>4</v>
      </c>
      <c r="U266" s="35">
        <f>IFERROR(__xludf.DUMMYFUNCTION("""COMPUTED_VALUE"""),4.0)</f>
        <v>4</v>
      </c>
      <c r="V266" s="35">
        <f>IFERROR(__xludf.DUMMYFUNCTION("""COMPUTED_VALUE"""),2.0)</f>
        <v>2</v>
      </c>
      <c r="W266" s="35">
        <f>IFERROR(__xludf.DUMMYFUNCTION("""COMPUTED_VALUE"""),3.0)</f>
        <v>3</v>
      </c>
      <c r="X266" s="35">
        <f>IFERROR(__xludf.DUMMYFUNCTION("""COMPUTED_VALUE"""),5.0)</f>
        <v>5</v>
      </c>
      <c r="Y266" s="35">
        <f>IFERROR(__xludf.DUMMYFUNCTION("""COMPUTED_VALUE"""),3.0)</f>
        <v>3</v>
      </c>
      <c r="Z266" s="35">
        <f>IFERROR(__xludf.DUMMYFUNCTION("""COMPUTED_VALUE"""),4.0)</f>
        <v>4</v>
      </c>
    </row>
    <row r="267" ht="15.75" customHeight="1">
      <c r="C267" s="34">
        <v>6525.0</v>
      </c>
      <c r="D267" s="70" t="s">
        <v>418</v>
      </c>
      <c r="E267" s="71" t="str">
        <f>vlookup(C267,'NOC-List'!B$2:C$502,2,False)</f>
        <v>Hotel front desk clerks</v>
      </c>
      <c r="F267" s="72">
        <v>3.0</v>
      </c>
      <c r="G267" s="72">
        <v>3.0</v>
      </c>
      <c r="H267" s="72">
        <v>3.0</v>
      </c>
      <c r="I267" s="72">
        <v>4.0</v>
      </c>
      <c r="J267" s="72">
        <v>4.0</v>
      </c>
      <c r="K267" s="72">
        <v>3.0</v>
      </c>
      <c r="L267" s="72">
        <v>4.0</v>
      </c>
      <c r="M267" s="72">
        <v>4.0</v>
      </c>
      <c r="N267" s="72">
        <v>4.0</v>
      </c>
      <c r="O267" s="73"/>
      <c r="P267" s="35">
        <f>IFERROR(__xludf.DUMMYFUNCTION("""COMPUTED_VALUE"""),5254.0)</f>
        <v>5254</v>
      </c>
      <c r="Q267" s="35" t="str">
        <f>IFERROR(__xludf.DUMMYFUNCTION("query(C267:N1260,""Select D,E,F,G,H,I,J,K,L,M WHERE ""&amp;P267&amp;"" =C Limit 1"")"),"Program Leaders and Instructors in Recreation and Sport")</f>
        <v>Program Leaders and Instructors in Recreation and Sport</v>
      </c>
      <c r="R267" s="35" t="str">
        <f>IFERROR(__xludf.DUMMYFUNCTION("""COMPUTED_VALUE"""),"Program leaders and instructors in recreation, sport and fitness")</f>
        <v>Program leaders and instructors in recreation, sport and fitness</v>
      </c>
      <c r="S267" s="35">
        <f>IFERROR(__xludf.DUMMYFUNCTION("""COMPUTED_VALUE"""),3.0)</f>
        <v>3</v>
      </c>
      <c r="T267" s="35">
        <f>IFERROR(__xludf.DUMMYFUNCTION("""COMPUTED_VALUE"""),3.0)</f>
        <v>3</v>
      </c>
      <c r="U267" s="35">
        <f>IFERROR(__xludf.DUMMYFUNCTION("""COMPUTED_VALUE"""),4.0)</f>
        <v>4</v>
      </c>
      <c r="V267" s="35">
        <f>IFERROR(__xludf.DUMMYFUNCTION("""COMPUTED_VALUE"""),3.0)</f>
        <v>3</v>
      </c>
      <c r="W267" s="35">
        <f>IFERROR(__xludf.DUMMYFUNCTION("""COMPUTED_VALUE"""),3.0)</f>
        <v>3</v>
      </c>
      <c r="X267" s="35">
        <f>IFERROR(__xludf.DUMMYFUNCTION("""COMPUTED_VALUE"""),4.0)</f>
        <v>4</v>
      </c>
      <c r="Y267" s="35">
        <f>IFERROR(__xludf.DUMMYFUNCTION("""COMPUTED_VALUE"""),3.0)</f>
        <v>3</v>
      </c>
      <c r="Z267" s="35">
        <f>IFERROR(__xludf.DUMMYFUNCTION("""COMPUTED_VALUE"""),3.0)</f>
        <v>3</v>
      </c>
    </row>
    <row r="268" ht="15.75" customHeight="1">
      <c r="C268" s="34">
        <v>4164.0</v>
      </c>
      <c r="D268" s="70" t="s">
        <v>419</v>
      </c>
      <c r="E268" s="71" t="str">
        <f>vlookup(C268,'NOC-List'!B$2:C$502,2,False)</f>
        <v>Social policy researchers, consultants and program officers</v>
      </c>
      <c r="F268" s="72">
        <v>2.0</v>
      </c>
      <c r="G268" s="72">
        <v>2.0</v>
      </c>
      <c r="H268" s="72">
        <v>3.0</v>
      </c>
      <c r="I268" s="72">
        <v>4.0</v>
      </c>
      <c r="J268" s="72">
        <v>4.0</v>
      </c>
      <c r="K268" s="72">
        <v>3.0</v>
      </c>
      <c r="L268" s="72">
        <v>4.0</v>
      </c>
      <c r="M268" s="72">
        <v>4.0</v>
      </c>
      <c r="N268" s="72">
        <v>4.0</v>
      </c>
      <c r="O268" s="73"/>
      <c r="P268" s="35">
        <f>IFERROR(__xludf.DUMMYFUNCTION("""COMPUTED_VALUE"""),9416.0)</f>
        <v>9416</v>
      </c>
      <c r="Q268" s="35" t="str">
        <f>IFERROR(__xludf.DUMMYFUNCTION("query(C268:N1261,""Select D,E,F,G,H,I,J,K,L,M WHERE ""&amp;P268&amp;"" =C Limit 1"")"),"Metalworking Machine Operators")</f>
        <v>Metalworking Machine Operators</v>
      </c>
      <c r="R268" s="35" t="str">
        <f>IFERROR(__xludf.DUMMYFUNCTION("""COMPUTED_VALUE"""),"Metalworking and forging machine operators")</f>
        <v>Metalworking and forging machine operators</v>
      </c>
      <c r="S268" s="35">
        <f>IFERROR(__xludf.DUMMYFUNCTION("""COMPUTED_VALUE"""),3.0)</f>
        <v>3</v>
      </c>
      <c r="T268" s="35">
        <f>IFERROR(__xludf.DUMMYFUNCTION("""COMPUTED_VALUE"""),4.0)</f>
        <v>4</v>
      </c>
      <c r="U268" s="35">
        <f>IFERROR(__xludf.DUMMYFUNCTION("""COMPUTED_VALUE"""),4.0)</f>
        <v>4</v>
      </c>
      <c r="V268" s="35">
        <f>IFERROR(__xludf.DUMMYFUNCTION("""COMPUTED_VALUE"""),3.0)</f>
        <v>3</v>
      </c>
      <c r="W268" s="35">
        <f>IFERROR(__xludf.DUMMYFUNCTION("""COMPUTED_VALUE"""),3.0)</f>
        <v>3</v>
      </c>
      <c r="X268" s="35">
        <f>IFERROR(__xludf.DUMMYFUNCTION("""COMPUTED_VALUE"""),4.0)</f>
        <v>4</v>
      </c>
      <c r="Y268" s="35">
        <f>IFERROR(__xludf.DUMMYFUNCTION("""COMPUTED_VALUE"""),3.0)</f>
        <v>3</v>
      </c>
      <c r="Z268" s="35">
        <f>IFERROR(__xludf.DUMMYFUNCTION("""COMPUTED_VALUE"""),4.0)</f>
        <v>4</v>
      </c>
    </row>
    <row r="269" ht="15.75" customHeight="1">
      <c r="C269" s="34">
        <v>8442.0</v>
      </c>
      <c r="D269" s="70" t="s">
        <v>420</v>
      </c>
      <c r="E269" s="71" t="str">
        <f>vlookup(C269,'NOC-List'!B$2:C$502,2,False)</f>
        <v>Trappers and hunters</v>
      </c>
      <c r="F269" s="72">
        <v>4.0</v>
      </c>
      <c r="G269" s="72">
        <v>4.0</v>
      </c>
      <c r="H269" s="72">
        <v>5.0</v>
      </c>
      <c r="I269" s="72">
        <v>4.0</v>
      </c>
      <c r="J269" s="72">
        <v>4.0</v>
      </c>
      <c r="K269" s="72">
        <v>5.0</v>
      </c>
      <c r="L269" s="72">
        <v>3.0</v>
      </c>
      <c r="M269" s="72">
        <v>4.0</v>
      </c>
      <c r="N269" s="72">
        <v>3.0</v>
      </c>
      <c r="O269" s="73"/>
      <c r="P269" s="35">
        <f>IFERROR(__xludf.DUMMYFUNCTION("""COMPUTED_VALUE"""),7251.0)</f>
        <v>7251</v>
      </c>
      <c r="Q269" s="35" t="str">
        <f>IFERROR(__xludf.DUMMYFUNCTION("query(C269:N1262,""Select D,E,F,G,H,I,J,K,L,M WHERE ""&amp;P269&amp;"" =C Limit 1"")"),"Plumbers")</f>
        <v>Plumbers</v>
      </c>
      <c r="R269" s="35" t="str">
        <f>IFERROR(__xludf.DUMMYFUNCTION("""COMPUTED_VALUE"""),"Plumbers")</f>
        <v>Plumbers</v>
      </c>
      <c r="S269" s="35">
        <f>IFERROR(__xludf.DUMMYFUNCTION("""COMPUTED_VALUE"""),3.0)</f>
        <v>3</v>
      </c>
      <c r="T269" s="35">
        <f>IFERROR(__xludf.DUMMYFUNCTION("""COMPUTED_VALUE"""),4.0)</f>
        <v>4</v>
      </c>
      <c r="U269" s="35">
        <f>IFERROR(__xludf.DUMMYFUNCTION("""COMPUTED_VALUE"""),3.0)</f>
        <v>3</v>
      </c>
      <c r="V269" s="35">
        <f>IFERROR(__xludf.DUMMYFUNCTION("""COMPUTED_VALUE"""),3.0)</f>
        <v>3</v>
      </c>
      <c r="W269" s="35">
        <f>IFERROR(__xludf.DUMMYFUNCTION("""COMPUTED_VALUE"""),3.0)</f>
        <v>3</v>
      </c>
      <c r="X269" s="35">
        <f>IFERROR(__xludf.DUMMYFUNCTION("""COMPUTED_VALUE"""),4.0)</f>
        <v>4</v>
      </c>
      <c r="Y269" s="35">
        <f>IFERROR(__xludf.DUMMYFUNCTION("""COMPUTED_VALUE"""),3.0)</f>
        <v>3</v>
      </c>
      <c r="Z269" s="35">
        <f>IFERROR(__xludf.DUMMYFUNCTION("""COMPUTED_VALUE"""),3.0)</f>
        <v>3</v>
      </c>
    </row>
    <row r="270" ht="15.75" customHeight="1">
      <c r="C270" s="34">
        <v>6552.0</v>
      </c>
      <c r="D270" s="70" t="s">
        <v>421</v>
      </c>
      <c r="E270" s="71" t="str">
        <f>vlookup(C270,'NOC-List'!B$2:C$502,2,False)</f>
        <v>Other customer and information services representatives</v>
      </c>
      <c r="F270" s="72">
        <v>3.0</v>
      </c>
      <c r="G270" s="72">
        <v>3.0</v>
      </c>
      <c r="H270" s="72">
        <v>3.0</v>
      </c>
      <c r="I270" s="72">
        <v>4.0</v>
      </c>
      <c r="J270" s="72">
        <v>4.0</v>
      </c>
      <c r="K270" s="72">
        <v>3.0</v>
      </c>
      <c r="L270" s="72">
        <v>4.0</v>
      </c>
      <c r="M270" s="72">
        <v>4.0</v>
      </c>
      <c r="N270" s="72">
        <v>4.0</v>
      </c>
      <c r="O270" s="73"/>
      <c r="P270" s="35">
        <f>IFERROR(__xludf.DUMMYFUNCTION("""COMPUTED_VALUE"""),7441.0)</f>
        <v>7441</v>
      </c>
      <c r="Q270" s="35" t="str">
        <f>IFERROR(__xludf.DUMMYFUNCTION("query(C270:N1263,""Select D,E,F,G,H,I,J,K,L,M WHERE ""&amp;P270&amp;"" =C Limit 1"")"),"Residential and Commercial Installers and Servicers")</f>
        <v>Residential and Commercial Installers and Servicers</v>
      </c>
      <c r="R270" s="35" t="str">
        <f>IFERROR(__xludf.DUMMYFUNCTION("""COMPUTED_VALUE"""),"Residential and commercial installers and servicers")</f>
        <v>Residential and commercial installers and servicers</v>
      </c>
      <c r="S270" s="35">
        <f>IFERROR(__xludf.DUMMYFUNCTION("""COMPUTED_VALUE"""),3.0)</f>
        <v>3</v>
      </c>
      <c r="T270" s="35">
        <f>IFERROR(__xludf.DUMMYFUNCTION("""COMPUTED_VALUE"""),4.0)</f>
        <v>4</v>
      </c>
      <c r="U270" s="35">
        <f>IFERROR(__xludf.DUMMYFUNCTION("""COMPUTED_VALUE"""),4.0)</f>
        <v>4</v>
      </c>
      <c r="V270" s="35">
        <f>IFERROR(__xludf.DUMMYFUNCTION("""COMPUTED_VALUE"""),3.0)</f>
        <v>3</v>
      </c>
      <c r="W270" s="35">
        <f>IFERROR(__xludf.DUMMYFUNCTION("""COMPUTED_VALUE"""),3.0)</f>
        <v>3</v>
      </c>
      <c r="X270" s="35">
        <f>IFERROR(__xludf.DUMMYFUNCTION("""COMPUTED_VALUE"""),4.0)</f>
        <v>4</v>
      </c>
      <c r="Y270" s="35">
        <f>IFERROR(__xludf.DUMMYFUNCTION("""COMPUTED_VALUE"""),3.0)</f>
        <v>3</v>
      </c>
      <c r="Z270" s="35">
        <f>IFERROR(__xludf.DUMMYFUNCTION("""COMPUTED_VALUE"""),4.0)</f>
        <v>4</v>
      </c>
    </row>
    <row r="271" ht="15.75" customHeight="1">
      <c r="C271" s="81">
        <v>2171.0</v>
      </c>
      <c r="D271" s="70" t="s">
        <v>422</v>
      </c>
      <c r="E271" s="71" t="str">
        <f>vlookup(C271,'NOC-List'!B$2:C$502,2,False)</f>
        <v>Information systems analysts and consultants</v>
      </c>
      <c r="F271" s="72">
        <v>1.0</v>
      </c>
      <c r="G271" s="72">
        <v>2.0</v>
      </c>
      <c r="H271" s="72">
        <v>2.0</v>
      </c>
      <c r="I271" s="72">
        <v>2.0</v>
      </c>
      <c r="J271" s="72">
        <v>2.0</v>
      </c>
      <c r="K271" s="72">
        <v>3.0</v>
      </c>
      <c r="L271" s="72">
        <v>4.0</v>
      </c>
      <c r="M271" s="72">
        <v>4.0</v>
      </c>
      <c r="N271" s="72">
        <v>4.0</v>
      </c>
      <c r="O271" s="73"/>
      <c r="P271" s="35">
        <f>IFERROR(__xludf.DUMMYFUNCTION("""COMPUTED_VALUE"""),7246.0)</f>
        <v>7246</v>
      </c>
      <c r="Q271" s="35" t="str">
        <f>IFERROR(__xludf.DUMMYFUNCTION("query(C271:N1264,""Select D,E,F,G,H,I,J,K,L,M WHERE ""&amp;P271&amp;"" =C Limit 1"")"),"Switch Network Installers and Repairers")</f>
        <v>Switch Network Installers and Repairers</v>
      </c>
      <c r="R271" s="35" t="str">
        <f>IFERROR(__xludf.DUMMYFUNCTION("""COMPUTED_VALUE"""),"Telecommunications installation and repair workers")</f>
        <v>Telecommunications installation and repair workers</v>
      </c>
      <c r="S271" s="35">
        <f>IFERROR(__xludf.DUMMYFUNCTION("""COMPUTED_VALUE"""),3.0)</f>
        <v>3</v>
      </c>
      <c r="T271" s="35">
        <f>IFERROR(__xludf.DUMMYFUNCTION("""COMPUTED_VALUE"""),3.0)</f>
        <v>3</v>
      </c>
      <c r="U271" s="35">
        <f>IFERROR(__xludf.DUMMYFUNCTION("""COMPUTED_VALUE"""),4.0)</f>
        <v>4</v>
      </c>
      <c r="V271" s="35">
        <f>IFERROR(__xludf.DUMMYFUNCTION("""COMPUTED_VALUE"""),3.0)</f>
        <v>3</v>
      </c>
      <c r="W271" s="35">
        <f>IFERROR(__xludf.DUMMYFUNCTION("""COMPUTED_VALUE"""),3.0)</f>
        <v>3</v>
      </c>
      <c r="X271" s="35">
        <f>IFERROR(__xludf.DUMMYFUNCTION("""COMPUTED_VALUE"""),4.0)</f>
        <v>4</v>
      </c>
      <c r="Y271" s="35">
        <f>IFERROR(__xludf.DUMMYFUNCTION("""COMPUTED_VALUE"""),3.0)</f>
        <v>3</v>
      </c>
      <c r="Z271" s="35">
        <f>IFERROR(__xludf.DUMMYFUNCTION("""COMPUTED_VALUE"""),3.0)</f>
        <v>3</v>
      </c>
    </row>
    <row r="272" ht="15.75" customHeight="1">
      <c r="C272" s="34">
        <v>1312.0</v>
      </c>
      <c r="D272" s="70" t="s">
        <v>423</v>
      </c>
      <c r="E272" s="71" t="str">
        <f>vlookup(C272,'NOC-List'!B$2:C$502,2,False)</f>
        <v>Insurance adjusters and claims examiners</v>
      </c>
      <c r="F272" s="72">
        <v>3.0</v>
      </c>
      <c r="G272" s="72">
        <v>3.0</v>
      </c>
      <c r="H272" s="72">
        <v>3.0</v>
      </c>
      <c r="I272" s="72">
        <v>4.0</v>
      </c>
      <c r="J272" s="72">
        <v>4.0</v>
      </c>
      <c r="K272" s="72">
        <v>3.0</v>
      </c>
      <c r="L272" s="72">
        <v>4.0</v>
      </c>
      <c r="M272" s="72">
        <v>4.0</v>
      </c>
      <c r="N272" s="72">
        <v>4.0</v>
      </c>
      <c r="O272" s="73"/>
      <c r="P272" s="35">
        <f>IFERROR(__xludf.DUMMYFUNCTION("""COMPUTED_VALUE"""),6345.0)</f>
        <v>6345</v>
      </c>
      <c r="Q272" s="35" t="str">
        <f>IFERROR(__xludf.DUMMYFUNCTION("query(C272:N1265,""Select D,E,F,G,H,I,J,K,L,M WHERE ""&amp;P272&amp;"" =C Limit 1"")"),"Upholsterers")</f>
        <v>Upholsterers</v>
      </c>
      <c r="R272" s="35" t="str">
        <f>IFERROR(__xludf.DUMMYFUNCTION("""COMPUTED_VALUE"""),"Upholsterers")</f>
        <v>Upholsterers</v>
      </c>
      <c r="S272" s="35">
        <f>IFERROR(__xludf.DUMMYFUNCTION("""COMPUTED_VALUE"""),3.0)</f>
        <v>3</v>
      </c>
      <c r="T272" s="35">
        <f>IFERROR(__xludf.DUMMYFUNCTION("""COMPUTED_VALUE"""),3.0)</f>
        <v>3</v>
      </c>
      <c r="U272" s="35">
        <f>IFERROR(__xludf.DUMMYFUNCTION("""COMPUTED_VALUE"""),3.0)</f>
        <v>3</v>
      </c>
      <c r="V272" s="35">
        <f>IFERROR(__xludf.DUMMYFUNCTION("""COMPUTED_VALUE"""),2.0)</f>
        <v>2</v>
      </c>
      <c r="W272" s="35">
        <f>IFERROR(__xludf.DUMMYFUNCTION("""COMPUTED_VALUE"""),3.0)</f>
        <v>3</v>
      </c>
      <c r="X272" s="35">
        <f>IFERROR(__xludf.DUMMYFUNCTION("""COMPUTED_VALUE"""),4.0)</f>
        <v>4</v>
      </c>
      <c r="Y272" s="35">
        <f>IFERROR(__xludf.DUMMYFUNCTION("""COMPUTED_VALUE"""),3.0)</f>
        <v>3</v>
      </c>
      <c r="Z272" s="35">
        <f>IFERROR(__xludf.DUMMYFUNCTION("""COMPUTED_VALUE"""),3.0)</f>
        <v>3</v>
      </c>
    </row>
    <row r="273" ht="15.75" customHeight="1">
      <c r="C273" s="34">
        <v>6231.0</v>
      </c>
      <c r="D273" s="70" t="s">
        <v>424</v>
      </c>
      <c r="E273" s="71" t="str">
        <f>vlookup(C273,'NOC-List'!B$2:C$502,2,False)</f>
        <v>Insurance agents and brokers</v>
      </c>
      <c r="F273" s="72">
        <v>3.0</v>
      </c>
      <c r="G273" s="72">
        <v>3.0</v>
      </c>
      <c r="H273" s="72">
        <v>3.0</v>
      </c>
      <c r="I273" s="72">
        <v>4.0</v>
      </c>
      <c r="J273" s="72">
        <v>4.0</v>
      </c>
      <c r="K273" s="72">
        <v>3.0</v>
      </c>
      <c r="L273" s="72">
        <v>4.0</v>
      </c>
      <c r="M273" s="72">
        <v>4.0</v>
      </c>
      <c r="N273" s="72">
        <v>4.0</v>
      </c>
      <c r="O273" s="73"/>
      <c r="P273" s="35">
        <f>IFERROR(__xludf.DUMMYFUNCTION("""COMPUTED_VALUE"""),3213.0)</f>
        <v>3213</v>
      </c>
      <c r="Q273" s="35" t="str">
        <f>IFERROR(__xludf.DUMMYFUNCTION("query(C273:N1266,""Select D,E,F,G,H,I,J,K,L,M WHERE ""&amp;P273&amp;"" =C Limit 1"")"),"Veterinary and Animal Health Technologists and Technicians")</f>
        <v>Veterinary and Animal Health Technologists and Technicians</v>
      </c>
      <c r="R273" s="35" t="str">
        <f>IFERROR(__xludf.DUMMYFUNCTION("""COMPUTED_VALUE"""),"Animal health technologists and veterinary technicians")</f>
        <v>Animal health technologists and veterinary technicians</v>
      </c>
      <c r="S273" s="35">
        <f>IFERROR(__xludf.DUMMYFUNCTION("""COMPUTED_VALUE"""),3.0)</f>
        <v>3</v>
      </c>
      <c r="T273" s="35">
        <f>IFERROR(__xludf.DUMMYFUNCTION("""COMPUTED_VALUE"""),3.0)</f>
        <v>3</v>
      </c>
      <c r="U273" s="35">
        <f>IFERROR(__xludf.DUMMYFUNCTION("""COMPUTED_VALUE"""),3.0)</f>
        <v>3</v>
      </c>
      <c r="V273" s="35">
        <f>IFERROR(__xludf.DUMMYFUNCTION("""COMPUTED_VALUE"""),3.0)</f>
        <v>3</v>
      </c>
      <c r="W273" s="35">
        <f>IFERROR(__xludf.DUMMYFUNCTION("""COMPUTED_VALUE"""),3.0)</f>
        <v>3</v>
      </c>
      <c r="X273" s="35">
        <f>IFERROR(__xludf.DUMMYFUNCTION("""COMPUTED_VALUE"""),3.0)</f>
        <v>3</v>
      </c>
      <c r="Y273" s="35">
        <f>IFERROR(__xludf.DUMMYFUNCTION("""COMPUTED_VALUE"""),3.0)</f>
        <v>3</v>
      </c>
      <c r="Z273" s="35">
        <f>IFERROR(__xludf.DUMMYFUNCTION("""COMPUTED_VALUE"""),3.0)</f>
        <v>3</v>
      </c>
    </row>
    <row r="274" ht="15.75" customHeight="1">
      <c r="C274" s="34">
        <v>1312.0</v>
      </c>
      <c r="D274" s="70" t="s">
        <v>425</v>
      </c>
      <c r="E274" s="71" t="str">
        <f>vlookup(C274,'NOC-List'!B$2:C$502,2,False)</f>
        <v>Insurance adjusters and claims examiners</v>
      </c>
      <c r="F274" s="72">
        <v>3.0</v>
      </c>
      <c r="G274" s="72">
        <v>3.0</v>
      </c>
      <c r="H274" s="72">
        <v>3.0</v>
      </c>
      <c r="I274" s="72">
        <v>4.0</v>
      </c>
      <c r="J274" s="72">
        <v>4.0</v>
      </c>
      <c r="K274" s="72">
        <v>3.0</v>
      </c>
      <c r="L274" s="72">
        <v>4.0</v>
      </c>
      <c r="M274" s="72">
        <v>4.0</v>
      </c>
      <c r="N274" s="72">
        <v>4.0</v>
      </c>
      <c r="O274" s="73"/>
      <c r="P274" s="35">
        <f>IFERROR(__xludf.DUMMYFUNCTION("""COMPUTED_VALUE"""),7235.0)</f>
        <v>7235</v>
      </c>
      <c r="Q274" s="35" t="str">
        <f>IFERROR(__xludf.DUMMYFUNCTION("query(C274:N1267,""Select D,E,F,G,H,I,J,K,L,M WHERE ""&amp;P274&amp;"" =C Limit 1"")"),"Structural Metal and Platework Fabricators and Fitters")</f>
        <v>Structural Metal and Platework Fabricators and Fitters</v>
      </c>
      <c r="R274" s="35" t="str">
        <f>IFERROR(__xludf.DUMMYFUNCTION("""COMPUTED_VALUE"""),"Structural metal and platework fabricators and fitters")</f>
        <v>Structural metal and platework fabricators and fitters</v>
      </c>
      <c r="S274" s="35">
        <f>IFERROR(__xludf.DUMMYFUNCTION("""COMPUTED_VALUE"""),3.0)</f>
        <v>3</v>
      </c>
      <c r="T274" s="35">
        <f>IFERROR(__xludf.DUMMYFUNCTION("""COMPUTED_VALUE"""),4.0)</f>
        <v>4</v>
      </c>
      <c r="U274" s="35">
        <f>IFERROR(__xludf.DUMMYFUNCTION("""COMPUTED_VALUE"""),3.0)</f>
        <v>3</v>
      </c>
      <c r="V274" s="35">
        <f>IFERROR(__xludf.DUMMYFUNCTION("""COMPUTED_VALUE"""),3.0)</f>
        <v>3</v>
      </c>
      <c r="W274" s="35">
        <f>IFERROR(__xludf.DUMMYFUNCTION("""COMPUTED_VALUE"""),3.0)</f>
        <v>3</v>
      </c>
      <c r="X274" s="35">
        <f>IFERROR(__xludf.DUMMYFUNCTION("""COMPUTED_VALUE"""),4.0)</f>
        <v>4</v>
      </c>
      <c r="Y274" s="35">
        <f>IFERROR(__xludf.DUMMYFUNCTION("""COMPUTED_VALUE"""),3.0)</f>
        <v>3</v>
      </c>
      <c r="Z274" s="35">
        <f>IFERROR(__xludf.DUMMYFUNCTION("""COMPUTED_VALUE"""),3.0)</f>
        <v>3</v>
      </c>
    </row>
    <row r="275" ht="15.75" customHeight="1">
      <c r="C275" s="34">
        <v>4164.0</v>
      </c>
      <c r="D275" s="70" t="s">
        <v>426</v>
      </c>
      <c r="E275" s="71" t="str">
        <f>vlookup(C275,'NOC-List'!B$2:C$502,2,False)</f>
        <v>Social policy researchers, consultants and program officers</v>
      </c>
      <c r="F275" s="72">
        <v>2.0</v>
      </c>
      <c r="G275" s="72">
        <v>2.0</v>
      </c>
      <c r="H275" s="72">
        <v>3.0</v>
      </c>
      <c r="I275" s="72">
        <v>4.0</v>
      </c>
      <c r="J275" s="72">
        <v>4.0</v>
      </c>
      <c r="K275" s="72">
        <v>3.0</v>
      </c>
      <c r="L275" s="72">
        <v>4.0</v>
      </c>
      <c r="M275" s="72">
        <v>4.0</v>
      </c>
      <c r="N275" s="72">
        <v>4.0</v>
      </c>
      <c r="O275" s="73"/>
      <c r="P275" s="35">
        <f>IFERROR(__xludf.DUMMYFUNCTION("""COMPUTED_VALUE"""),2251.0)</f>
        <v>2251</v>
      </c>
      <c r="Q275" s="35" t="str">
        <f>IFERROR(__xludf.DUMMYFUNCTION("query(C275:N1268,""Select D,E,F,G,H,I,J,K,L,M WHERE ""&amp;P275&amp;"" =C Limit 1"")"),"Architectural Technologists and Technicians")</f>
        <v>Architectural Technologists and Technicians</v>
      </c>
      <c r="R275" s="35" t="str">
        <f>IFERROR(__xludf.DUMMYFUNCTION("""COMPUTED_VALUE"""),"Architectural technologists and technicians")</f>
        <v>Architectural technologists and technicians</v>
      </c>
      <c r="S275" s="35">
        <f>IFERROR(__xludf.DUMMYFUNCTION("""COMPUTED_VALUE"""),2.0)</f>
        <v>2</v>
      </c>
      <c r="T275" s="35">
        <f>IFERROR(__xludf.DUMMYFUNCTION("""COMPUTED_VALUE"""),2.0)</f>
        <v>2</v>
      </c>
      <c r="U275" s="35">
        <f>IFERROR(__xludf.DUMMYFUNCTION("""COMPUTED_VALUE"""),2.0)</f>
        <v>2</v>
      </c>
      <c r="V275" s="35">
        <f>IFERROR(__xludf.DUMMYFUNCTION("""COMPUTED_VALUE"""),2.0)</f>
        <v>2</v>
      </c>
      <c r="W275" s="35">
        <f>IFERROR(__xludf.DUMMYFUNCTION("""COMPUTED_VALUE"""),2.0)</f>
        <v>2</v>
      </c>
      <c r="X275" s="35">
        <f>IFERROR(__xludf.DUMMYFUNCTION("""COMPUTED_VALUE"""),3.0)</f>
        <v>3</v>
      </c>
      <c r="Y275" s="35">
        <f>IFERROR(__xludf.DUMMYFUNCTION("""COMPUTED_VALUE"""),3.0)</f>
        <v>3</v>
      </c>
      <c r="Z275" s="35">
        <f>IFERROR(__xludf.DUMMYFUNCTION("""COMPUTED_VALUE"""),3.0)</f>
        <v>3</v>
      </c>
    </row>
    <row r="276" ht="15.75" customHeight="1">
      <c r="C276" s="34">
        <v>5125.0</v>
      </c>
      <c r="D276" s="70" t="s">
        <v>427</v>
      </c>
      <c r="E276" s="71" t="str">
        <f>vlookup(C276,'NOC-List'!B$2:C$502,2,False)</f>
        <v>Translators, terminologists and interpreters</v>
      </c>
      <c r="F276" s="72">
        <v>2.0</v>
      </c>
      <c r="G276" s="72">
        <v>1.0</v>
      </c>
      <c r="H276" s="72">
        <v>4.0</v>
      </c>
      <c r="I276" s="72">
        <v>4.0</v>
      </c>
      <c r="J276" s="72">
        <v>4.0</v>
      </c>
      <c r="K276" s="72">
        <v>3.0</v>
      </c>
      <c r="L276" s="72">
        <v>4.0</v>
      </c>
      <c r="M276" s="72">
        <v>4.0</v>
      </c>
      <c r="N276" s="72">
        <v>4.0</v>
      </c>
      <c r="O276" s="73"/>
      <c r="P276" s="35">
        <f>IFERROR(__xludf.DUMMYFUNCTION("""COMPUTED_VALUE"""),5131.0)</f>
        <v>5131</v>
      </c>
      <c r="Q276" s="35" t="str">
        <f>IFERROR(__xludf.DUMMYFUNCTION("query(C276:N1269,""Select D,E,F,G,H,I,J,K,L,M WHERE ""&amp;P276&amp;"" =C Limit 1"")"),"Art Directors")</f>
        <v>Art Directors</v>
      </c>
      <c r="R276" s="35" t="str">
        <f>IFERROR(__xludf.DUMMYFUNCTION("""COMPUTED_VALUE"""),"Producers, directors, choreographers and related occupations")</f>
        <v>Producers, directors, choreographers and related occupations</v>
      </c>
      <c r="S276" s="35">
        <f>IFERROR(__xludf.DUMMYFUNCTION("""COMPUTED_VALUE"""),2.0)</f>
        <v>2</v>
      </c>
      <c r="T276" s="35">
        <f>IFERROR(__xludf.DUMMYFUNCTION("""COMPUTED_VALUE"""),2.0)</f>
        <v>2</v>
      </c>
      <c r="U276" s="35">
        <f>IFERROR(__xludf.DUMMYFUNCTION("""COMPUTED_VALUE"""),3.0)</f>
        <v>3</v>
      </c>
      <c r="V276" s="35">
        <f>IFERROR(__xludf.DUMMYFUNCTION("""COMPUTED_VALUE"""),2.0)</f>
        <v>2</v>
      </c>
      <c r="W276" s="35">
        <f>IFERROR(__xludf.DUMMYFUNCTION("""COMPUTED_VALUE"""),3.0)</f>
        <v>3</v>
      </c>
      <c r="X276" s="35">
        <f>IFERROR(__xludf.DUMMYFUNCTION("""COMPUTED_VALUE"""),3.0)</f>
        <v>3</v>
      </c>
      <c r="Y276" s="35">
        <f>IFERROR(__xludf.DUMMYFUNCTION("""COMPUTED_VALUE"""),4.0)</f>
        <v>4</v>
      </c>
      <c r="Z276" s="35">
        <f>IFERROR(__xludf.DUMMYFUNCTION("""COMPUTED_VALUE"""),4.0)</f>
        <v>4</v>
      </c>
    </row>
    <row r="277" ht="15.75" customHeight="1">
      <c r="C277" s="34">
        <v>1524.0</v>
      </c>
      <c r="D277" s="70" t="s">
        <v>428</v>
      </c>
      <c r="E277" s="71" t="str">
        <f>vlookup(C277,'NOC-List'!B$2:C$502,2,False)</f>
        <v>Purchasing and inventory control workers</v>
      </c>
      <c r="F277" s="72">
        <v>3.0</v>
      </c>
      <c r="G277" s="72">
        <v>3.0</v>
      </c>
      <c r="H277" s="72">
        <v>3.0</v>
      </c>
      <c r="I277" s="72">
        <v>4.0</v>
      </c>
      <c r="J277" s="72">
        <v>4.0</v>
      </c>
      <c r="K277" s="72">
        <v>3.0</v>
      </c>
      <c r="L277" s="72">
        <v>4.0</v>
      </c>
      <c r="M277" s="72">
        <v>4.0</v>
      </c>
      <c r="N277" s="72">
        <v>4.0</v>
      </c>
      <c r="O277" s="73"/>
      <c r="P277" s="35">
        <f>IFERROR(__xludf.DUMMYFUNCTION("""COMPUTED_VALUE"""),6722.0)</f>
        <v>6722</v>
      </c>
      <c r="Q277" s="35" t="str">
        <f>IFERROR(__xludf.DUMMYFUNCTION("query(C277:N1270,""Select D,E,F,G,H,I,J,K,L,M WHERE ""&amp;P277&amp;"" =C Limit 1"")"),"Amusement Attraction Operators")</f>
        <v>Amusement Attraction Operators</v>
      </c>
      <c r="R277" s="35" t="str">
        <f>IFERROR(__xludf.DUMMYFUNCTION("""COMPUTED_VALUE"""),"Operators and attendants in amusement, recreation and sport")</f>
        <v>Operators and attendants in amusement, recreation and sport</v>
      </c>
      <c r="S277" s="35">
        <f>IFERROR(__xludf.DUMMYFUNCTION("""COMPUTED_VALUE"""),4.0)</f>
        <v>4</v>
      </c>
      <c r="T277" s="35">
        <f>IFERROR(__xludf.DUMMYFUNCTION("""COMPUTED_VALUE"""),4.0)</f>
        <v>4</v>
      </c>
      <c r="U277" s="35">
        <f>IFERROR(__xludf.DUMMYFUNCTION("""COMPUTED_VALUE"""),4.0)</f>
        <v>4</v>
      </c>
      <c r="V277" s="35">
        <f>IFERROR(__xludf.DUMMYFUNCTION("""COMPUTED_VALUE"""),3.0)</f>
        <v>3</v>
      </c>
      <c r="W277" s="35">
        <f>IFERROR(__xludf.DUMMYFUNCTION("""COMPUTED_VALUE"""),4.0)</f>
        <v>4</v>
      </c>
      <c r="X277" s="35">
        <f>IFERROR(__xludf.DUMMYFUNCTION("""COMPUTED_VALUE"""),4.0)</f>
        <v>4</v>
      </c>
      <c r="Y277" s="35">
        <f>IFERROR(__xludf.DUMMYFUNCTION("""COMPUTED_VALUE"""),3.0)</f>
        <v>3</v>
      </c>
      <c r="Z277" s="35">
        <f>IFERROR(__xludf.DUMMYFUNCTION("""COMPUTED_VALUE"""),4.0)</f>
        <v>4</v>
      </c>
    </row>
    <row r="278" ht="15.75" customHeight="1">
      <c r="C278" s="34">
        <v>6741.0</v>
      </c>
      <c r="D278" s="70" t="s">
        <v>429</v>
      </c>
      <c r="E278" s="71" t="str">
        <f>vlookup(C278,'NOC-List'!B$2:C$502,2,False)</f>
        <v>Dry cleaning, laundry and related occupations</v>
      </c>
      <c r="F278" s="72">
        <v>4.0</v>
      </c>
      <c r="G278" s="72">
        <v>4.0</v>
      </c>
      <c r="H278" s="72">
        <v>5.0</v>
      </c>
      <c r="I278" s="72">
        <v>4.0</v>
      </c>
      <c r="J278" s="72">
        <v>4.0</v>
      </c>
      <c r="K278" s="72">
        <v>5.0</v>
      </c>
      <c r="L278" s="72">
        <v>3.0</v>
      </c>
      <c r="M278" s="72">
        <v>4.0</v>
      </c>
      <c r="N278" s="72">
        <v>3.0</v>
      </c>
      <c r="O278" s="73"/>
      <c r="P278" s="35">
        <f>IFERROR(__xludf.DUMMYFUNCTION("""COMPUTED_VALUE"""),7281.0)</f>
        <v>7281</v>
      </c>
      <c r="Q278" s="35" t="str">
        <f>IFERROR(__xludf.DUMMYFUNCTION("query(C278:N1271,""Select D,E,F,G,H,I,J,K,L,M WHERE ""&amp;P278&amp;"" =C Limit 1"")"),"Bricklayers")</f>
        <v>Bricklayers</v>
      </c>
      <c r="R278" s="35" t="str">
        <f>IFERROR(__xludf.DUMMYFUNCTION("""COMPUTED_VALUE"""),"Bricklayers")</f>
        <v>Bricklayers</v>
      </c>
      <c r="S278" s="35">
        <f>IFERROR(__xludf.DUMMYFUNCTION("""COMPUTED_VALUE"""),3.0)</f>
        <v>3</v>
      </c>
      <c r="T278" s="35">
        <f>IFERROR(__xludf.DUMMYFUNCTION("""COMPUTED_VALUE"""),4.0)</f>
        <v>4</v>
      </c>
      <c r="U278" s="35">
        <f>IFERROR(__xludf.DUMMYFUNCTION("""COMPUTED_VALUE"""),3.0)</f>
        <v>3</v>
      </c>
      <c r="V278" s="35">
        <f>IFERROR(__xludf.DUMMYFUNCTION("""COMPUTED_VALUE"""),3.0)</f>
        <v>3</v>
      </c>
      <c r="W278" s="35">
        <f>IFERROR(__xludf.DUMMYFUNCTION("""COMPUTED_VALUE"""),4.0)</f>
        <v>4</v>
      </c>
      <c r="X278" s="35">
        <f>IFERROR(__xludf.DUMMYFUNCTION("""COMPUTED_VALUE"""),4.0)</f>
        <v>4</v>
      </c>
      <c r="Y278" s="35">
        <f>IFERROR(__xludf.DUMMYFUNCTION("""COMPUTED_VALUE"""),3.0)</f>
        <v>3</v>
      </c>
      <c r="Z278" s="35">
        <f>IFERROR(__xludf.DUMMYFUNCTION("""COMPUTED_VALUE"""),4.0)</f>
        <v>4</v>
      </c>
    </row>
    <row r="279" ht="15.75" customHeight="1">
      <c r="C279" s="34">
        <v>1227.0</v>
      </c>
      <c r="D279" s="70" t="s">
        <v>430</v>
      </c>
      <c r="E279" s="71" t="str">
        <f>vlookup(C279,'NOC-List'!B$2:C$502,2,False)</f>
        <v>Court officers and justices of the peace</v>
      </c>
      <c r="F279" s="72">
        <v>3.0</v>
      </c>
      <c r="G279" s="72">
        <v>3.0</v>
      </c>
      <c r="H279" s="72">
        <v>3.0</v>
      </c>
      <c r="I279" s="72">
        <v>4.0</v>
      </c>
      <c r="J279" s="72">
        <v>4.0</v>
      </c>
      <c r="K279" s="72">
        <v>3.0</v>
      </c>
      <c r="L279" s="72">
        <v>4.0</v>
      </c>
      <c r="M279" s="72">
        <v>4.0</v>
      </c>
      <c r="N279" s="72">
        <v>4.0</v>
      </c>
      <c r="O279" s="73"/>
      <c r="P279" s="35">
        <f>IFERROR(__xludf.DUMMYFUNCTION("""COMPUTED_VALUE"""),1452.0)</f>
        <v>1452</v>
      </c>
      <c r="Q279" s="35" t="str">
        <f>IFERROR(__xludf.DUMMYFUNCTION("query(C279:N1272,""Select D,E,F,G,H,I,J,K,L,M WHERE ""&amp;P279&amp;"" =C Limit 1"")"),"Classified Advertising Clerks")</f>
        <v>Classified Advertising Clerks</v>
      </c>
      <c r="R279" s="35" t="str">
        <f>IFERROR(__xludf.DUMMYFUNCTION("""COMPUTED_VALUE"""),"Correspondence, publication and regulatory clerks")</f>
        <v>Correspondence, publication and regulatory clerks</v>
      </c>
      <c r="S279" s="35">
        <f>IFERROR(__xludf.DUMMYFUNCTION("""COMPUTED_VALUE"""),3.0)</f>
        <v>3</v>
      </c>
      <c r="T279" s="35">
        <f>IFERROR(__xludf.DUMMYFUNCTION("""COMPUTED_VALUE"""),3.0)</f>
        <v>3</v>
      </c>
      <c r="U279" s="35">
        <f>IFERROR(__xludf.DUMMYFUNCTION("""COMPUTED_VALUE"""),3.0)</f>
        <v>3</v>
      </c>
      <c r="V279" s="35">
        <f>IFERROR(__xludf.DUMMYFUNCTION("""COMPUTED_VALUE"""),4.0)</f>
        <v>4</v>
      </c>
      <c r="W279" s="35">
        <f>IFERROR(__xludf.DUMMYFUNCTION("""COMPUTED_VALUE"""),3.0)</f>
        <v>3</v>
      </c>
      <c r="X279" s="35">
        <f>IFERROR(__xludf.DUMMYFUNCTION("""COMPUTED_VALUE"""),3.0)</f>
        <v>3</v>
      </c>
      <c r="Y279" s="35">
        <f>IFERROR(__xludf.DUMMYFUNCTION("""COMPUTED_VALUE"""),3.0)</f>
        <v>3</v>
      </c>
      <c r="Z279" s="35">
        <f>IFERROR(__xludf.DUMMYFUNCTION("""COMPUTED_VALUE"""),3.0)</f>
        <v>3</v>
      </c>
    </row>
    <row r="280" ht="15.75" customHeight="1">
      <c r="C280" s="81">
        <v>9618.0</v>
      </c>
      <c r="D280" s="70" t="s">
        <v>431</v>
      </c>
      <c r="E280" s="71" t="str">
        <f>vlookup(C280,'NOC-List'!B$2:C$502,2,False)</f>
        <v>Labourers in fish and seafood processing</v>
      </c>
      <c r="F280" s="72">
        <v>4.0</v>
      </c>
      <c r="G280" s="72">
        <v>4.0</v>
      </c>
      <c r="H280" s="72">
        <v>5.0</v>
      </c>
      <c r="I280" s="72">
        <v>4.0</v>
      </c>
      <c r="J280" s="72">
        <v>4.0</v>
      </c>
      <c r="K280" s="72">
        <v>5.0</v>
      </c>
      <c r="L280" s="72">
        <v>3.0</v>
      </c>
      <c r="M280" s="72">
        <v>4.0</v>
      </c>
      <c r="N280" s="72">
        <v>3.0</v>
      </c>
      <c r="O280" s="73"/>
      <c r="P280" s="35">
        <f>IFERROR(__xludf.DUMMYFUNCTION("""COMPUTED_VALUE"""),3131.0)</f>
        <v>3131</v>
      </c>
      <c r="Q280" s="35" t="str">
        <f>IFERROR(__xludf.DUMMYFUNCTION("query(C280:N1273,""Select D,E,F,G,H,I,J,K,L,M WHERE ""&amp;P280&amp;"" =C Limit 1"")"),"Community Pharmacists and Hospital Pharmacists")</f>
        <v>Community Pharmacists and Hospital Pharmacists</v>
      </c>
      <c r="R280" s="35" t="str">
        <f>IFERROR(__xludf.DUMMYFUNCTION("""COMPUTED_VALUE"""),"Pharmacists")</f>
        <v>Pharmacists</v>
      </c>
      <c r="S280" s="35">
        <f>IFERROR(__xludf.DUMMYFUNCTION("""COMPUTED_VALUE"""),2.0)</f>
        <v>2</v>
      </c>
      <c r="T280" s="35">
        <f>IFERROR(__xludf.DUMMYFUNCTION("""COMPUTED_VALUE"""),2.0)</f>
        <v>2</v>
      </c>
      <c r="U280" s="35">
        <f>IFERROR(__xludf.DUMMYFUNCTION("""COMPUTED_VALUE"""),2.0)</f>
        <v>2</v>
      </c>
      <c r="V280" s="35">
        <f>IFERROR(__xludf.DUMMYFUNCTION("""COMPUTED_VALUE"""),3.0)</f>
        <v>3</v>
      </c>
      <c r="W280" s="35">
        <f>IFERROR(__xludf.DUMMYFUNCTION("""COMPUTED_VALUE"""),2.0)</f>
        <v>2</v>
      </c>
      <c r="X280" s="35">
        <f>IFERROR(__xludf.DUMMYFUNCTION("""COMPUTED_VALUE"""),3.0)</f>
        <v>3</v>
      </c>
      <c r="Y280" s="35">
        <f>IFERROR(__xludf.DUMMYFUNCTION("""COMPUTED_VALUE"""),3.0)</f>
        <v>3</v>
      </c>
      <c r="Z280" s="35">
        <f>IFERROR(__xludf.DUMMYFUNCTION("""COMPUTED_VALUE"""),3.0)</f>
        <v>3</v>
      </c>
    </row>
    <row r="281" ht="15.75" customHeight="1">
      <c r="C281" s="81">
        <v>9617.0</v>
      </c>
      <c r="D281" s="70" t="s">
        <v>432</v>
      </c>
      <c r="E281" s="71" t="str">
        <f>vlookup(C281,'NOC-List'!B$2:C$502,2,False)</f>
        <v>Labourers in food, beverage and associated products processing</v>
      </c>
      <c r="F281" s="72">
        <v>4.0</v>
      </c>
      <c r="G281" s="72">
        <v>5.0</v>
      </c>
      <c r="H281" s="72">
        <v>5.0</v>
      </c>
      <c r="I281" s="72">
        <v>4.0</v>
      </c>
      <c r="J281" s="72">
        <v>4.0</v>
      </c>
      <c r="K281" s="72">
        <v>5.0</v>
      </c>
      <c r="L281" s="72">
        <v>4.0</v>
      </c>
      <c r="M281" s="72">
        <v>4.0</v>
      </c>
      <c r="N281" s="72">
        <v>3.0</v>
      </c>
      <c r="O281" s="73"/>
      <c r="P281" s="35">
        <f>IFERROR(__xludf.DUMMYFUNCTION("""COMPUTED_VALUE"""),2224.0)</f>
        <v>2224</v>
      </c>
      <c r="Q281" s="35" t="str">
        <f>IFERROR(__xludf.DUMMYFUNCTION("query(C281:N1274,""Select D,E,F,G,H,I,J,K,L,M WHERE ""&amp;P281&amp;"" =C Limit 1"")"),"Conservation and Fishery Officers")</f>
        <v>Conservation and Fishery Officers</v>
      </c>
      <c r="R281" s="35" t="str">
        <f>IFERROR(__xludf.DUMMYFUNCTION("""COMPUTED_VALUE"""),"Conservation and fishery officers")</f>
        <v>Conservation and fishery officers</v>
      </c>
      <c r="S281" s="35">
        <f>IFERROR(__xludf.DUMMYFUNCTION("""COMPUTED_VALUE"""),2.0)</f>
        <v>2</v>
      </c>
      <c r="T281" s="35">
        <f>IFERROR(__xludf.DUMMYFUNCTION("""COMPUTED_VALUE"""),3.0)</f>
        <v>3</v>
      </c>
      <c r="U281" s="35">
        <f>IFERROR(__xludf.DUMMYFUNCTION("""COMPUTED_VALUE"""),3.0)</f>
        <v>3</v>
      </c>
      <c r="V281" s="35">
        <f>IFERROR(__xludf.DUMMYFUNCTION("""COMPUTED_VALUE"""),3.0)</f>
        <v>3</v>
      </c>
      <c r="W281" s="35">
        <f>IFERROR(__xludf.DUMMYFUNCTION("""COMPUTED_VALUE"""),3.0)</f>
        <v>3</v>
      </c>
      <c r="X281" s="35">
        <f>IFERROR(__xludf.DUMMYFUNCTION("""COMPUTED_VALUE"""),3.0)</f>
        <v>3</v>
      </c>
      <c r="Y281" s="35">
        <f>IFERROR(__xludf.DUMMYFUNCTION("""COMPUTED_VALUE"""),4.0)</f>
        <v>4</v>
      </c>
      <c r="Z281" s="35">
        <f>IFERROR(__xludf.DUMMYFUNCTION("""COMPUTED_VALUE"""),4.0)</f>
        <v>4</v>
      </c>
    </row>
    <row r="282" ht="15.75" customHeight="1">
      <c r="C282" s="34">
        <v>9612.0</v>
      </c>
      <c r="D282" s="70" t="s">
        <v>433</v>
      </c>
      <c r="E282" s="71" t="str">
        <f>vlookup(C282,'NOC-List'!B$2:C$502,2,False)</f>
        <v>Labourers in metal fabrication</v>
      </c>
      <c r="F282" s="72">
        <v>4.0</v>
      </c>
      <c r="G282" s="72">
        <v>4.0</v>
      </c>
      <c r="H282" s="72">
        <v>4.0</v>
      </c>
      <c r="I282" s="72">
        <v>4.0</v>
      </c>
      <c r="J282" s="72">
        <v>4.0</v>
      </c>
      <c r="K282" s="72">
        <v>5.0</v>
      </c>
      <c r="L282" s="72">
        <v>4.0</v>
      </c>
      <c r="M282" s="72">
        <v>4.0</v>
      </c>
      <c r="N282" s="72">
        <v>3.0</v>
      </c>
      <c r="O282" s="73"/>
      <c r="P282" s="35">
        <f>IFERROR(__xludf.DUMMYFUNCTION("""COMPUTED_VALUE"""),7513.0)</f>
        <v>7513</v>
      </c>
      <c r="Q282" s="35" t="str">
        <f>IFERROR(__xludf.DUMMYFUNCTION("query(C282:N1275,""Select D,E,F,G,H,I,J,K,L,M WHERE ""&amp;P282&amp;"" =C Limit 1"")"),"Chauffeurs")</f>
        <v>Chauffeurs</v>
      </c>
      <c r="R282" s="35" t="str">
        <f>IFERROR(__xludf.DUMMYFUNCTION("""COMPUTED_VALUE"""),"Taxi and limousine drivers and chauffeurs")</f>
        <v>Taxi and limousine drivers and chauffeurs</v>
      </c>
      <c r="S282" s="35">
        <f>IFERROR(__xludf.DUMMYFUNCTION("""COMPUTED_VALUE"""),4.0)</f>
        <v>4</v>
      </c>
      <c r="T282" s="35">
        <f>IFERROR(__xludf.DUMMYFUNCTION("""COMPUTED_VALUE"""),4.0)</f>
        <v>4</v>
      </c>
      <c r="U282" s="35">
        <f>IFERROR(__xludf.DUMMYFUNCTION("""COMPUTED_VALUE"""),4.0)</f>
        <v>4</v>
      </c>
      <c r="V282" s="35">
        <f>IFERROR(__xludf.DUMMYFUNCTION("""COMPUTED_VALUE"""),3.0)</f>
        <v>3</v>
      </c>
      <c r="W282" s="35">
        <f>IFERROR(__xludf.DUMMYFUNCTION("""COMPUTED_VALUE"""),4.0)</f>
        <v>4</v>
      </c>
      <c r="X282" s="35">
        <f>IFERROR(__xludf.DUMMYFUNCTION("""COMPUTED_VALUE"""),4.0)</f>
        <v>4</v>
      </c>
      <c r="Y282" s="35">
        <f>IFERROR(__xludf.DUMMYFUNCTION("""COMPUTED_VALUE"""),3.0)</f>
        <v>3</v>
      </c>
      <c r="Z282" s="35">
        <f>IFERROR(__xludf.DUMMYFUNCTION("""COMPUTED_VALUE"""),4.0)</f>
        <v>4</v>
      </c>
    </row>
    <row r="283" ht="15.75" customHeight="1">
      <c r="C283" s="34">
        <v>9611.0</v>
      </c>
      <c r="D283" s="70" t="s">
        <v>434</v>
      </c>
      <c r="E283" s="71" t="str">
        <f>vlookup(C283,'NOC-List'!B$2:C$502,2,False)</f>
        <v>Labourers in mineral and metal processing</v>
      </c>
      <c r="F283" s="72">
        <v>4.0</v>
      </c>
      <c r="G283" s="72">
        <v>4.0</v>
      </c>
      <c r="H283" s="72">
        <v>4.0</v>
      </c>
      <c r="I283" s="72">
        <v>4.0</v>
      </c>
      <c r="J283" s="72">
        <v>4.0</v>
      </c>
      <c r="K283" s="72">
        <v>5.0</v>
      </c>
      <c r="L283" s="72">
        <v>4.0</v>
      </c>
      <c r="M283" s="72">
        <v>4.0</v>
      </c>
      <c r="N283" s="72">
        <v>3.0</v>
      </c>
      <c r="O283" s="73"/>
      <c r="P283" s="35">
        <f>IFERROR(__xludf.DUMMYFUNCTION("""COMPUTED_VALUE"""),2273.0)</f>
        <v>2273</v>
      </c>
      <c r="Q283" s="35" t="str">
        <f>IFERROR(__xludf.DUMMYFUNCTION("query(C283:N1276,""Select D,E,F,G,H,I,J,K,L,M WHERE ""&amp;P283&amp;"" =C Limit 1"")"),"Deck Officers, Water Transport")</f>
        <v>Deck Officers, Water Transport</v>
      </c>
      <c r="R283" s="35" t="str">
        <f>IFERROR(__xludf.DUMMYFUNCTION("""COMPUTED_VALUE"""),"Deck officers, water transport")</f>
        <v>Deck officers, water transport</v>
      </c>
      <c r="S283" s="35">
        <f>IFERROR(__xludf.DUMMYFUNCTION("""COMPUTED_VALUE"""),3.0)</f>
        <v>3</v>
      </c>
      <c r="T283" s="35">
        <f>IFERROR(__xludf.DUMMYFUNCTION("""COMPUTED_VALUE"""),2.0)</f>
        <v>2</v>
      </c>
      <c r="U283" s="35">
        <f>IFERROR(__xludf.DUMMYFUNCTION("""COMPUTED_VALUE"""),3.0)</f>
        <v>3</v>
      </c>
      <c r="V283" s="35">
        <f>IFERROR(__xludf.DUMMYFUNCTION("""COMPUTED_VALUE"""),2.0)</f>
        <v>2</v>
      </c>
      <c r="W283" s="35">
        <f>IFERROR(__xludf.DUMMYFUNCTION("""COMPUTED_VALUE"""),2.0)</f>
        <v>2</v>
      </c>
      <c r="X283" s="35">
        <f>IFERROR(__xludf.DUMMYFUNCTION("""COMPUTED_VALUE"""),3.0)</f>
        <v>3</v>
      </c>
      <c r="Y283" s="35">
        <f>IFERROR(__xludf.DUMMYFUNCTION("""COMPUTED_VALUE"""),3.0)</f>
        <v>3</v>
      </c>
      <c r="Z283" s="35">
        <f>IFERROR(__xludf.DUMMYFUNCTION("""COMPUTED_VALUE"""),4.0)</f>
        <v>4</v>
      </c>
    </row>
    <row r="284" ht="15.75" customHeight="1">
      <c r="C284" s="34">
        <v>9616.0</v>
      </c>
      <c r="D284" s="70" t="s">
        <v>435</v>
      </c>
      <c r="E284" s="71" t="str">
        <f>vlookup(C284,'NOC-List'!B$2:C$502,2,False)</f>
        <v>Labourers in textile processing</v>
      </c>
      <c r="F284" s="72">
        <v>4.0</v>
      </c>
      <c r="G284" s="72">
        <v>4.0</v>
      </c>
      <c r="H284" s="72">
        <v>5.0</v>
      </c>
      <c r="I284" s="72">
        <v>4.0</v>
      </c>
      <c r="J284" s="72">
        <v>4.0</v>
      </c>
      <c r="K284" s="72">
        <v>4.0</v>
      </c>
      <c r="L284" s="72">
        <v>4.0</v>
      </c>
      <c r="M284" s="72">
        <v>4.0</v>
      </c>
      <c r="N284" s="72">
        <v>3.0</v>
      </c>
      <c r="O284" s="73"/>
      <c r="P284" s="35">
        <f>IFERROR(__xludf.DUMMYFUNCTION("""COMPUTED_VALUE"""),9421.0)</f>
        <v>9421</v>
      </c>
      <c r="Q284" s="35" t="str">
        <f>IFERROR(__xludf.DUMMYFUNCTION("query(C284:N1277,""Select D,E,F,G,H,I,J,K,L,M WHERE ""&amp;P284&amp;"" =C Limit 1"")"),"Chemical Plant Machine Operators")</f>
        <v>Chemical Plant Machine Operators</v>
      </c>
      <c r="R284" s="35" t="str">
        <f>IFERROR(__xludf.DUMMYFUNCTION("""COMPUTED_VALUE"""),"Chemical plant machine operators")</f>
        <v>Chemical plant machine operators</v>
      </c>
      <c r="S284" s="35">
        <f>IFERROR(__xludf.DUMMYFUNCTION("""COMPUTED_VALUE"""),3.0)</f>
        <v>3</v>
      </c>
      <c r="T284" s="35">
        <f>IFERROR(__xludf.DUMMYFUNCTION("""COMPUTED_VALUE"""),4.0)</f>
        <v>4</v>
      </c>
      <c r="U284" s="35">
        <f>IFERROR(__xludf.DUMMYFUNCTION("""COMPUTED_VALUE"""),4.0)</f>
        <v>4</v>
      </c>
      <c r="V284" s="35">
        <f>IFERROR(__xludf.DUMMYFUNCTION("""COMPUTED_VALUE"""),4.0)</f>
        <v>4</v>
      </c>
      <c r="W284" s="35">
        <f>IFERROR(__xludf.DUMMYFUNCTION("""COMPUTED_VALUE"""),4.0)</f>
        <v>4</v>
      </c>
      <c r="X284" s="35">
        <f>IFERROR(__xludf.DUMMYFUNCTION("""COMPUTED_VALUE"""),4.0)</f>
        <v>4</v>
      </c>
      <c r="Y284" s="35">
        <f>IFERROR(__xludf.DUMMYFUNCTION("""COMPUTED_VALUE"""),3.0)</f>
        <v>3</v>
      </c>
      <c r="Z284" s="35">
        <f>IFERROR(__xludf.DUMMYFUNCTION("""COMPUTED_VALUE"""),4.0)</f>
        <v>4</v>
      </c>
    </row>
    <row r="285" ht="15.75" customHeight="1">
      <c r="C285" s="81">
        <v>5244.0</v>
      </c>
      <c r="D285" s="70" t="s">
        <v>436</v>
      </c>
      <c r="E285" s="71" t="str">
        <f>vlookup(C285,'NOC-List'!B$2:C$502,2,False)</f>
        <v>Artisans and craftspersons</v>
      </c>
      <c r="F285" s="72">
        <v>3.0</v>
      </c>
      <c r="G285" s="72">
        <v>4.0</v>
      </c>
      <c r="H285" s="72">
        <v>4.0</v>
      </c>
      <c r="I285" s="72">
        <v>2.0</v>
      </c>
      <c r="J285" s="72">
        <v>3.0</v>
      </c>
      <c r="K285" s="72">
        <v>4.0</v>
      </c>
      <c r="L285" s="72">
        <v>2.0</v>
      </c>
      <c r="M285" s="72">
        <v>3.0</v>
      </c>
      <c r="N285" s="72">
        <v>2.0</v>
      </c>
      <c r="O285" s="73"/>
      <c r="P285" s="35">
        <f>IFERROR(__xludf.DUMMYFUNCTION("""COMPUTED_VALUE"""),3411.0)</f>
        <v>3411</v>
      </c>
      <c r="Q285" s="35" t="str">
        <f>IFERROR(__xludf.DUMMYFUNCTION("query(C285:N1278,""Select D,E,F,G,H,I,J,K,L,M WHERE ""&amp;P285&amp;"" =C Limit 1"")"),"Dental Assistants")</f>
        <v>Dental Assistants</v>
      </c>
      <c r="R285" s="35" t="str">
        <f>IFERROR(__xludf.DUMMYFUNCTION("""COMPUTED_VALUE"""),"Dental assistants")</f>
        <v>Dental assistants</v>
      </c>
      <c r="S285" s="35">
        <f>IFERROR(__xludf.DUMMYFUNCTION("""COMPUTED_VALUE"""),3.0)</f>
        <v>3</v>
      </c>
      <c r="T285" s="35">
        <f>IFERROR(__xludf.DUMMYFUNCTION("""COMPUTED_VALUE"""),3.0)</f>
        <v>3</v>
      </c>
      <c r="U285" s="35">
        <f>IFERROR(__xludf.DUMMYFUNCTION("""COMPUTED_VALUE"""),3.0)</f>
        <v>3</v>
      </c>
      <c r="V285" s="35">
        <f>IFERROR(__xludf.DUMMYFUNCTION("""COMPUTED_VALUE"""),4.0)</f>
        <v>4</v>
      </c>
      <c r="W285" s="35">
        <f>IFERROR(__xludf.DUMMYFUNCTION("""COMPUTED_VALUE"""),3.0)</f>
        <v>3</v>
      </c>
      <c r="X285" s="35">
        <f>IFERROR(__xludf.DUMMYFUNCTION("""COMPUTED_VALUE"""),4.0)</f>
        <v>4</v>
      </c>
      <c r="Y285" s="35">
        <f>IFERROR(__xludf.DUMMYFUNCTION("""COMPUTED_VALUE"""),3.0)</f>
        <v>3</v>
      </c>
      <c r="Z285" s="35">
        <f>IFERROR(__xludf.DUMMYFUNCTION("""COMPUTED_VALUE"""),3.0)</f>
        <v>3</v>
      </c>
    </row>
    <row r="286" ht="15.75" customHeight="1">
      <c r="C286" s="34">
        <v>5134.0</v>
      </c>
      <c r="D286" s="70" t="s">
        <v>437</v>
      </c>
      <c r="E286" s="71" t="str">
        <f>vlookup(C286,'NOC-List'!B$2:C$502,2,False)</f>
        <v>Dancers</v>
      </c>
      <c r="F286" s="72">
        <v>2.0</v>
      </c>
      <c r="G286" s="72">
        <v>3.0</v>
      </c>
      <c r="H286" s="72">
        <v>4.0</v>
      </c>
      <c r="I286" s="72">
        <v>2.0</v>
      </c>
      <c r="J286" s="72">
        <v>3.0</v>
      </c>
      <c r="K286" s="72">
        <v>4.0</v>
      </c>
      <c r="L286" s="72">
        <v>2.0</v>
      </c>
      <c r="M286" s="72">
        <v>3.0</v>
      </c>
      <c r="N286" s="72">
        <v>3.0</v>
      </c>
      <c r="O286" s="73"/>
      <c r="P286" s="35">
        <f>IFERROR(__xludf.DUMMYFUNCTION("""COMPUTED_VALUE"""),3113.0)</f>
        <v>3113</v>
      </c>
      <c r="Q286" s="35" t="str">
        <f>IFERROR(__xludf.DUMMYFUNCTION("query(C286:N1279,""Select D,E,F,G,H,I,J,K,L,M WHERE ""&amp;P286&amp;"" =C Limit 1"")"),"Dentists")</f>
        <v>Dentists</v>
      </c>
      <c r="R286" s="35" t="str">
        <f>IFERROR(__xludf.DUMMYFUNCTION("""COMPUTED_VALUE"""),"Dentists")</f>
        <v>Dentists</v>
      </c>
      <c r="S286" s="35">
        <f>IFERROR(__xludf.DUMMYFUNCTION("""COMPUTED_VALUE"""),1.0)</f>
        <v>1</v>
      </c>
      <c r="T286" s="35">
        <f>IFERROR(__xludf.DUMMYFUNCTION("""COMPUTED_VALUE"""),1.0)</f>
        <v>1</v>
      </c>
      <c r="U286" s="35">
        <f>IFERROR(__xludf.DUMMYFUNCTION("""COMPUTED_VALUE"""),2.0)</f>
        <v>2</v>
      </c>
      <c r="V286" s="35">
        <f>IFERROR(__xludf.DUMMYFUNCTION("""COMPUTED_VALUE"""),1.0)</f>
        <v>1</v>
      </c>
      <c r="W286" s="35">
        <f>IFERROR(__xludf.DUMMYFUNCTION("""COMPUTED_VALUE"""),2.0)</f>
        <v>2</v>
      </c>
      <c r="X286" s="35">
        <f>IFERROR(__xludf.DUMMYFUNCTION("""COMPUTED_VALUE"""),3.0)</f>
        <v>3</v>
      </c>
      <c r="Y286" s="35">
        <f>IFERROR(__xludf.DUMMYFUNCTION("""COMPUTED_VALUE"""),1.0)</f>
        <v>1</v>
      </c>
      <c r="Z286" s="35">
        <f>IFERROR(__xludf.DUMMYFUNCTION("""COMPUTED_VALUE"""),1.0)</f>
        <v>1</v>
      </c>
    </row>
    <row r="287" ht="15.75" customHeight="1">
      <c r="C287" s="34">
        <v>5134.0</v>
      </c>
      <c r="D287" s="70" t="s">
        <v>438</v>
      </c>
      <c r="E287" s="71" t="str">
        <f>vlookup(C287,'NOC-List'!B$2:C$502,2,False)</f>
        <v>Dancers</v>
      </c>
      <c r="F287" s="72">
        <v>2.0</v>
      </c>
      <c r="G287" s="72">
        <v>3.0</v>
      </c>
      <c r="H287" s="72">
        <v>4.0</v>
      </c>
      <c r="I287" s="72">
        <v>2.0</v>
      </c>
      <c r="J287" s="72">
        <v>3.0</v>
      </c>
      <c r="K287" s="72">
        <v>4.0</v>
      </c>
      <c r="L287" s="72">
        <v>2.0</v>
      </c>
      <c r="M287" s="72">
        <v>3.0</v>
      </c>
      <c r="N287" s="72">
        <v>3.0</v>
      </c>
      <c r="O287" s="73"/>
      <c r="P287" s="35">
        <f>IFERROR(__xludf.DUMMYFUNCTION("""COMPUTED_VALUE"""),513.0)</f>
        <v>513</v>
      </c>
      <c r="Q287" s="35" t="str">
        <f>IFERROR(__xludf.DUMMYFUNCTION("query(C287:N1280,""Select D,E,F,G,H,I,J,K,L,M WHERE ""&amp;P287&amp;"" =C Limit 1"")"),"Directors")</f>
        <v>Directors</v>
      </c>
      <c r="R287" s="35" t="str">
        <f>IFERROR(__xludf.DUMMYFUNCTION("""COMPUTED_VALUE"""),"Recreation, sports and fitness program and service directors")</f>
        <v>Recreation, sports and fitness program and service directors</v>
      </c>
      <c r="S287" s="35">
        <f>IFERROR(__xludf.DUMMYFUNCTION("""COMPUTED_VALUE"""),2.0)</f>
        <v>2</v>
      </c>
      <c r="T287" s="35">
        <f>IFERROR(__xludf.DUMMYFUNCTION("""COMPUTED_VALUE"""),2.0)</f>
        <v>2</v>
      </c>
      <c r="U287" s="35">
        <f>IFERROR(__xludf.DUMMYFUNCTION("""COMPUTED_VALUE"""),3.0)</f>
        <v>3</v>
      </c>
      <c r="V287" s="35">
        <f>IFERROR(__xludf.DUMMYFUNCTION("""COMPUTED_VALUE"""),2.0)</f>
        <v>2</v>
      </c>
      <c r="W287" s="35">
        <f>IFERROR(__xludf.DUMMYFUNCTION("""COMPUTED_VALUE"""),3.0)</f>
        <v>3</v>
      </c>
      <c r="X287" s="35">
        <f>IFERROR(__xludf.DUMMYFUNCTION("""COMPUTED_VALUE"""),3.0)</f>
        <v>3</v>
      </c>
      <c r="Y287" s="35">
        <f>IFERROR(__xludf.DUMMYFUNCTION("""COMPUTED_VALUE"""),4.0)</f>
        <v>4</v>
      </c>
      <c r="Z287" s="35">
        <f>IFERROR(__xludf.DUMMYFUNCTION("""COMPUTED_VALUE"""),4.0)</f>
        <v>4</v>
      </c>
    </row>
    <row r="288" ht="15.75" customHeight="1">
      <c r="C288" s="34">
        <v>5244.0</v>
      </c>
      <c r="D288" s="70" t="s">
        <v>439</v>
      </c>
      <c r="E288" s="71" t="str">
        <f>vlookup(C288,'NOC-List'!B$2:C$502,2,False)</f>
        <v>Artisans and craftspersons</v>
      </c>
      <c r="F288" s="72">
        <v>3.0</v>
      </c>
      <c r="G288" s="72">
        <v>4.0</v>
      </c>
      <c r="H288" s="72">
        <v>4.0</v>
      </c>
      <c r="I288" s="72">
        <v>2.0</v>
      </c>
      <c r="J288" s="72">
        <v>2.0</v>
      </c>
      <c r="K288" s="72">
        <v>4.0</v>
      </c>
      <c r="L288" s="72">
        <v>2.0</v>
      </c>
      <c r="M288" s="72">
        <v>2.0</v>
      </c>
      <c r="N288" s="72">
        <v>2.0</v>
      </c>
      <c r="O288" s="73"/>
      <c r="P288" s="35">
        <f>IFERROR(__xludf.DUMMYFUNCTION("""COMPUTED_VALUE"""),7371.0)</f>
        <v>7371</v>
      </c>
      <c r="Q288" s="35" t="str">
        <f>IFERROR(__xludf.DUMMYFUNCTION("query(C288:N1281,""Select D,E,F,G,H,I,J,K,L,M WHERE ""&amp;P288&amp;"" =C Limit 1"")"),"Crane Operators")</f>
        <v>Crane Operators</v>
      </c>
      <c r="R288" s="35" t="str">
        <f>IFERROR(__xludf.DUMMYFUNCTION("""COMPUTED_VALUE"""),"Crane operators")</f>
        <v>Crane operators</v>
      </c>
      <c r="S288" s="35">
        <f>IFERROR(__xludf.DUMMYFUNCTION("""COMPUTED_VALUE"""),3.0)</f>
        <v>3</v>
      </c>
      <c r="T288" s="35">
        <f>IFERROR(__xludf.DUMMYFUNCTION("""COMPUTED_VALUE"""),4.0)</f>
        <v>4</v>
      </c>
      <c r="U288" s="35">
        <f>IFERROR(__xludf.DUMMYFUNCTION("""COMPUTED_VALUE"""),5.0)</f>
        <v>5</v>
      </c>
      <c r="V288" s="35">
        <f>IFERROR(__xludf.DUMMYFUNCTION("""COMPUTED_VALUE"""),3.0)</f>
        <v>3</v>
      </c>
      <c r="W288" s="35">
        <f>IFERROR(__xludf.DUMMYFUNCTION("""COMPUTED_VALUE"""),4.0)</f>
        <v>4</v>
      </c>
      <c r="X288" s="35">
        <f>IFERROR(__xludf.DUMMYFUNCTION("""COMPUTED_VALUE"""),4.0)</f>
        <v>4</v>
      </c>
      <c r="Y288" s="35">
        <f>IFERROR(__xludf.DUMMYFUNCTION("""COMPUTED_VALUE"""),3.0)</f>
        <v>3</v>
      </c>
      <c r="Z288" s="35">
        <f>IFERROR(__xludf.DUMMYFUNCTION("""COMPUTED_VALUE"""),4.0)</f>
        <v>4</v>
      </c>
    </row>
    <row r="289" ht="15.75" customHeight="1">
      <c r="C289" s="34">
        <v>5251.0</v>
      </c>
      <c r="D289" s="70" t="s">
        <v>440</v>
      </c>
      <c r="E289" s="71" t="str">
        <f>vlookup(C289,'NOC-List'!B$2:C$502,2,False)</f>
        <v>Athletes</v>
      </c>
      <c r="F289" s="72">
        <v>3.0</v>
      </c>
      <c r="G289" s="72">
        <v>3.0</v>
      </c>
      <c r="H289" s="72">
        <v>4.0</v>
      </c>
      <c r="I289" s="72">
        <v>2.0</v>
      </c>
      <c r="J289" s="72">
        <v>3.0</v>
      </c>
      <c r="K289" s="72">
        <v>4.0</v>
      </c>
      <c r="L289" s="72">
        <v>2.0</v>
      </c>
      <c r="M289" s="72">
        <v>2.0</v>
      </c>
      <c r="N289" s="72">
        <v>2.0</v>
      </c>
      <c r="O289" s="73"/>
      <c r="P289" s="35">
        <f>IFERROR(__xludf.DUMMYFUNCTION("""COMPUTED_VALUE"""),7514.0)</f>
        <v>7514</v>
      </c>
      <c r="Q289" s="35" t="str">
        <f>IFERROR(__xludf.DUMMYFUNCTION("query(C289:N1282,""Select D,E,F,G,H,I,J,K,L,M WHERE ""&amp;P289&amp;"" =C Limit 1"")"),"Delivery and Courier Service Drivers")</f>
        <v>Delivery and Courier Service Drivers</v>
      </c>
      <c r="R289" s="35" t="str">
        <f>IFERROR(__xludf.DUMMYFUNCTION("""COMPUTED_VALUE"""),"Delivery and courier service drivers")</f>
        <v>Delivery and courier service drivers</v>
      </c>
      <c r="S289" s="35">
        <f>IFERROR(__xludf.DUMMYFUNCTION("""COMPUTED_VALUE"""),4.0)</f>
        <v>4</v>
      </c>
      <c r="T289" s="35">
        <f>IFERROR(__xludf.DUMMYFUNCTION("""COMPUTED_VALUE"""),4.0)</f>
        <v>4</v>
      </c>
      <c r="U289" s="35">
        <f>IFERROR(__xludf.DUMMYFUNCTION("""COMPUTED_VALUE"""),4.0)</f>
        <v>4</v>
      </c>
      <c r="V289" s="35">
        <f>IFERROR(__xludf.DUMMYFUNCTION("""COMPUTED_VALUE"""),3.0)</f>
        <v>3</v>
      </c>
      <c r="W289" s="35">
        <f>IFERROR(__xludf.DUMMYFUNCTION("""COMPUTED_VALUE"""),4.0)</f>
        <v>4</v>
      </c>
      <c r="X289" s="35">
        <f>IFERROR(__xludf.DUMMYFUNCTION("""COMPUTED_VALUE"""),4.0)</f>
        <v>4</v>
      </c>
      <c r="Y289" s="35">
        <f>IFERROR(__xludf.DUMMYFUNCTION("""COMPUTED_VALUE"""),3.0)</f>
        <v>3</v>
      </c>
      <c r="Z289" s="35">
        <f>IFERROR(__xludf.DUMMYFUNCTION("""COMPUTED_VALUE"""),4.0)</f>
        <v>4</v>
      </c>
    </row>
    <row r="290" ht="15.75" customHeight="1">
      <c r="C290" s="34">
        <v>5244.0</v>
      </c>
      <c r="D290" s="70" t="s">
        <v>441</v>
      </c>
      <c r="E290" s="71" t="str">
        <f>vlookup(C290,'NOC-List'!B$2:C$502,2,False)</f>
        <v>Artisans and craftspersons</v>
      </c>
      <c r="F290" s="72">
        <v>3.0</v>
      </c>
      <c r="G290" s="72">
        <v>4.0</v>
      </c>
      <c r="H290" s="72">
        <v>4.0</v>
      </c>
      <c r="I290" s="72">
        <v>2.0</v>
      </c>
      <c r="J290" s="72">
        <v>2.0</v>
      </c>
      <c r="K290" s="72">
        <v>4.0</v>
      </c>
      <c r="L290" s="72">
        <v>2.0</v>
      </c>
      <c r="M290" s="72">
        <v>2.0</v>
      </c>
      <c r="N290" s="72">
        <v>2.0</v>
      </c>
      <c r="O290" s="73"/>
      <c r="P290" s="35">
        <f>IFERROR(__xludf.DUMMYFUNCTION("""COMPUTED_VALUE"""),4312.0)</f>
        <v>4312</v>
      </c>
      <c r="Q290" s="35" t="str">
        <f>IFERROR(__xludf.DUMMYFUNCTION("query(C290:N1283,""Select D,E,F,G,H,I,J,K,L,M WHERE ""&amp;P290&amp;"" =C Limit 1"")"),"Firefighters")</f>
        <v>Firefighters</v>
      </c>
      <c r="R290" s="35" t="str">
        <f>IFERROR(__xludf.DUMMYFUNCTION("""COMPUTED_VALUE"""),"Firefighters")</f>
        <v>Firefighters</v>
      </c>
      <c r="S290" s="35">
        <f>IFERROR(__xludf.DUMMYFUNCTION("""COMPUTED_VALUE"""),3.0)</f>
        <v>3</v>
      </c>
      <c r="T290" s="35">
        <f>IFERROR(__xludf.DUMMYFUNCTION("""COMPUTED_VALUE"""),3.0)</f>
        <v>3</v>
      </c>
      <c r="U290" s="35">
        <f>IFERROR(__xludf.DUMMYFUNCTION("""COMPUTED_VALUE"""),4.0)</f>
        <v>4</v>
      </c>
      <c r="V290" s="35">
        <f>IFERROR(__xludf.DUMMYFUNCTION("""COMPUTED_VALUE"""),3.0)</f>
        <v>3</v>
      </c>
      <c r="W290" s="35">
        <f>IFERROR(__xludf.DUMMYFUNCTION("""COMPUTED_VALUE"""),3.0)</f>
        <v>3</v>
      </c>
      <c r="X290" s="35">
        <f>IFERROR(__xludf.DUMMYFUNCTION("""COMPUTED_VALUE"""),5.0)</f>
        <v>5</v>
      </c>
      <c r="Y290" s="35">
        <f>IFERROR(__xludf.DUMMYFUNCTION("""COMPUTED_VALUE"""),3.0)</f>
        <v>3</v>
      </c>
      <c r="Z290" s="35">
        <f>IFERROR(__xludf.DUMMYFUNCTION("""COMPUTED_VALUE"""),4.0)</f>
        <v>4</v>
      </c>
    </row>
    <row r="291" ht="15.75" customHeight="1">
      <c r="C291" s="34">
        <v>2231.0</v>
      </c>
      <c r="D291" s="70" t="s">
        <v>442</v>
      </c>
      <c r="E291" s="71" t="str">
        <f>vlookup(C291,'NOC-List'!B$2:C$502,2,False)</f>
        <v>Civil engineering technologists and technicians</v>
      </c>
      <c r="F291" s="72">
        <v>2.0</v>
      </c>
      <c r="G291" s="72">
        <v>3.0</v>
      </c>
      <c r="H291" s="72">
        <v>3.0</v>
      </c>
      <c r="I291" s="72">
        <v>2.0</v>
      </c>
      <c r="J291" s="72">
        <v>3.0</v>
      </c>
      <c r="K291" s="72">
        <v>3.0</v>
      </c>
      <c r="L291" s="72">
        <v>3.0</v>
      </c>
      <c r="M291" s="72">
        <v>3.0</v>
      </c>
      <c r="N291" s="72">
        <v>3.0</v>
      </c>
      <c r="O291" s="73"/>
      <c r="P291" s="35">
        <f>IFERROR(__xludf.DUMMYFUNCTION("""COMPUTED_VALUE"""),9445.0)</f>
        <v>9445</v>
      </c>
      <c r="Q291" s="35" t="str">
        <f>IFERROR(__xludf.DUMMYFUNCTION("query(C291:N1284,""Select D,E,F,G,H,I,J,K,L,M WHERE ""&amp;P291&amp;"" =C Limit 1"")"),"Fabric Cutters")</f>
        <v>Fabric Cutters</v>
      </c>
      <c r="R291" s="35" t="str">
        <f>IFERROR(__xludf.DUMMYFUNCTION("""COMPUTED_VALUE"""),"Fabric, fur and leather cutters")</f>
        <v>Fabric, fur and leather cutters</v>
      </c>
      <c r="S291" s="35">
        <f>IFERROR(__xludf.DUMMYFUNCTION("""COMPUTED_VALUE"""),3.0)</f>
        <v>3</v>
      </c>
      <c r="T291" s="35">
        <f>IFERROR(__xludf.DUMMYFUNCTION("""COMPUTED_VALUE"""),4.0)</f>
        <v>4</v>
      </c>
      <c r="U291" s="35">
        <f>IFERROR(__xludf.DUMMYFUNCTION("""COMPUTED_VALUE"""),4.0)</f>
        <v>4</v>
      </c>
      <c r="V291" s="35">
        <f>IFERROR(__xludf.DUMMYFUNCTION("""COMPUTED_VALUE"""),4.0)</f>
        <v>4</v>
      </c>
      <c r="W291" s="35">
        <f>IFERROR(__xludf.DUMMYFUNCTION("""COMPUTED_VALUE"""),4.0)</f>
        <v>4</v>
      </c>
      <c r="X291" s="35">
        <f>IFERROR(__xludf.DUMMYFUNCTION("""COMPUTED_VALUE"""),4.0)</f>
        <v>4</v>
      </c>
      <c r="Y291" s="35">
        <f>IFERROR(__xludf.DUMMYFUNCTION("""COMPUTED_VALUE"""),3.0)</f>
        <v>3</v>
      </c>
      <c r="Z291" s="35">
        <f>IFERROR(__xludf.DUMMYFUNCTION("""COMPUTED_VALUE"""),4.0)</f>
        <v>4</v>
      </c>
    </row>
    <row r="292" ht="15.75" customHeight="1">
      <c r="C292" s="34">
        <v>5244.0</v>
      </c>
      <c r="D292" s="70" t="s">
        <v>443</v>
      </c>
      <c r="E292" s="71" t="str">
        <f>vlookup(C292,'NOC-List'!B$2:C$502,2,False)</f>
        <v>Artisans and craftspersons</v>
      </c>
      <c r="F292" s="72">
        <v>3.0</v>
      </c>
      <c r="G292" s="72">
        <v>4.0</v>
      </c>
      <c r="H292" s="72">
        <v>4.0</v>
      </c>
      <c r="I292" s="72">
        <v>2.0</v>
      </c>
      <c r="J292" s="72">
        <v>2.0</v>
      </c>
      <c r="K292" s="72">
        <v>4.0</v>
      </c>
      <c r="L292" s="72">
        <v>2.0</v>
      </c>
      <c r="M292" s="72">
        <v>2.0</v>
      </c>
      <c r="N292" s="72">
        <v>2.0</v>
      </c>
      <c r="O292" s="73"/>
      <c r="P292" s="35">
        <f>IFERROR(__xludf.DUMMYFUNCTION("""COMPUTED_VALUE"""),7521.0)</f>
        <v>7521</v>
      </c>
      <c r="Q292" s="35" t="str">
        <f>IFERROR(__xludf.DUMMYFUNCTION("query(C292:N1285,""Select D,E,F,G,H,I,J,K,L,M WHERE ""&amp;P292&amp;"" =C Limit 1"")"),"Heavy Equipment Operators (Except Crane)")</f>
        <v>Heavy Equipment Operators (Except Crane)</v>
      </c>
      <c r="R292" s="35" t="str">
        <f>IFERROR(__xludf.DUMMYFUNCTION("""COMPUTED_VALUE"""),"Heavy equipment operators (except crane)")</f>
        <v>Heavy equipment operators (except crane)</v>
      </c>
      <c r="S292" s="35">
        <f>IFERROR(__xludf.DUMMYFUNCTION("""COMPUTED_VALUE"""),3.0)</f>
        <v>3</v>
      </c>
      <c r="T292" s="35">
        <f>IFERROR(__xludf.DUMMYFUNCTION("""COMPUTED_VALUE"""),4.0)</f>
        <v>4</v>
      </c>
      <c r="U292" s="35">
        <f>IFERROR(__xludf.DUMMYFUNCTION("""COMPUTED_VALUE"""),4.0)</f>
        <v>4</v>
      </c>
      <c r="V292" s="35">
        <f>IFERROR(__xludf.DUMMYFUNCTION("""COMPUTED_VALUE"""),3.0)</f>
        <v>3</v>
      </c>
      <c r="W292" s="35">
        <f>IFERROR(__xludf.DUMMYFUNCTION("""COMPUTED_VALUE"""),4.0)</f>
        <v>4</v>
      </c>
      <c r="X292" s="35">
        <f>IFERROR(__xludf.DUMMYFUNCTION("""COMPUTED_VALUE"""),5.0)</f>
        <v>5</v>
      </c>
      <c r="Y292" s="35">
        <f>IFERROR(__xludf.DUMMYFUNCTION("""COMPUTED_VALUE"""),3.0)</f>
        <v>3</v>
      </c>
      <c r="Z292" s="35">
        <f>IFERROR(__xludf.DUMMYFUNCTION("""COMPUTED_VALUE"""),4.0)</f>
        <v>4</v>
      </c>
    </row>
    <row r="293" ht="15.75" customHeight="1">
      <c r="C293" s="34">
        <v>2233.0</v>
      </c>
      <c r="D293" s="70" t="s">
        <v>444</v>
      </c>
      <c r="E293" s="71" t="str">
        <f>vlookup(C293,'NOC-List'!B$2:C$502,2,False)</f>
        <v>Industrial engineering and manufacturing technologists and technicians</v>
      </c>
      <c r="F293" s="72">
        <v>2.0</v>
      </c>
      <c r="G293" s="72">
        <v>3.0</v>
      </c>
      <c r="H293" s="72">
        <v>3.0</v>
      </c>
      <c r="I293" s="72">
        <v>2.0</v>
      </c>
      <c r="J293" s="72">
        <v>3.0</v>
      </c>
      <c r="K293" s="72">
        <v>3.0</v>
      </c>
      <c r="L293" s="72">
        <v>3.0</v>
      </c>
      <c r="M293" s="72">
        <v>3.0</v>
      </c>
      <c r="N293" s="72">
        <v>3.0</v>
      </c>
      <c r="O293" s="73"/>
      <c r="P293" s="35">
        <f>IFERROR(__xludf.DUMMYFUNCTION("""COMPUTED_VALUE"""),4215.0)</f>
        <v>4215</v>
      </c>
      <c r="Q293" s="35" t="str">
        <f>IFERROR(__xludf.DUMMYFUNCTION("query(C293:N1286,""Select D,E,F,G,H,I,J,K,L,M WHERE ""&amp;P293&amp;"" =C Limit 1"")"),"Instructors and Teachers of Persons with Disabilities")</f>
        <v>Instructors and Teachers of Persons with Disabilities</v>
      </c>
      <c r="R293" s="35" t="str">
        <f>IFERROR(__xludf.DUMMYFUNCTION("""COMPUTED_VALUE"""),"Instructors of persons with disabilities")</f>
        <v>Instructors of persons with disabilities</v>
      </c>
      <c r="S293" s="35">
        <f>IFERROR(__xludf.DUMMYFUNCTION("""COMPUTED_VALUE"""),2.0)</f>
        <v>2</v>
      </c>
      <c r="T293" s="35">
        <f>IFERROR(__xludf.DUMMYFUNCTION("""COMPUTED_VALUE"""),2.0)</f>
        <v>2</v>
      </c>
      <c r="U293" s="35">
        <f>IFERROR(__xludf.DUMMYFUNCTION("""COMPUTED_VALUE"""),3.0)</f>
        <v>3</v>
      </c>
      <c r="V293" s="35">
        <f>IFERROR(__xludf.DUMMYFUNCTION("""COMPUTED_VALUE"""),4.0)</f>
        <v>4</v>
      </c>
      <c r="W293" s="35">
        <f>IFERROR(__xludf.DUMMYFUNCTION("""COMPUTED_VALUE"""),4.0)</f>
        <v>4</v>
      </c>
      <c r="X293" s="35">
        <f>IFERROR(__xludf.DUMMYFUNCTION("""COMPUTED_VALUE"""),3.0)</f>
        <v>3</v>
      </c>
      <c r="Y293" s="35">
        <f>IFERROR(__xludf.DUMMYFUNCTION("""COMPUTED_VALUE"""),3.0)</f>
        <v>3</v>
      </c>
      <c r="Z293" s="35">
        <f>IFERROR(__xludf.DUMMYFUNCTION("""COMPUTED_VALUE"""),3.0)</f>
        <v>3</v>
      </c>
    </row>
    <row r="294" ht="15.75" customHeight="1">
      <c r="C294" s="34">
        <v>2232.0</v>
      </c>
      <c r="D294" s="70" t="s">
        <v>445</v>
      </c>
      <c r="E294" s="71" t="str">
        <f>vlookup(C294,'NOC-List'!B$2:C$502,2,False)</f>
        <v>Mechanical engineering technologists and technicians</v>
      </c>
      <c r="F294" s="72">
        <v>2.0</v>
      </c>
      <c r="G294" s="72">
        <v>3.0</v>
      </c>
      <c r="H294" s="72">
        <v>3.0</v>
      </c>
      <c r="I294" s="72">
        <v>2.0</v>
      </c>
      <c r="J294" s="72">
        <v>3.0</v>
      </c>
      <c r="K294" s="72">
        <v>3.0</v>
      </c>
      <c r="L294" s="72">
        <v>3.0</v>
      </c>
      <c r="M294" s="72">
        <v>3.0</v>
      </c>
      <c r="N294" s="72">
        <v>3.0</v>
      </c>
      <c r="O294" s="73"/>
      <c r="P294" s="35">
        <f>IFERROR(__xludf.DUMMYFUNCTION("""COMPUTED_VALUE"""),8255.0)</f>
        <v>8255</v>
      </c>
      <c r="Q294" s="35" t="str">
        <f>IFERROR(__xludf.DUMMYFUNCTION("query(C294:N1287,""Select D,E,F,G,H,I,J,K,L,M WHERE ""&amp;P294&amp;"" =C Limit 1"")"),"Landscaping and Grounds Maintenance Contractors and Managers")</f>
        <v>Landscaping and Grounds Maintenance Contractors and Managers</v>
      </c>
      <c r="R294" s="35" t="str">
        <f>IFERROR(__xludf.DUMMYFUNCTION("""COMPUTED_VALUE"""),"Contractors and supervisors, landscaping, grounds maintenance and horticulture services")</f>
        <v>Contractors and supervisors, landscaping, grounds maintenance and horticulture services</v>
      </c>
      <c r="S294" s="35">
        <f>IFERROR(__xludf.DUMMYFUNCTION("""COMPUTED_VALUE"""),2.0)</f>
        <v>2</v>
      </c>
      <c r="T294" s="35">
        <f>IFERROR(__xludf.DUMMYFUNCTION("""COMPUTED_VALUE"""),3.0)</f>
        <v>3</v>
      </c>
      <c r="U294" s="35">
        <f>IFERROR(__xludf.DUMMYFUNCTION("""COMPUTED_VALUE"""),3.0)</f>
        <v>3</v>
      </c>
      <c r="V294" s="35">
        <f>IFERROR(__xludf.DUMMYFUNCTION("""COMPUTED_VALUE"""),2.0)</f>
        <v>2</v>
      </c>
      <c r="W294" s="35">
        <f>IFERROR(__xludf.DUMMYFUNCTION("""COMPUTED_VALUE"""),3.0)</f>
        <v>3</v>
      </c>
      <c r="X294" s="35">
        <f>IFERROR(__xludf.DUMMYFUNCTION("""COMPUTED_VALUE"""),4.0)</f>
        <v>4</v>
      </c>
      <c r="Y294" s="35">
        <f>IFERROR(__xludf.DUMMYFUNCTION("""COMPUTED_VALUE"""),4.0)</f>
        <v>4</v>
      </c>
      <c r="Z294" s="35">
        <f>IFERROR(__xludf.DUMMYFUNCTION("""COMPUTED_VALUE"""),4.0)</f>
        <v>4</v>
      </c>
    </row>
    <row r="295" ht="15.75" customHeight="1">
      <c r="C295" s="34">
        <v>9442.0</v>
      </c>
      <c r="D295" s="70" t="s">
        <v>446</v>
      </c>
      <c r="E295" s="71" t="str">
        <f>vlookup(C295,'NOC-List'!B$2:C$502,2,False)</f>
        <v>Weavers, knitters and other fabric making occupations</v>
      </c>
      <c r="F295" s="72">
        <v>3.0</v>
      </c>
      <c r="G295" s="72">
        <v>4.0</v>
      </c>
      <c r="H295" s="72">
        <v>4.0</v>
      </c>
      <c r="I295" s="72">
        <v>2.0</v>
      </c>
      <c r="J295" s="72">
        <v>3.0</v>
      </c>
      <c r="K295" s="72">
        <v>4.0</v>
      </c>
      <c r="L295" s="72">
        <v>2.0</v>
      </c>
      <c r="M295" s="72">
        <v>3.0</v>
      </c>
      <c r="N295" s="72">
        <v>2.0</v>
      </c>
      <c r="O295" s="73"/>
      <c r="P295" s="35">
        <f>IFERROR(__xludf.DUMMYFUNCTION("""COMPUTED_VALUE"""),1242.0)</f>
        <v>1242</v>
      </c>
      <c r="Q295" s="35" t="str">
        <f>IFERROR(__xludf.DUMMYFUNCTION("query(C295:N1288,""Select D,E,F,G,H,I,J,K,L,M WHERE ""&amp;P295&amp;"" =C Limit 1"")"),"Legal Secretaries")</f>
        <v>Legal Secretaries</v>
      </c>
      <c r="R295" s="35" t="str">
        <f>IFERROR(__xludf.DUMMYFUNCTION("""COMPUTED_VALUE"""),"Legal administrative assistants")</f>
        <v>Legal administrative assistants</v>
      </c>
      <c r="S295" s="35">
        <f>IFERROR(__xludf.DUMMYFUNCTION("""COMPUTED_VALUE"""),3.0)</f>
        <v>3</v>
      </c>
      <c r="T295" s="35">
        <f>IFERROR(__xludf.DUMMYFUNCTION("""COMPUTED_VALUE"""),3.0)</f>
        <v>3</v>
      </c>
      <c r="U295" s="35">
        <f>IFERROR(__xludf.DUMMYFUNCTION("""COMPUTED_VALUE"""),3.0)</f>
        <v>3</v>
      </c>
      <c r="V295" s="35">
        <f>IFERROR(__xludf.DUMMYFUNCTION("""COMPUTED_VALUE"""),4.0)</f>
        <v>4</v>
      </c>
      <c r="W295" s="35">
        <f>IFERROR(__xludf.DUMMYFUNCTION("""COMPUTED_VALUE"""),3.0)</f>
        <v>3</v>
      </c>
      <c r="X295" s="35">
        <f>IFERROR(__xludf.DUMMYFUNCTION("""COMPUTED_VALUE"""),2.0)</f>
        <v>2</v>
      </c>
      <c r="Y295" s="35">
        <f>IFERROR(__xludf.DUMMYFUNCTION("""COMPUTED_VALUE"""),3.0)</f>
        <v>3</v>
      </c>
      <c r="Z295" s="35">
        <f>IFERROR(__xludf.DUMMYFUNCTION("""COMPUTED_VALUE"""),3.0)</f>
        <v>3</v>
      </c>
    </row>
    <row r="296" ht="15.75" customHeight="1">
      <c r="C296" s="34">
        <v>7315.0</v>
      </c>
      <c r="D296" s="70" t="s">
        <v>447</v>
      </c>
      <c r="E296" s="71" t="str">
        <f>vlookup(C296,'NOC-List'!B$2:C$502,2,False)</f>
        <v>Aircraft mechanics and aircraft inspectors</v>
      </c>
      <c r="F296" s="72">
        <v>3.0</v>
      </c>
      <c r="G296" s="72">
        <v>4.0</v>
      </c>
      <c r="H296" s="72">
        <v>3.0</v>
      </c>
      <c r="I296" s="72">
        <v>2.0</v>
      </c>
      <c r="J296" s="72">
        <v>2.0</v>
      </c>
      <c r="K296" s="72">
        <v>4.0</v>
      </c>
      <c r="L296" s="72">
        <v>3.0</v>
      </c>
      <c r="M296" s="72">
        <v>3.0</v>
      </c>
      <c r="N296" s="72">
        <v>2.0</v>
      </c>
      <c r="O296" s="73"/>
      <c r="P296" s="35">
        <f>IFERROR(__xludf.DUMMYFUNCTION("""COMPUTED_VALUE"""),9415.0)</f>
        <v>9415</v>
      </c>
      <c r="Q296" s="35" t="str">
        <f>IFERROR(__xludf.DUMMYFUNCTION("query(C296:N1289,""Select D,E,F,G,H,I,J,K,L,M WHERE ""&amp;P296&amp;"" =C Limit 1"")"),"Inspectors and Testers, Mineral and Metal Processing")</f>
        <v>Inspectors and Testers, Mineral and Metal Processing</v>
      </c>
      <c r="R296" s="35" t="str">
        <f>IFERROR(__xludf.DUMMYFUNCTION("""COMPUTED_VALUE"""),"Inspectors and testers, mineral and metal processing")</f>
        <v>Inspectors and testers, mineral and metal processing</v>
      </c>
      <c r="S296" s="35">
        <f>IFERROR(__xludf.DUMMYFUNCTION("""COMPUTED_VALUE"""),3.0)</f>
        <v>3</v>
      </c>
      <c r="T296" s="35">
        <f>IFERROR(__xludf.DUMMYFUNCTION("""COMPUTED_VALUE"""),4.0)</f>
        <v>4</v>
      </c>
      <c r="U296" s="35">
        <f>IFERROR(__xludf.DUMMYFUNCTION("""COMPUTED_VALUE"""),4.0)</f>
        <v>4</v>
      </c>
      <c r="V296" s="35">
        <f>IFERROR(__xludf.DUMMYFUNCTION("""COMPUTED_VALUE"""),4.0)</f>
        <v>4</v>
      </c>
      <c r="W296" s="35">
        <f>IFERROR(__xludf.DUMMYFUNCTION("""COMPUTED_VALUE"""),3.0)</f>
        <v>3</v>
      </c>
      <c r="X296" s="35">
        <f>IFERROR(__xludf.DUMMYFUNCTION("""COMPUTED_VALUE"""),4.0)</f>
        <v>4</v>
      </c>
      <c r="Y296" s="35">
        <f>IFERROR(__xludf.DUMMYFUNCTION("""COMPUTED_VALUE"""),4.0)</f>
        <v>4</v>
      </c>
      <c r="Z296" s="35">
        <f>IFERROR(__xludf.DUMMYFUNCTION("""COMPUTED_VALUE"""),4.0)</f>
        <v>4</v>
      </c>
    </row>
    <row r="297" ht="15.75" customHeight="1">
      <c r="C297" s="34">
        <v>5244.0</v>
      </c>
      <c r="D297" s="70" t="s">
        <v>448</v>
      </c>
      <c r="E297" s="71" t="str">
        <f>vlookup(C297,'NOC-List'!B$2:C$502,2,False)</f>
        <v>Artisans and craftspersons</v>
      </c>
      <c r="F297" s="72">
        <v>3.0</v>
      </c>
      <c r="G297" s="72">
        <v>4.0</v>
      </c>
      <c r="H297" s="72">
        <v>3.0</v>
      </c>
      <c r="I297" s="72">
        <v>2.0</v>
      </c>
      <c r="J297" s="72">
        <v>2.0</v>
      </c>
      <c r="K297" s="72">
        <v>4.0</v>
      </c>
      <c r="L297" s="72">
        <v>2.0</v>
      </c>
      <c r="M297" s="72">
        <v>2.0</v>
      </c>
      <c r="N297" s="72">
        <v>2.0</v>
      </c>
      <c r="O297" s="73"/>
      <c r="P297" s="35">
        <f>IFERROR(__xludf.DUMMYFUNCTION("""COMPUTED_VALUE"""),1451.0)</f>
        <v>1451</v>
      </c>
      <c r="Q297" s="35" t="str">
        <f>IFERROR(__xludf.DUMMYFUNCTION("query(C297:N1290,""Select D,E,F,G,H,I,J,K,L,M WHERE ""&amp;P297&amp;"" =C Limit 1"")"),"Library Clerks")</f>
        <v>Library Clerks</v>
      </c>
      <c r="R297" s="35" t="str">
        <f>IFERROR(__xludf.DUMMYFUNCTION("""COMPUTED_VALUE"""),"Library assistants and clerks")</f>
        <v>Library assistants and clerks</v>
      </c>
      <c r="S297" s="35">
        <f>IFERROR(__xludf.DUMMYFUNCTION("""COMPUTED_VALUE"""),3.0)</f>
        <v>3</v>
      </c>
      <c r="T297" s="35">
        <f>IFERROR(__xludf.DUMMYFUNCTION("""COMPUTED_VALUE"""),3.0)</f>
        <v>3</v>
      </c>
      <c r="U297" s="35">
        <f>IFERROR(__xludf.DUMMYFUNCTION("""COMPUTED_VALUE"""),4.0)</f>
        <v>4</v>
      </c>
      <c r="V297" s="35">
        <f>IFERROR(__xludf.DUMMYFUNCTION("""COMPUTED_VALUE"""),4.0)</f>
        <v>4</v>
      </c>
      <c r="W297" s="35">
        <f>IFERROR(__xludf.DUMMYFUNCTION("""COMPUTED_VALUE"""),3.0)</f>
        <v>3</v>
      </c>
      <c r="X297" s="35">
        <f>IFERROR(__xludf.DUMMYFUNCTION("""COMPUTED_VALUE"""),3.0)</f>
        <v>3</v>
      </c>
      <c r="Y297" s="35">
        <f>IFERROR(__xludf.DUMMYFUNCTION("""COMPUTED_VALUE"""),3.0)</f>
        <v>3</v>
      </c>
      <c r="Z297" s="35">
        <f>IFERROR(__xludf.DUMMYFUNCTION("""COMPUTED_VALUE"""),4.0)</f>
        <v>4</v>
      </c>
    </row>
    <row r="298" ht="15.75" customHeight="1">
      <c r="C298" s="34">
        <v>5244.0</v>
      </c>
      <c r="D298" s="70" t="s">
        <v>449</v>
      </c>
      <c r="E298" s="71" t="str">
        <f>vlookup(C298,'NOC-List'!B$2:C$502,2,False)</f>
        <v>Artisans and craftspersons</v>
      </c>
      <c r="F298" s="72">
        <v>3.0</v>
      </c>
      <c r="G298" s="72">
        <v>4.0</v>
      </c>
      <c r="H298" s="72">
        <v>3.0</v>
      </c>
      <c r="I298" s="72">
        <v>2.0</v>
      </c>
      <c r="J298" s="72">
        <v>2.0</v>
      </c>
      <c r="K298" s="72">
        <v>4.0</v>
      </c>
      <c r="L298" s="72">
        <v>2.0</v>
      </c>
      <c r="M298" s="72">
        <v>2.0</v>
      </c>
      <c r="N298" s="72">
        <v>2.0</v>
      </c>
      <c r="O298" s="73"/>
      <c r="P298" s="35">
        <f>IFERROR(__xludf.DUMMYFUNCTION("""COMPUTED_VALUE"""),1512.0)</f>
        <v>1512</v>
      </c>
      <c r="Q298" s="35" t="str">
        <f>IFERROR(__xludf.DUMMYFUNCTION("query(C298:N1291,""Select D,E,F,G,H,I,J,K,L,M WHERE ""&amp;P298&amp;"" =C Limit 1"")"),"Letter Carriers")</f>
        <v>Letter Carriers</v>
      </c>
      <c r="R298" s="35" t="str">
        <f>IFERROR(__xludf.DUMMYFUNCTION("""COMPUTED_VALUE"""),"Letter carriers")</f>
        <v>Letter carriers</v>
      </c>
      <c r="S298" s="35">
        <f>IFERROR(__xludf.DUMMYFUNCTION("""COMPUTED_VALUE"""),4.0)</f>
        <v>4</v>
      </c>
      <c r="T298" s="35">
        <f>IFERROR(__xludf.DUMMYFUNCTION("""COMPUTED_VALUE"""),4.0)</f>
        <v>4</v>
      </c>
      <c r="U298" s="35">
        <f>IFERROR(__xludf.DUMMYFUNCTION("""COMPUTED_VALUE"""),4.0)</f>
        <v>4</v>
      </c>
      <c r="V298" s="35">
        <f>IFERROR(__xludf.DUMMYFUNCTION("""COMPUTED_VALUE"""),4.0)</f>
        <v>4</v>
      </c>
      <c r="W298" s="35">
        <f>IFERROR(__xludf.DUMMYFUNCTION("""COMPUTED_VALUE"""),4.0)</f>
        <v>4</v>
      </c>
      <c r="X298" s="35">
        <f>IFERROR(__xludf.DUMMYFUNCTION("""COMPUTED_VALUE"""),3.0)</f>
        <v>3</v>
      </c>
      <c r="Y298" s="35">
        <f>IFERROR(__xludf.DUMMYFUNCTION("""COMPUTED_VALUE"""),3.0)</f>
        <v>3</v>
      </c>
      <c r="Z298" s="35">
        <f>IFERROR(__xludf.DUMMYFUNCTION("""COMPUTED_VALUE"""),4.0)</f>
        <v>4</v>
      </c>
    </row>
    <row r="299" ht="15.75" customHeight="1">
      <c r="C299" s="81">
        <v>2255.0</v>
      </c>
      <c r="D299" s="70" t="s">
        <v>450</v>
      </c>
      <c r="E299" s="71" t="str">
        <f>vlookup(C299,'NOC-List'!B$2:C$502,2,False)</f>
        <v>Technical occupations in geomatics and meteorology</v>
      </c>
      <c r="F299" s="72">
        <v>2.0</v>
      </c>
      <c r="G299" s="72">
        <v>3.0</v>
      </c>
      <c r="H299" s="72">
        <v>3.0</v>
      </c>
      <c r="I299" s="72">
        <v>2.0</v>
      </c>
      <c r="J299" s="72">
        <v>2.0</v>
      </c>
      <c r="K299" s="72">
        <v>3.0</v>
      </c>
      <c r="L299" s="72">
        <v>3.0</v>
      </c>
      <c r="M299" s="72">
        <v>3.0</v>
      </c>
      <c r="N299" s="72">
        <v>3.0</v>
      </c>
      <c r="O299" s="73"/>
      <c r="P299" s="35">
        <f>IFERROR(__xludf.DUMMYFUNCTION("""COMPUTED_VALUE"""),9411.0)</f>
        <v>9411</v>
      </c>
      <c r="Q299" s="35" t="str">
        <f>IFERROR(__xludf.DUMMYFUNCTION("query(C299:N1292,""Select D,E,F,G,H,I,J,K,L,M WHERE ""&amp;P299&amp;"" =C Limit 1"")"),"Machine Operators, Mineral and Metal Processing")</f>
        <v>Machine Operators, Mineral and Metal Processing</v>
      </c>
      <c r="R299" s="35" t="str">
        <f>IFERROR(__xludf.DUMMYFUNCTION("""COMPUTED_VALUE"""),"Machine operators, mineral and metal processing")</f>
        <v>Machine operators, mineral and metal processing</v>
      </c>
      <c r="S299" s="35">
        <f>IFERROR(__xludf.DUMMYFUNCTION("""COMPUTED_VALUE"""),3.0)</f>
        <v>3</v>
      </c>
      <c r="T299" s="35">
        <f>IFERROR(__xludf.DUMMYFUNCTION("""COMPUTED_VALUE"""),4.0)</f>
        <v>4</v>
      </c>
      <c r="U299" s="35">
        <f>IFERROR(__xludf.DUMMYFUNCTION("""COMPUTED_VALUE"""),4.0)</f>
        <v>4</v>
      </c>
      <c r="V299" s="35">
        <f>IFERROR(__xludf.DUMMYFUNCTION("""COMPUTED_VALUE"""),4.0)</f>
        <v>4</v>
      </c>
      <c r="W299" s="35">
        <f>IFERROR(__xludf.DUMMYFUNCTION("""COMPUTED_VALUE"""),4.0)</f>
        <v>4</v>
      </c>
      <c r="X299" s="35">
        <f>IFERROR(__xludf.DUMMYFUNCTION("""COMPUTED_VALUE"""),4.0)</f>
        <v>4</v>
      </c>
      <c r="Y299" s="35">
        <f>IFERROR(__xludf.DUMMYFUNCTION("""COMPUTED_VALUE"""),3.0)</f>
        <v>3</v>
      </c>
      <c r="Z299" s="35">
        <f>IFERROR(__xludf.DUMMYFUNCTION("""COMPUTED_VALUE"""),4.0)</f>
        <v>4</v>
      </c>
    </row>
    <row r="300" ht="15.75" customHeight="1">
      <c r="C300" s="34">
        <v>7384.0</v>
      </c>
      <c r="D300" s="70" t="s">
        <v>451</v>
      </c>
      <c r="E300" s="71" t="str">
        <f>vlookup(C300,'NOC-List'!B$2:C$502,2,False)</f>
        <v>Other trades and related occupations, n.e.c.</v>
      </c>
      <c r="F300" s="72">
        <v>3.0</v>
      </c>
      <c r="G300" s="72">
        <v>4.0</v>
      </c>
      <c r="H300" s="72">
        <v>3.0</v>
      </c>
      <c r="I300" s="72">
        <v>2.0</v>
      </c>
      <c r="J300" s="72">
        <v>3.0</v>
      </c>
      <c r="K300" s="72">
        <v>4.0</v>
      </c>
      <c r="L300" s="72">
        <v>2.0</v>
      </c>
      <c r="M300" s="72">
        <v>4.0</v>
      </c>
      <c r="N300" s="72">
        <v>2.0</v>
      </c>
      <c r="O300" s="73"/>
      <c r="P300" s="35">
        <f>IFERROR(__xludf.DUMMYFUNCTION("""COMPUTED_VALUE"""),3236.0)</f>
        <v>3236</v>
      </c>
      <c r="Q300" s="35" t="str">
        <f>IFERROR(__xludf.DUMMYFUNCTION("query(C300:N1293,""Select D,E,F,G,H,I,J,K,L,M WHERE ""&amp;P300&amp;"" =C Limit 1"")"),"Massage Therapists")</f>
        <v>Massage Therapists</v>
      </c>
      <c r="R300" s="35" t="str">
        <f>IFERROR(__xludf.DUMMYFUNCTION("""COMPUTED_VALUE"""),"Massage therapists")</f>
        <v>Massage therapists</v>
      </c>
      <c r="S300" s="35">
        <f>IFERROR(__xludf.DUMMYFUNCTION("""COMPUTED_VALUE"""),3.0)</f>
        <v>3</v>
      </c>
      <c r="T300" s="35">
        <f>IFERROR(__xludf.DUMMYFUNCTION("""COMPUTED_VALUE"""),3.0)</f>
        <v>3</v>
      </c>
      <c r="U300" s="35">
        <f>IFERROR(__xludf.DUMMYFUNCTION("""COMPUTED_VALUE"""),4.0)</f>
        <v>4</v>
      </c>
      <c r="V300" s="35">
        <f>IFERROR(__xludf.DUMMYFUNCTION("""COMPUTED_VALUE"""),4.0)</f>
        <v>4</v>
      </c>
      <c r="W300" s="35">
        <f>IFERROR(__xludf.DUMMYFUNCTION("""COMPUTED_VALUE"""),4.0)</f>
        <v>4</v>
      </c>
      <c r="X300" s="35">
        <f>IFERROR(__xludf.DUMMYFUNCTION("""COMPUTED_VALUE"""),4.0)</f>
        <v>4</v>
      </c>
      <c r="Y300" s="35">
        <f>IFERROR(__xludf.DUMMYFUNCTION("""COMPUTED_VALUE"""),3.0)</f>
        <v>3</v>
      </c>
      <c r="Z300" s="35">
        <f>IFERROR(__xludf.DUMMYFUNCTION("""COMPUTED_VALUE"""),3.0)</f>
        <v>3</v>
      </c>
    </row>
    <row r="301" ht="15.75" customHeight="1">
      <c r="C301" s="34">
        <v>7384.0</v>
      </c>
      <c r="D301" s="70" t="s">
        <v>452</v>
      </c>
      <c r="E301" s="71" t="str">
        <f>vlookup(C301,'NOC-List'!B$2:C$502,2,False)</f>
        <v>Other trades and related occupations, n.e.c.</v>
      </c>
      <c r="F301" s="72">
        <v>3.0</v>
      </c>
      <c r="G301" s="72">
        <v>4.0</v>
      </c>
      <c r="H301" s="72">
        <v>4.0</v>
      </c>
      <c r="I301" s="72">
        <v>2.0</v>
      </c>
      <c r="J301" s="72">
        <v>3.0</v>
      </c>
      <c r="K301" s="72">
        <v>4.0</v>
      </c>
      <c r="L301" s="72">
        <v>3.0</v>
      </c>
      <c r="M301" s="72">
        <v>3.0</v>
      </c>
      <c r="N301" s="72">
        <v>3.0</v>
      </c>
      <c r="O301" s="73"/>
      <c r="P301" s="35">
        <f>IFERROR(__xludf.DUMMYFUNCTION("""COMPUTED_VALUE"""),1243.0)</f>
        <v>1243</v>
      </c>
      <c r="Q301" s="35" t="str">
        <f>IFERROR(__xludf.DUMMYFUNCTION("query(C301:N1294,""Select D,E,F,G,H,I,J,K,L,M WHERE ""&amp;P301&amp;"" =C Limit 1"")"),"Medical and Dental Receptionists")</f>
        <v>Medical and Dental Receptionists</v>
      </c>
      <c r="R301" s="35" t="str">
        <f>IFERROR(__xludf.DUMMYFUNCTION("""COMPUTED_VALUE"""),"Medical administrative assistants")</f>
        <v>Medical administrative assistants</v>
      </c>
      <c r="S301" s="35">
        <f>IFERROR(__xludf.DUMMYFUNCTION("""COMPUTED_VALUE"""),3.0)</f>
        <v>3</v>
      </c>
      <c r="T301" s="35">
        <f>IFERROR(__xludf.DUMMYFUNCTION("""COMPUTED_VALUE"""),3.0)</f>
        <v>3</v>
      </c>
      <c r="U301" s="35">
        <f>IFERROR(__xludf.DUMMYFUNCTION("""COMPUTED_VALUE"""),4.0)</f>
        <v>4</v>
      </c>
      <c r="V301" s="35">
        <f>IFERROR(__xludf.DUMMYFUNCTION("""COMPUTED_VALUE"""),4.0)</f>
        <v>4</v>
      </c>
      <c r="W301" s="35">
        <f>IFERROR(__xludf.DUMMYFUNCTION("""COMPUTED_VALUE"""),4.0)</f>
        <v>4</v>
      </c>
      <c r="X301" s="35">
        <f>IFERROR(__xludf.DUMMYFUNCTION("""COMPUTED_VALUE"""),3.0)</f>
        <v>3</v>
      </c>
      <c r="Y301" s="35">
        <f>IFERROR(__xludf.DUMMYFUNCTION("""COMPUTED_VALUE"""),3.0)</f>
        <v>3</v>
      </c>
      <c r="Z301" s="35">
        <f>IFERROR(__xludf.DUMMYFUNCTION("""COMPUTED_VALUE"""),3.0)</f>
        <v>3</v>
      </c>
    </row>
    <row r="302" ht="15.75" customHeight="1">
      <c r="C302" s="34">
        <v>7234.0</v>
      </c>
      <c r="D302" s="70" t="s">
        <v>453</v>
      </c>
      <c r="E302" s="71" t="str">
        <f>vlookup(C302,'NOC-List'!B$2:C$502,2,False)</f>
        <v>Boilermakers</v>
      </c>
      <c r="F302" s="72">
        <v>3.0</v>
      </c>
      <c r="G302" s="72">
        <v>3.0</v>
      </c>
      <c r="H302" s="72">
        <v>3.0</v>
      </c>
      <c r="I302" s="72">
        <v>2.0</v>
      </c>
      <c r="J302" s="72">
        <v>3.0</v>
      </c>
      <c r="K302" s="72">
        <v>4.0</v>
      </c>
      <c r="L302" s="72">
        <v>3.0</v>
      </c>
      <c r="M302" s="72">
        <v>3.0</v>
      </c>
      <c r="N302" s="72">
        <v>2.0</v>
      </c>
      <c r="O302" s="73"/>
      <c r="P302" s="35">
        <f>IFERROR(__xludf.DUMMYFUNCTION("""COMPUTED_VALUE"""),3211.0)</f>
        <v>3211</v>
      </c>
      <c r="Q302" s="35" t="str">
        <f>IFERROR(__xludf.DUMMYFUNCTION("query(C302:N1295,""Select D,E,F,G,H,I,J,K,L,M WHERE ""&amp;P302&amp;"" =C Limit 1"")"),"Medical Laboratory Technologists")</f>
        <v>Medical Laboratory Technologists</v>
      </c>
      <c r="R302" s="35" t="str">
        <f>IFERROR(__xludf.DUMMYFUNCTION("""COMPUTED_VALUE"""),"Medical laboratory technologists")</f>
        <v>Medical laboratory technologists</v>
      </c>
      <c r="S302" s="35">
        <f>IFERROR(__xludf.DUMMYFUNCTION("""COMPUTED_VALUE"""),2.0)</f>
        <v>2</v>
      </c>
      <c r="T302" s="35">
        <f>IFERROR(__xludf.DUMMYFUNCTION("""COMPUTED_VALUE"""),2.0)</f>
        <v>2</v>
      </c>
      <c r="U302" s="35">
        <f>IFERROR(__xludf.DUMMYFUNCTION("""COMPUTED_VALUE"""),2.0)</f>
        <v>2</v>
      </c>
      <c r="V302" s="35">
        <f>IFERROR(__xludf.DUMMYFUNCTION("""COMPUTED_VALUE"""),3.0)</f>
        <v>3</v>
      </c>
      <c r="W302" s="35">
        <f>IFERROR(__xludf.DUMMYFUNCTION("""COMPUTED_VALUE"""),2.0)</f>
        <v>2</v>
      </c>
      <c r="X302" s="35">
        <f>IFERROR(__xludf.DUMMYFUNCTION("""COMPUTED_VALUE"""),3.0)</f>
        <v>3</v>
      </c>
      <c r="Y302" s="35">
        <f>IFERROR(__xludf.DUMMYFUNCTION("""COMPUTED_VALUE"""),3.0)</f>
        <v>3</v>
      </c>
      <c r="Z302" s="35">
        <f>IFERROR(__xludf.DUMMYFUNCTION("""COMPUTED_VALUE"""),3.0)</f>
        <v>3</v>
      </c>
    </row>
    <row r="303" ht="15.75" customHeight="1">
      <c r="C303" s="34">
        <v>7233.0</v>
      </c>
      <c r="D303" s="70" t="s">
        <v>454</v>
      </c>
      <c r="E303" s="71" t="str">
        <f>vlookup(C303,'NOC-List'!B$2:C$502,2,False)</f>
        <v>Sheet metal workers</v>
      </c>
      <c r="F303" s="72">
        <v>3.0</v>
      </c>
      <c r="G303" s="72">
        <v>4.0</v>
      </c>
      <c r="H303" s="72">
        <v>3.0</v>
      </c>
      <c r="I303" s="72">
        <v>2.0</v>
      </c>
      <c r="J303" s="72">
        <v>3.0</v>
      </c>
      <c r="K303" s="72">
        <v>4.0</v>
      </c>
      <c r="L303" s="72">
        <v>3.0</v>
      </c>
      <c r="M303" s="72">
        <v>3.0</v>
      </c>
      <c r="N303" s="72">
        <v>2.0</v>
      </c>
      <c r="O303" s="73"/>
      <c r="P303" s="35">
        <f>IFERROR(__xludf.DUMMYFUNCTION("""COMPUTED_VALUE"""),2261.0)</f>
        <v>2261</v>
      </c>
      <c r="Q303" s="35" t="str">
        <f>IFERROR(__xludf.DUMMYFUNCTION("query(C303:N1296,""Select D,E,F,G,H,I,J,K,L,M WHERE ""&amp;P303&amp;"" =C Limit 1"")"),"Nondestructive Testers and Inspectors")</f>
        <v>Nondestructive Testers and Inspectors</v>
      </c>
      <c r="R303" s="35" t="str">
        <f>IFERROR(__xludf.DUMMYFUNCTION("""COMPUTED_VALUE"""),"Non-destructive testers and inspection technicians")</f>
        <v>Non-destructive testers and inspection technicians</v>
      </c>
      <c r="S303" s="35">
        <f>IFERROR(__xludf.DUMMYFUNCTION("""COMPUTED_VALUE"""),3.0)</f>
        <v>3</v>
      </c>
      <c r="T303" s="35">
        <f>IFERROR(__xludf.DUMMYFUNCTION("""COMPUTED_VALUE"""),3.0)</f>
        <v>3</v>
      </c>
      <c r="U303" s="35">
        <f>IFERROR(__xludf.DUMMYFUNCTION("""COMPUTED_VALUE"""),3.0)</f>
        <v>3</v>
      </c>
      <c r="V303" s="35">
        <f>IFERROR(__xludf.DUMMYFUNCTION("""COMPUTED_VALUE"""),3.0)</f>
        <v>3</v>
      </c>
      <c r="W303" s="35">
        <f>IFERROR(__xludf.DUMMYFUNCTION("""COMPUTED_VALUE"""),3.0)</f>
        <v>3</v>
      </c>
      <c r="X303" s="35">
        <f>IFERROR(__xludf.DUMMYFUNCTION("""COMPUTED_VALUE"""),4.0)</f>
        <v>4</v>
      </c>
      <c r="Y303" s="35">
        <f>IFERROR(__xludf.DUMMYFUNCTION("""COMPUTED_VALUE"""),3.0)</f>
        <v>3</v>
      </c>
      <c r="Z303" s="35">
        <f>IFERROR(__xludf.DUMMYFUNCTION("""COMPUTED_VALUE"""),4.0)</f>
        <v>4</v>
      </c>
    </row>
    <row r="304" ht="15.75" customHeight="1">
      <c r="C304" s="34">
        <v>7372.0</v>
      </c>
      <c r="D304" s="70" t="s">
        <v>455</v>
      </c>
      <c r="E304" s="71" t="str">
        <f>vlookup(C304,'NOC-List'!B$2:C$502,2,False)</f>
        <v>Drillers and blasters - surface mining, quarrying and construction</v>
      </c>
      <c r="F304" s="72">
        <v>3.0</v>
      </c>
      <c r="G304" s="72">
        <v>4.0</v>
      </c>
      <c r="H304" s="72">
        <v>4.0</v>
      </c>
      <c r="I304" s="72">
        <v>3.0</v>
      </c>
      <c r="J304" s="72">
        <v>3.0</v>
      </c>
      <c r="K304" s="72">
        <v>4.0</v>
      </c>
      <c r="L304" s="72">
        <v>3.0</v>
      </c>
      <c r="M304" s="72">
        <v>3.0</v>
      </c>
      <c r="N304" s="72">
        <v>3.0</v>
      </c>
      <c r="O304" s="73"/>
      <c r="P304" s="35">
        <f>IFERROR(__xludf.DUMMYFUNCTION("""COMPUTED_VALUE"""),8232.0)</f>
        <v>8232</v>
      </c>
      <c r="Q304" s="35" t="str">
        <f>IFERROR(__xludf.DUMMYFUNCTION("query(C304:N1297,""Select D,E,F,G,H,I,J,K,L,M WHERE ""&amp;P304&amp;"" =C Limit 1"")"),"Oil and Gas Well Loggers, Testers and Related Workers")</f>
        <v>Oil and Gas Well Loggers, Testers and Related Workers</v>
      </c>
      <c r="R304" s="35" t="str">
        <f>IFERROR(__xludf.DUMMYFUNCTION("""COMPUTED_VALUE"""),"Oil and gas well drillers, servicers, testers and related workers")</f>
        <v>Oil and gas well drillers, servicers, testers and related workers</v>
      </c>
      <c r="S304" s="35">
        <f>IFERROR(__xludf.DUMMYFUNCTION("""COMPUTED_VALUE"""),3.0)</f>
        <v>3</v>
      </c>
      <c r="T304" s="35">
        <f>IFERROR(__xludf.DUMMYFUNCTION("""COMPUTED_VALUE"""),3.0)</f>
        <v>3</v>
      </c>
      <c r="U304" s="35">
        <f>IFERROR(__xludf.DUMMYFUNCTION("""COMPUTED_VALUE"""),4.0)</f>
        <v>4</v>
      </c>
      <c r="V304" s="35">
        <f>IFERROR(__xludf.DUMMYFUNCTION("""COMPUTED_VALUE"""),3.0)</f>
        <v>3</v>
      </c>
      <c r="W304" s="35">
        <f>IFERROR(__xludf.DUMMYFUNCTION("""COMPUTED_VALUE"""),4.0)</f>
        <v>4</v>
      </c>
      <c r="X304" s="35">
        <f>IFERROR(__xludf.DUMMYFUNCTION("""COMPUTED_VALUE"""),4.0)</f>
        <v>4</v>
      </c>
      <c r="Y304" s="35">
        <f>IFERROR(__xludf.DUMMYFUNCTION("""COMPUTED_VALUE"""),3.0)</f>
        <v>3</v>
      </c>
      <c r="Z304" s="35">
        <f>IFERROR(__xludf.DUMMYFUNCTION("""COMPUTED_VALUE"""),4.0)</f>
        <v>4</v>
      </c>
    </row>
    <row r="305" ht="15.75" customHeight="1">
      <c r="C305" s="34">
        <v>7272.0</v>
      </c>
      <c r="D305" s="70" t="s">
        <v>456</v>
      </c>
      <c r="E305" s="71" t="str">
        <f>vlookup(C305,'NOC-List'!B$2:C$502,2,False)</f>
        <v>Cabinetmakers</v>
      </c>
      <c r="F305" s="72">
        <v>3.0</v>
      </c>
      <c r="G305" s="72">
        <v>4.0</v>
      </c>
      <c r="H305" s="72">
        <v>3.0</v>
      </c>
      <c r="I305" s="72">
        <v>3.0</v>
      </c>
      <c r="J305" s="72">
        <v>3.0</v>
      </c>
      <c r="K305" s="72">
        <v>4.0</v>
      </c>
      <c r="L305" s="72">
        <v>3.0</v>
      </c>
      <c r="M305" s="72">
        <v>3.0</v>
      </c>
      <c r="N305" s="72">
        <v>2.0</v>
      </c>
      <c r="O305" s="73"/>
      <c r="P305" s="35">
        <f>IFERROR(__xludf.DUMMYFUNCTION("""COMPUTED_VALUE"""),3231.0)</f>
        <v>3231</v>
      </c>
      <c r="Q305" s="35" t="str">
        <f>IFERROR(__xludf.DUMMYFUNCTION("query(C305:N1298,""Select D,E,F,G,H,I,J,K,L,M WHERE ""&amp;P305&amp;"" =C Limit 1"")"),"Opticians")</f>
        <v>Opticians</v>
      </c>
      <c r="R305" s="35" t="str">
        <f>IFERROR(__xludf.DUMMYFUNCTION("""COMPUTED_VALUE"""),"Opticians")</f>
        <v>Opticians</v>
      </c>
      <c r="S305" s="35">
        <f>IFERROR(__xludf.DUMMYFUNCTION("""COMPUTED_VALUE"""),3.0)</f>
        <v>3</v>
      </c>
      <c r="T305" s="35">
        <f>IFERROR(__xludf.DUMMYFUNCTION("""COMPUTED_VALUE"""),3.0)</f>
        <v>3</v>
      </c>
      <c r="U305" s="35">
        <f>IFERROR(__xludf.DUMMYFUNCTION("""COMPUTED_VALUE"""),3.0)</f>
        <v>3</v>
      </c>
      <c r="V305" s="35">
        <f>IFERROR(__xludf.DUMMYFUNCTION("""COMPUTED_VALUE"""),3.0)</f>
        <v>3</v>
      </c>
      <c r="W305" s="35">
        <f>IFERROR(__xludf.DUMMYFUNCTION("""COMPUTED_VALUE"""),3.0)</f>
        <v>3</v>
      </c>
      <c r="X305" s="35">
        <f>IFERROR(__xludf.DUMMYFUNCTION("""COMPUTED_VALUE"""),4.0)</f>
        <v>4</v>
      </c>
      <c r="Y305" s="35">
        <f>IFERROR(__xludf.DUMMYFUNCTION("""COMPUTED_VALUE"""),3.0)</f>
        <v>3</v>
      </c>
      <c r="Z305" s="35">
        <f>IFERROR(__xludf.DUMMYFUNCTION("""COMPUTED_VALUE"""),2.0)</f>
        <v>2</v>
      </c>
    </row>
    <row r="306" ht="15.75" customHeight="1">
      <c r="C306" s="34">
        <v>5244.0</v>
      </c>
      <c r="D306" s="70" t="s">
        <v>457</v>
      </c>
      <c r="E306" s="71" t="str">
        <f>vlookup(C306,'NOC-List'!B$2:C$502,2,False)</f>
        <v>Artisans and craftspersons</v>
      </c>
      <c r="F306" s="72">
        <v>3.0</v>
      </c>
      <c r="G306" s="72">
        <v>2.0</v>
      </c>
      <c r="H306" s="72">
        <v>4.0</v>
      </c>
      <c r="I306" s="72">
        <v>2.0</v>
      </c>
      <c r="J306" s="72">
        <v>3.0</v>
      </c>
      <c r="K306" s="72">
        <v>3.0</v>
      </c>
      <c r="L306" s="72">
        <v>3.0</v>
      </c>
      <c r="M306" s="72">
        <v>3.0</v>
      </c>
      <c r="N306" s="72">
        <v>3.0</v>
      </c>
      <c r="O306" s="73"/>
      <c r="P306" s="35">
        <f>IFERROR(__xludf.DUMMYFUNCTION("""COMPUTED_VALUE"""),8412.0)</f>
        <v>8412</v>
      </c>
      <c r="Q306" s="35" t="str">
        <f>IFERROR(__xludf.DUMMYFUNCTION("query(C306:N1299,""Select D,E,F,G,H,I,J,K,L,M WHERE ""&amp;P306&amp;"" =C Limit 1"")"),"Oil and Gas Well Drilling Workers")</f>
        <v>Oil and Gas Well Drilling Workers</v>
      </c>
      <c r="R306" s="35" t="str">
        <f>IFERROR(__xludf.DUMMYFUNCTION("""COMPUTED_VALUE"""),"Oil and gas well drilling and related workers and services operators")</f>
        <v>Oil and gas well drilling and related workers and services operators</v>
      </c>
      <c r="S306" s="35">
        <f>IFERROR(__xludf.DUMMYFUNCTION("""COMPUTED_VALUE"""),3.0)</f>
        <v>3</v>
      </c>
      <c r="T306" s="35">
        <f>IFERROR(__xludf.DUMMYFUNCTION("""COMPUTED_VALUE"""),4.0)</f>
        <v>4</v>
      </c>
      <c r="U306" s="35">
        <f>IFERROR(__xludf.DUMMYFUNCTION("""COMPUTED_VALUE"""),4.0)</f>
        <v>4</v>
      </c>
      <c r="V306" s="35">
        <f>IFERROR(__xludf.DUMMYFUNCTION("""COMPUTED_VALUE"""),4.0)</f>
        <v>4</v>
      </c>
      <c r="W306" s="35">
        <f>IFERROR(__xludf.DUMMYFUNCTION("""COMPUTED_VALUE"""),4.0)</f>
        <v>4</v>
      </c>
      <c r="X306" s="35">
        <f>IFERROR(__xludf.DUMMYFUNCTION("""COMPUTED_VALUE"""),4.0)</f>
        <v>4</v>
      </c>
      <c r="Y306" s="35">
        <f>IFERROR(__xludf.DUMMYFUNCTION("""COMPUTED_VALUE"""),3.0)</f>
        <v>3</v>
      </c>
      <c r="Z306" s="35">
        <f>IFERROR(__xludf.DUMMYFUNCTION("""COMPUTED_VALUE"""),4.0)</f>
        <v>4</v>
      </c>
    </row>
    <row r="307" ht="15.75" customHeight="1">
      <c r="C307" s="81">
        <v>7311.0</v>
      </c>
      <c r="D307" s="70" t="s">
        <v>458</v>
      </c>
      <c r="E307" s="71" t="str">
        <f>vlookup(C307,'NOC-List'!B$2:C$502,2,False)</f>
        <v>Construction millwrights and industrial mechanics</v>
      </c>
      <c r="F307" s="72">
        <v>3.0</v>
      </c>
      <c r="G307" s="72">
        <v>4.0</v>
      </c>
      <c r="H307" s="72">
        <v>3.0</v>
      </c>
      <c r="I307" s="72">
        <v>2.0</v>
      </c>
      <c r="J307" s="72">
        <v>3.0</v>
      </c>
      <c r="K307" s="72">
        <v>4.0</v>
      </c>
      <c r="L307" s="72">
        <v>3.0</v>
      </c>
      <c r="M307" s="72">
        <v>3.0</v>
      </c>
      <c r="N307" s="72">
        <v>3.0</v>
      </c>
      <c r="O307" s="73"/>
      <c r="P307" s="35">
        <f>IFERROR(__xludf.DUMMYFUNCTION("""COMPUTED_VALUE"""),7335.0)</f>
        <v>7335</v>
      </c>
      <c r="Q307" s="35" t="str">
        <f>IFERROR(__xludf.DUMMYFUNCTION("query(C307:N1300,""Select D,E,F,G,H,I,J,K,L,M WHERE ""&amp;P307&amp;"" =C Limit 1"")"),"Other Small Engine and Equipment Mechanics")</f>
        <v>Other Small Engine and Equipment Mechanics</v>
      </c>
      <c r="R307" s="35" t="str">
        <f>IFERROR(__xludf.DUMMYFUNCTION("""COMPUTED_VALUE"""),"Other small engine and small equipment repairers")</f>
        <v>Other small engine and small equipment repairers</v>
      </c>
      <c r="S307" s="35">
        <f>IFERROR(__xludf.DUMMYFUNCTION("""COMPUTED_VALUE"""),3.0)</f>
        <v>3</v>
      </c>
      <c r="T307" s="35">
        <f>IFERROR(__xludf.DUMMYFUNCTION("""COMPUTED_VALUE"""),3.0)</f>
        <v>3</v>
      </c>
      <c r="U307" s="35">
        <f>IFERROR(__xludf.DUMMYFUNCTION("""COMPUTED_VALUE"""),3.0)</f>
        <v>3</v>
      </c>
      <c r="V307" s="35">
        <f>IFERROR(__xludf.DUMMYFUNCTION("""COMPUTED_VALUE"""),3.0)</f>
        <v>3</v>
      </c>
      <c r="W307" s="35">
        <f>IFERROR(__xludf.DUMMYFUNCTION("""COMPUTED_VALUE"""),3.0)</f>
        <v>3</v>
      </c>
      <c r="X307" s="35">
        <f>IFERROR(__xludf.DUMMYFUNCTION("""COMPUTED_VALUE"""),4.0)</f>
        <v>4</v>
      </c>
      <c r="Y307" s="35">
        <f>IFERROR(__xludf.DUMMYFUNCTION("""COMPUTED_VALUE"""),4.0)</f>
        <v>4</v>
      </c>
      <c r="Z307" s="35">
        <f>IFERROR(__xludf.DUMMYFUNCTION("""COMPUTED_VALUE"""),3.0)</f>
        <v>3</v>
      </c>
    </row>
    <row r="308" ht="15.75" customHeight="1">
      <c r="C308" s="34">
        <v>1423.0</v>
      </c>
      <c r="D308" s="70" t="s">
        <v>459</v>
      </c>
      <c r="E308" s="71" t="str">
        <f>vlookup(C308,'NOC-List'!B$2:C$502,2,False)</f>
        <v>Desktop publishing operators and related occupations</v>
      </c>
      <c r="F308" s="72">
        <v>3.0</v>
      </c>
      <c r="G308" s="72">
        <v>3.0</v>
      </c>
      <c r="H308" s="72">
        <v>4.0</v>
      </c>
      <c r="I308" s="72">
        <v>3.0</v>
      </c>
      <c r="J308" s="72">
        <v>3.0</v>
      </c>
      <c r="K308" s="72">
        <v>3.0</v>
      </c>
      <c r="L308" s="72">
        <v>3.0</v>
      </c>
      <c r="M308" s="72">
        <v>3.0</v>
      </c>
      <c r="N308" s="72">
        <v>3.0</v>
      </c>
      <c r="O308" s="73"/>
      <c r="P308" s="35">
        <f>IFERROR(__xludf.DUMMYFUNCTION("""COMPUTED_VALUE"""),9537.0)</f>
        <v>9537</v>
      </c>
      <c r="Q308" s="35" t="str">
        <f>IFERROR(__xludf.DUMMYFUNCTION("query(C308:N1301,""Select D,E,F,G,H,I,J,K,L,M WHERE ""&amp;P308&amp;"" =C Limit 1"")"),"Other Assemblers")</f>
        <v>Other Assemblers</v>
      </c>
      <c r="R308" s="35" t="str">
        <f>IFERROR(__xludf.DUMMYFUNCTION("""COMPUTED_VALUE"""),"Other products assemblers, finishers and inspectors")</f>
        <v>Other products assemblers, finishers and inspectors</v>
      </c>
      <c r="S308" s="35">
        <f>IFERROR(__xludf.DUMMYFUNCTION("""COMPUTED_VALUE"""),4.0)</f>
        <v>4</v>
      </c>
      <c r="T308" s="35">
        <f>IFERROR(__xludf.DUMMYFUNCTION("""COMPUTED_VALUE"""),4.0)</f>
        <v>4</v>
      </c>
      <c r="U308" s="35">
        <f>IFERROR(__xludf.DUMMYFUNCTION("""COMPUTED_VALUE"""),4.0)</f>
        <v>4</v>
      </c>
      <c r="V308" s="35">
        <f>IFERROR(__xludf.DUMMYFUNCTION("""COMPUTED_VALUE"""),4.0)</f>
        <v>4</v>
      </c>
      <c r="W308" s="35">
        <f>IFERROR(__xludf.DUMMYFUNCTION("""COMPUTED_VALUE"""),4.0)</f>
        <v>4</v>
      </c>
      <c r="X308" s="35">
        <f>IFERROR(__xludf.DUMMYFUNCTION("""COMPUTED_VALUE"""),4.0)</f>
        <v>4</v>
      </c>
      <c r="Y308" s="35">
        <f>IFERROR(__xludf.DUMMYFUNCTION("""COMPUTED_VALUE"""),3.0)</f>
        <v>3</v>
      </c>
      <c r="Z308" s="35">
        <f>IFERROR(__xludf.DUMMYFUNCTION("""COMPUTED_VALUE"""),3.0)</f>
        <v>3</v>
      </c>
    </row>
    <row r="309" ht="15.75" customHeight="1">
      <c r="C309" s="34">
        <v>2241.0</v>
      </c>
      <c r="D309" s="70" t="s">
        <v>460</v>
      </c>
      <c r="E309" s="71" t="str">
        <f>vlookup(C309,'NOC-List'!B$2:C$502,2,False)</f>
        <v>Electrical and electronics engineering technologists and technicians</v>
      </c>
      <c r="F309" s="72">
        <v>2.0</v>
      </c>
      <c r="G309" s="72">
        <v>3.0</v>
      </c>
      <c r="H309" s="72">
        <v>3.0</v>
      </c>
      <c r="I309" s="72">
        <v>2.0</v>
      </c>
      <c r="J309" s="72">
        <v>2.0</v>
      </c>
      <c r="K309" s="72">
        <v>3.0</v>
      </c>
      <c r="L309" s="72">
        <v>3.0</v>
      </c>
      <c r="M309" s="72">
        <v>3.0</v>
      </c>
      <c r="N309" s="72">
        <v>3.0</v>
      </c>
      <c r="O309" s="73"/>
      <c r="P309" s="35">
        <f>IFERROR(__xludf.DUMMYFUNCTION("""COMPUTED_VALUE"""),7294.0)</f>
        <v>7294</v>
      </c>
      <c r="Q309" s="35" t="str">
        <f>IFERROR(__xludf.DUMMYFUNCTION("query(C309:N1302,""Select D,E,F,G,H,I,J,K,L,M WHERE ""&amp;P309&amp;"" =C Limit 1"")"),"Painters and Decorators")</f>
        <v>Painters and Decorators</v>
      </c>
      <c r="R309" s="35" t="str">
        <f>IFERROR(__xludf.DUMMYFUNCTION("""COMPUTED_VALUE"""),"Painters and decorators (except interior decorators)")</f>
        <v>Painters and decorators (except interior decorators)</v>
      </c>
      <c r="S309" s="35">
        <f>IFERROR(__xludf.DUMMYFUNCTION("""COMPUTED_VALUE"""),3.0)</f>
        <v>3</v>
      </c>
      <c r="T309" s="35">
        <f>IFERROR(__xludf.DUMMYFUNCTION("""COMPUTED_VALUE"""),3.0)</f>
        <v>3</v>
      </c>
      <c r="U309" s="35">
        <f>IFERROR(__xludf.DUMMYFUNCTION("""COMPUTED_VALUE"""),3.0)</f>
        <v>3</v>
      </c>
      <c r="V309" s="35">
        <f>IFERROR(__xludf.DUMMYFUNCTION("""COMPUTED_VALUE"""),3.0)</f>
        <v>3</v>
      </c>
      <c r="W309" s="35">
        <f>IFERROR(__xludf.DUMMYFUNCTION("""COMPUTED_VALUE"""),3.0)</f>
        <v>3</v>
      </c>
      <c r="X309" s="35">
        <f>IFERROR(__xludf.DUMMYFUNCTION("""COMPUTED_VALUE"""),5.0)</f>
        <v>5</v>
      </c>
      <c r="Y309" s="35">
        <f>IFERROR(__xludf.DUMMYFUNCTION("""COMPUTED_VALUE"""),3.0)</f>
        <v>3</v>
      </c>
      <c r="Z309" s="35">
        <f>IFERROR(__xludf.DUMMYFUNCTION("""COMPUTED_VALUE"""),3.0)</f>
        <v>3</v>
      </c>
    </row>
    <row r="310" ht="15.75" customHeight="1">
      <c r="C310" s="34">
        <v>3223.0</v>
      </c>
      <c r="D310" s="70" t="s">
        <v>461</v>
      </c>
      <c r="E310" s="71" t="str">
        <f>vlookup(C310,'NOC-List'!B$2:C$502,2,False)</f>
        <v>Dental technologists, technicians and laboratory assistants</v>
      </c>
      <c r="F310" s="72">
        <v>3.0</v>
      </c>
      <c r="G310" s="72">
        <v>4.0</v>
      </c>
      <c r="H310" s="72">
        <v>4.0</v>
      </c>
      <c r="I310" s="72">
        <v>3.0</v>
      </c>
      <c r="J310" s="72">
        <v>3.0</v>
      </c>
      <c r="K310" s="72">
        <v>4.0</v>
      </c>
      <c r="L310" s="72">
        <v>3.0</v>
      </c>
      <c r="M310" s="72">
        <v>3.0</v>
      </c>
      <c r="N310" s="72">
        <v>3.0</v>
      </c>
      <c r="O310" s="73"/>
      <c r="P310" s="35">
        <f>IFERROR(__xludf.DUMMYFUNCTION("""COMPUTED_VALUE"""),1432.0)</f>
        <v>1432</v>
      </c>
      <c r="Q310" s="35" t="str">
        <f>IFERROR(__xludf.DUMMYFUNCTION("query(C310:N1303,""Select D,E,F,G,H,I,J,K,L,M WHERE ""&amp;P310&amp;"" =C Limit 1"")"),"Payroll Clerks")</f>
        <v>Payroll Clerks</v>
      </c>
      <c r="R310" s="35" t="str">
        <f>IFERROR(__xludf.DUMMYFUNCTION("""COMPUTED_VALUE"""),"Payroll clerks")</f>
        <v>Payroll clerks</v>
      </c>
      <c r="S310" s="35">
        <f>IFERROR(__xludf.DUMMYFUNCTION("""COMPUTED_VALUE"""),3.0)</f>
        <v>3</v>
      </c>
      <c r="T310" s="35">
        <f>IFERROR(__xludf.DUMMYFUNCTION("""COMPUTED_VALUE"""),3.0)</f>
        <v>3</v>
      </c>
      <c r="U310" s="35">
        <f>IFERROR(__xludf.DUMMYFUNCTION("""COMPUTED_VALUE"""),3.0)</f>
        <v>3</v>
      </c>
      <c r="V310" s="35">
        <f>IFERROR(__xludf.DUMMYFUNCTION("""COMPUTED_VALUE"""),3.0)</f>
        <v>3</v>
      </c>
      <c r="W310" s="35">
        <f>IFERROR(__xludf.DUMMYFUNCTION("""COMPUTED_VALUE"""),3.0)</f>
        <v>3</v>
      </c>
      <c r="X310" s="35">
        <f>IFERROR(__xludf.DUMMYFUNCTION("""COMPUTED_VALUE"""),2.0)</f>
        <v>2</v>
      </c>
      <c r="Y310" s="35">
        <f>IFERROR(__xludf.DUMMYFUNCTION("""COMPUTED_VALUE"""),3.0)</f>
        <v>3</v>
      </c>
      <c r="Z310" s="35">
        <f>IFERROR(__xludf.DUMMYFUNCTION("""COMPUTED_VALUE"""),3.0)</f>
        <v>3</v>
      </c>
    </row>
    <row r="311" ht="15.75" customHeight="1">
      <c r="C311" s="34">
        <v>7244.0</v>
      </c>
      <c r="D311" s="70" t="s">
        <v>462</v>
      </c>
      <c r="E311" s="71" t="str">
        <f>vlookup(C311,'NOC-List'!B$2:C$502,2,False)</f>
        <v>Electrical power line and cable workers</v>
      </c>
      <c r="F311" s="72">
        <v>3.0</v>
      </c>
      <c r="G311" s="72">
        <v>3.0</v>
      </c>
      <c r="H311" s="72">
        <v>4.0</v>
      </c>
      <c r="I311" s="72">
        <v>3.0</v>
      </c>
      <c r="J311" s="72">
        <v>3.0</v>
      </c>
      <c r="K311" s="72">
        <v>4.0</v>
      </c>
      <c r="L311" s="72">
        <v>2.0</v>
      </c>
      <c r="M311" s="72">
        <v>3.0</v>
      </c>
      <c r="N311" s="72">
        <v>3.0</v>
      </c>
      <c r="O311" s="73"/>
      <c r="P311" s="35">
        <f>IFERROR(__xludf.DUMMYFUNCTION("""COMPUTED_VALUE"""),9434.0)</f>
        <v>9434</v>
      </c>
      <c r="Q311" s="35" t="str">
        <f>IFERROR(__xludf.DUMMYFUNCTION("query(C311:N1304,""Select D,E,F,G,H,I,J,K,L,M WHERE ""&amp;P311&amp;"" =C Limit 1"")"),"Other Wood Processing Machine Operators")</f>
        <v>Other Wood Processing Machine Operators</v>
      </c>
      <c r="R311" s="35" t="str">
        <f>IFERROR(__xludf.DUMMYFUNCTION("""COMPUTED_VALUE"""),"Other wood processing machine operators")</f>
        <v>Other wood processing machine operators</v>
      </c>
      <c r="S311" s="35">
        <f>IFERROR(__xludf.DUMMYFUNCTION("""COMPUTED_VALUE"""),3.0)</f>
        <v>3</v>
      </c>
      <c r="T311" s="35">
        <f>IFERROR(__xludf.DUMMYFUNCTION("""COMPUTED_VALUE"""),4.0)</f>
        <v>4</v>
      </c>
      <c r="U311" s="35">
        <f>IFERROR(__xludf.DUMMYFUNCTION("""COMPUTED_VALUE"""),4.0)</f>
        <v>4</v>
      </c>
      <c r="V311" s="35">
        <f>IFERROR(__xludf.DUMMYFUNCTION("""COMPUTED_VALUE"""),4.0)</f>
        <v>4</v>
      </c>
      <c r="W311" s="35">
        <f>IFERROR(__xludf.DUMMYFUNCTION("""COMPUTED_VALUE"""),4.0)</f>
        <v>4</v>
      </c>
      <c r="X311" s="35">
        <f>IFERROR(__xludf.DUMMYFUNCTION("""COMPUTED_VALUE"""),4.0)</f>
        <v>4</v>
      </c>
      <c r="Y311" s="35">
        <f>IFERROR(__xludf.DUMMYFUNCTION("""COMPUTED_VALUE"""),3.0)</f>
        <v>3</v>
      </c>
      <c r="Z311" s="35">
        <f>IFERROR(__xludf.DUMMYFUNCTION("""COMPUTED_VALUE"""),4.0)</f>
        <v>4</v>
      </c>
    </row>
    <row r="312" ht="15.75" customHeight="1">
      <c r="C312" s="34">
        <v>2242.0</v>
      </c>
      <c r="D312" s="70" t="s">
        <v>463</v>
      </c>
      <c r="E312" s="71" t="str">
        <f>vlookup(C312,'NOC-List'!B$2:C$502,2,False)</f>
        <v>Electronic service technicians (household and business equipment)</v>
      </c>
      <c r="F312" s="72">
        <v>3.0</v>
      </c>
      <c r="G312" s="72">
        <v>3.0</v>
      </c>
      <c r="H312" s="72">
        <v>3.0</v>
      </c>
      <c r="I312" s="72">
        <v>2.0</v>
      </c>
      <c r="J312" s="72">
        <v>3.0</v>
      </c>
      <c r="K312" s="72">
        <v>4.0</v>
      </c>
      <c r="L312" s="72">
        <v>2.0</v>
      </c>
      <c r="M312" s="72">
        <v>2.0</v>
      </c>
      <c r="N312" s="72">
        <v>2.0</v>
      </c>
      <c r="O312" s="73"/>
      <c r="P312" s="35">
        <f>IFERROR(__xludf.DUMMYFUNCTION("""COMPUTED_VALUE"""),9232.0)</f>
        <v>9232</v>
      </c>
      <c r="Q312" s="35" t="str">
        <f>IFERROR(__xludf.DUMMYFUNCTION("query(C312:N1305,""Select D,E,F,G,H,I,J,K,L,M WHERE ""&amp;P312&amp;"" =C Limit 1"")"),"Petroleum, Gas and Chemical Process Operators")</f>
        <v>Petroleum, Gas and Chemical Process Operators</v>
      </c>
      <c r="R312" s="35" t="str">
        <f>IFERROR(__xludf.DUMMYFUNCTION("""COMPUTED_VALUE"""),"Petroleum, gas and chemical process operators")</f>
        <v>Petroleum, gas and chemical process operators</v>
      </c>
      <c r="S312" s="35">
        <f>IFERROR(__xludf.DUMMYFUNCTION("""COMPUTED_VALUE"""),3.0)</f>
        <v>3</v>
      </c>
      <c r="T312" s="35">
        <f>IFERROR(__xludf.DUMMYFUNCTION("""COMPUTED_VALUE"""),3.0)</f>
        <v>3</v>
      </c>
      <c r="U312" s="35">
        <f>IFERROR(__xludf.DUMMYFUNCTION("""COMPUTED_VALUE"""),3.0)</f>
        <v>3</v>
      </c>
      <c r="V312" s="35">
        <f>IFERROR(__xludf.DUMMYFUNCTION("""COMPUTED_VALUE"""),3.0)</f>
        <v>3</v>
      </c>
      <c r="W312" s="35">
        <f>IFERROR(__xludf.DUMMYFUNCTION("""COMPUTED_VALUE"""),4.0)</f>
        <v>4</v>
      </c>
      <c r="X312" s="35">
        <f>IFERROR(__xludf.DUMMYFUNCTION("""COMPUTED_VALUE"""),4.0)</f>
        <v>4</v>
      </c>
      <c r="Y312" s="35">
        <f>IFERROR(__xludf.DUMMYFUNCTION("""COMPUTED_VALUE"""),3.0)</f>
        <v>3</v>
      </c>
      <c r="Z312" s="35">
        <f>IFERROR(__xludf.DUMMYFUNCTION("""COMPUTED_VALUE"""),3.0)</f>
        <v>3</v>
      </c>
    </row>
    <row r="313" ht="15.75" customHeight="1">
      <c r="C313" s="34">
        <v>9523.0</v>
      </c>
      <c r="D313" s="70" t="s">
        <v>464</v>
      </c>
      <c r="E313" s="71" t="str">
        <f>vlookup(C313,'NOC-List'!B$2:C$502,2,False)</f>
        <v>Electronics assemblers, fabricators, inspectors and testers</v>
      </c>
      <c r="F313" s="72">
        <v>3.0</v>
      </c>
      <c r="G313" s="72">
        <v>4.0</v>
      </c>
      <c r="H313" s="72">
        <v>4.0</v>
      </c>
      <c r="I313" s="72">
        <v>3.0</v>
      </c>
      <c r="J313" s="72">
        <v>3.0</v>
      </c>
      <c r="K313" s="72">
        <v>4.0</v>
      </c>
      <c r="L313" s="72">
        <v>1.0</v>
      </c>
      <c r="M313" s="72">
        <v>1.0</v>
      </c>
      <c r="N313" s="72">
        <v>1.0</v>
      </c>
      <c r="O313" s="73"/>
      <c r="P313" s="35">
        <f>IFERROR(__xludf.DUMMYFUNCTION("""COMPUTED_VALUE"""),9435.0)</f>
        <v>9435</v>
      </c>
      <c r="Q313" s="35" t="str">
        <f>IFERROR(__xludf.DUMMYFUNCTION("query(C313:N1306,""Select D,E,F,G,H,I,J,K,L,M WHERE ""&amp;P313&amp;"" =C Limit 1"")"),"Paper Converting Machine Operators")</f>
        <v>Paper Converting Machine Operators</v>
      </c>
      <c r="R313" s="35" t="str">
        <f>IFERROR(__xludf.DUMMYFUNCTION("""COMPUTED_VALUE"""),"Paper converting machine operators")</f>
        <v>Paper converting machine operators</v>
      </c>
      <c r="S313" s="35">
        <f>IFERROR(__xludf.DUMMYFUNCTION("""COMPUTED_VALUE"""),4.0)</f>
        <v>4</v>
      </c>
      <c r="T313" s="35">
        <f>IFERROR(__xludf.DUMMYFUNCTION("""COMPUTED_VALUE"""),4.0)</f>
        <v>4</v>
      </c>
      <c r="U313" s="35">
        <f>IFERROR(__xludf.DUMMYFUNCTION("""COMPUTED_VALUE"""),4.0)</f>
        <v>4</v>
      </c>
      <c r="V313" s="35">
        <f>IFERROR(__xludf.DUMMYFUNCTION("""COMPUTED_VALUE"""),3.0)</f>
        <v>3</v>
      </c>
      <c r="W313" s="35">
        <f>IFERROR(__xludf.DUMMYFUNCTION("""COMPUTED_VALUE"""),3.0)</f>
        <v>3</v>
      </c>
      <c r="X313" s="35">
        <f>IFERROR(__xludf.DUMMYFUNCTION("""COMPUTED_VALUE"""),4.0)</f>
        <v>4</v>
      </c>
      <c r="Y313" s="35">
        <f>IFERROR(__xludf.DUMMYFUNCTION("""COMPUTED_VALUE"""),4.0)</f>
        <v>4</v>
      </c>
      <c r="Z313" s="35">
        <f>IFERROR(__xludf.DUMMYFUNCTION("""COMPUTED_VALUE"""),4.0)</f>
        <v>4</v>
      </c>
    </row>
    <row r="314" ht="15.75" customHeight="1">
      <c r="C314" s="34">
        <v>7333.0</v>
      </c>
      <c r="D314" s="70" t="s">
        <v>465</v>
      </c>
      <c r="E314" s="71" t="str">
        <f>vlookup(C314,'NOC-List'!B$2:C$502,2,False)</f>
        <v>Electrical mechanics</v>
      </c>
      <c r="F314" s="72">
        <v>3.0</v>
      </c>
      <c r="G314" s="72">
        <v>4.0</v>
      </c>
      <c r="H314" s="72">
        <v>4.0</v>
      </c>
      <c r="I314" s="72">
        <v>3.0</v>
      </c>
      <c r="J314" s="72">
        <v>3.0</v>
      </c>
      <c r="K314" s="72">
        <v>4.0</v>
      </c>
      <c r="L314" s="72">
        <v>3.0</v>
      </c>
      <c r="M314" s="72">
        <v>3.0</v>
      </c>
      <c r="N314" s="72">
        <v>3.0</v>
      </c>
      <c r="O314" s="73"/>
      <c r="P314" s="35">
        <f>IFERROR(__xludf.DUMMYFUNCTION("""COMPUTED_VALUE"""),4311.0)</f>
        <v>4311</v>
      </c>
      <c r="Q314" s="35" t="str">
        <f>IFERROR(__xludf.DUMMYFUNCTION("query(C314:N1307,""Select D,E,F,G,H,I,J,K,L,M WHERE ""&amp;P314&amp;"" =C Limit 1"")"),"Police Officers (Except Commissioned)")</f>
        <v>Police Officers (Except Commissioned)</v>
      </c>
      <c r="R314" s="35" t="str">
        <f>IFERROR(__xludf.DUMMYFUNCTION("""COMPUTED_VALUE"""),"Police officers (except commissioned)")</f>
        <v>Police officers (except commissioned)</v>
      </c>
      <c r="S314" s="35">
        <f>IFERROR(__xludf.DUMMYFUNCTION("""COMPUTED_VALUE"""),3.0)</f>
        <v>3</v>
      </c>
      <c r="T314" s="35">
        <f>IFERROR(__xludf.DUMMYFUNCTION("""COMPUTED_VALUE"""),3.0)</f>
        <v>3</v>
      </c>
      <c r="U314" s="35">
        <f>IFERROR(__xludf.DUMMYFUNCTION("""COMPUTED_VALUE"""),3.0)</f>
        <v>3</v>
      </c>
      <c r="V314" s="35">
        <f>IFERROR(__xludf.DUMMYFUNCTION("""COMPUTED_VALUE"""),3.0)</f>
        <v>3</v>
      </c>
      <c r="W314" s="35">
        <f>IFERROR(__xludf.DUMMYFUNCTION("""COMPUTED_VALUE"""),3.0)</f>
        <v>3</v>
      </c>
      <c r="X314" s="35">
        <f>IFERROR(__xludf.DUMMYFUNCTION("""COMPUTED_VALUE"""),4.0)</f>
        <v>4</v>
      </c>
      <c r="Y314" s="35">
        <f>IFERROR(__xludf.DUMMYFUNCTION("""COMPUTED_VALUE"""),3.0)</f>
        <v>3</v>
      </c>
      <c r="Z314" s="35">
        <f>IFERROR(__xludf.DUMMYFUNCTION("""COMPUTED_VALUE"""),4.0)</f>
        <v>4</v>
      </c>
    </row>
    <row r="315" ht="15.75" customHeight="1">
      <c r="C315" s="34">
        <v>9523.0</v>
      </c>
      <c r="D315" s="70" t="s">
        <v>466</v>
      </c>
      <c r="E315" s="71" t="str">
        <f>vlookup(C315,'NOC-List'!B$2:C$502,2,False)</f>
        <v>Electronics assemblers, fabricators, inspectors and testers</v>
      </c>
      <c r="F315" s="72">
        <v>3.0</v>
      </c>
      <c r="G315" s="72">
        <v>4.0</v>
      </c>
      <c r="H315" s="72">
        <v>4.0</v>
      </c>
      <c r="I315" s="72">
        <v>3.0</v>
      </c>
      <c r="J315" s="72">
        <v>3.0</v>
      </c>
      <c r="K315" s="72">
        <v>4.0</v>
      </c>
      <c r="L315" s="72">
        <v>3.0</v>
      </c>
      <c r="M315" s="72">
        <v>3.0</v>
      </c>
      <c r="N315" s="72">
        <v>3.0</v>
      </c>
      <c r="O315" s="73"/>
      <c r="P315" s="35">
        <f>IFERROR(__xludf.DUMMYFUNCTION("""COMPUTED_VALUE"""),6563.0)</f>
        <v>6563</v>
      </c>
      <c r="Q315" s="35" t="str">
        <f>IFERROR(__xludf.DUMMYFUNCTION("query(C315:N1308,""Select D,E,F,G,H,I,J,K,L,M WHERE ""&amp;P315&amp;"" =C Limit 1"")"),"Pet Groomers and Animal Care Workers")</f>
        <v>Pet Groomers and Animal Care Workers</v>
      </c>
      <c r="R315" s="35" t="str">
        <f>IFERROR(__xludf.DUMMYFUNCTION("""COMPUTED_VALUE"""),"Pet groomers and animal care workers")</f>
        <v>Pet groomers and animal care workers</v>
      </c>
      <c r="S315" s="35">
        <f>IFERROR(__xludf.DUMMYFUNCTION("""COMPUTED_VALUE"""),4.0)</f>
        <v>4</v>
      </c>
      <c r="T315" s="35">
        <f>IFERROR(__xludf.DUMMYFUNCTION("""COMPUTED_VALUE"""),4.0)</f>
        <v>4</v>
      </c>
      <c r="U315" s="35">
        <f>IFERROR(__xludf.DUMMYFUNCTION("""COMPUTED_VALUE"""),4.0)</f>
        <v>4</v>
      </c>
      <c r="V315" s="35">
        <f>IFERROR(__xludf.DUMMYFUNCTION("""COMPUTED_VALUE"""),4.0)</f>
        <v>4</v>
      </c>
      <c r="W315" s="35">
        <f>IFERROR(__xludf.DUMMYFUNCTION("""COMPUTED_VALUE"""),4.0)</f>
        <v>4</v>
      </c>
      <c r="X315" s="35">
        <f>IFERROR(__xludf.DUMMYFUNCTION("""COMPUTED_VALUE"""),4.0)</f>
        <v>4</v>
      </c>
      <c r="Y315" s="35">
        <f>IFERROR(__xludf.DUMMYFUNCTION("""COMPUTED_VALUE"""),3.0)</f>
        <v>3</v>
      </c>
      <c r="Z315" s="35">
        <f>IFERROR(__xludf.DUMMYFUNCTION("""COMPUTED_VALUE"""),3.0)</f>
        <v>3</v>
      </c>
    </row>
    <row r="316" ht="15.75" customHeight="1">
      <c r="C316" s="34">
        <v>5243.0</v>
      </c>
      <c r="D316" s="70" t="s">
        <v>467</v>
      </c>
      <c r="E316" s="71" t="str">
        <f>vlookup(C316,'NOC-List'!B$2:C$502,2,False)</f>
        <v>Theatre, fashion, exhibit and other creative designers</v>
      </c>
      <c r="F316" s="72">
        <v>2.0</v>
      </c>
      <c r="G316" s="72">
        <v>3.0</v>
      </c>
      <c r="H316" s="72">
        <v>3.0</v>
      </c>
      <c r="I316" s="72">
        <v>2.0</v>
      </c>
      <c r="J316" s="72">
        <v>3.0</v>
      </c>
      <c r="K316" s="72">
        <v>4.0</v>
      </c>
      <c r="L316" s="72">
        <v>3.0</v>
      </c>
      <c r="M316" s="72">
        <v>3.0</v>
      </c>
      <c r="N316" s="72">
        <v>3.0</v>
      </c>
      <c r="O316" s="73"/>
      <c r="P316" s="35">
        <f>IFERROR(__xludf.DUMMYFUNCTION("""COMPUTED_VALUE"""),1241.0)</f>
        <v>1241</v>
      </c>
      <c r="Q316" s="35" t="str">
        <f>IFERROR(__xludf.DUMMYFUNCTION("query(C316:N1309,""Select D,E,F,G,H,I,J,K,L,M WHERE ""&amp;P316&amp;"" =C Limit 1"")"),"Secretaries (Except Legal and Medical)")</f>
        <v>Secretaries (Except Legal and Medical)</v>
      </c>
      <c r="R316" s="35" t="str">
        <f>IFERROR(__xludf.DUMMYFUNCTION("""COMPUTED_VALUE"""),"Administrative assistants")</f>
        <v>Administrative assistants</v>
      </c>
      <c r="S316" s="35">
        <f>IFERROR(__xludf.DUMMYFUNCTION("""COMPUTED_VALUE"""),3.0)</f>
        <v>3</v>
      </c>
      <c r="T316" s="35">
        <f>IFERROR(__xludf.DUMMYFUNCTION("""COMPUTED_VALUE"""),3.0)</f>
        <v>3</v>
      </c>
      <c r="U316" s="35">
        <f>IFERROR(__xludf.DUMMYFUNCTION("""COMPUTED_VALUE"""),3.0)</f>
        <v>3</v>
      </c>
      <c r="V316" s="35">
        <f>IFERROR(__xludf.DUMMYFUNCTION("""COMPUTED_VALUE"""),4.0)</f>
        <v>4</v>
      </c>
      <c r="W316" s="35">
        <f>IFERROR(__xludf.DUMMYFUNCTION("""COMPUTED_VALUE"""),3.0)</f>
        <v>3</v>
      </c>
      <c r="X316" s="35">
        <f>IFERROR(__xludf.DUMMYFUNCTION("""COMPUTED_VALUE"""),2.0)</f>
        <v>2</v>
      </c>
      <c r="Y316" s="35">
        <f>IFERROR(__xludf.DUMMYFUNCTION("""COMPUTED_VALUE"""),3.0)</f>
        <v>3</v>
      </c>
      <c r="Z316" s="35">
        <f>IFERROR(__xludf.DUMMYFUNCTION("""COMPUTED_VALUE"""),3.0)</f>
        <v>3</v>
      </c>
    </row>
    <row r="317" ht="15.75" customHeight="1">
      <c r="C317" s="34">
        <v>9472.0</v>
      </c>
      <c r="D317" s="70" t="s">
        <v>468</v>
      </c>
      <c r="E317" s="71" t="str">
        <f>vlookup(C317,'NOC-List'!B$2:C$502,2,False)</f>
        <v>Camera, platemaking and other prepress occupations</v>
      </c>
      <c r="F317" s="72">
        <v>3.0</v>
      </c>
      <c r="G317" s="72">
        <v>3.0</v>
      </c>
      <c r="H317" s="72">
        <v>4.0</v>
      </c>
      <c r="I317" s="72">
        <v>3.0</v>
      </c>
      <c r="J317" s="72">
        <v>3.0</v>
      </c>
      <c r="K317" s="72">
        <v>3.0</v>
      </c>
      <c r="L317" s="72">
        <v>3.0</v>
      </c>
      <c r="M317" s="72">
        <v>3.0</v>
      </c>
      <c r="N317" s="72">
        <v>3.0</v>
      </c>
      <c r="O317" s="73"/>
      <c r="P317" s="35">
        <f>IFERROR(__xludf.DUMMYFUNCTION("""COMPUTED_VALUE"""),9471.0)</f>
        <v>9471</v>
      </c>
      <c r="Q317" s="35" t="str">
        <f>IFERROR(__xludf.DUMMYFUNCTION("query(C317:N1310,""Select D,E,F,G,H,I,J,K,L,M WHERE ""&amp;P317&amp;"" =C Limit 1"")"),"Printing Machine Operators")</f>
        <v>Printing Machine Operators</v>
      </c>
      <c r="R317" s="35" t="str">
        <f>IFERROR(__xludf.DUMMYFUNCTION("""COMPUTED_VALUE"""),"Plateless printing equipment operators")</f>
        <v>Plateless printing equipment operators</v>
      </c>
      <c r="S317" s="35">
        <f>IFERROR(__xludf.DUMMYFUNCTION("""COMPUTED_VALUE"""),3.0)</f>
        <v>3</v>
      </c>
      <c r="T317" s="35">
        <f>IFERROR(__xludf.DUMMYFUNCTION("""COMPUTED_VALUE"""),4.0)</f>
        <v>4</v>
      </c>
      <c r="U317" s="35">
        <f>IFERROR(__xludf.DUMMYFUNCTION("""COMPUTED_VALUE"""),4.0)</f>
        <v>4</v>
      </c>
      <c r="V317" s="35">
        <f>IFERROR(__xludf.DUMMYFUNCTION("""COMPUTED_VALUE"""),4.0)</f>
        <v>4</v>
      </c>
      <c r="W317" s="35">
        <f>IFERROR(__xludf.DUMMYFUNCTION("""COMPUTED_VALUE"""),3.0)</f>
        <v>3</v>
      </c>
      <c r="X317" s="35">
        <f>IFERROR(__xludf.DUMMYFUNCTION("""COMPUTED_VALUE"""),4.0)</f>
        <v>4</v>
      </c>
      <c r="Y317" s="35">
        <f>IFERROR(__xludf.DUMMYFUNCTION("""COMPUTED_VALUE"""),4.0)</f>
        <v>4</v>
      </c>
      <c r="Z317" s="35">
        <f>IFERROR(__xludf.DUMMYFUNCTION("""COMPUTED_VALUE"""),4.0)</f>
        <v>4</v>
      </c>
    </row>
    <row r="318" ht="15.75" customHeight="1">
      <c r="C318" s="34">
        <v>2271.0</v>
      </c>
      <c r="D318" s="70" t="s">
        <v>469</v>
      </c>
      <c r="E318" s="71" t="str">
        <f>vlookup(C318,'NOC-List'!B$2:C$502,2,False)</f>
        <v>Air pilots, flight engineers and flying instructors</v>
      </c>
      <c r="F318" s="72">
        <v>2.0</v>
      </c>
      <c r="G318" s="72">
        <v>2.0</v>
      </c>
      <c r="H318" s="72">
        <v>2.0</v>
      </c>
      <c r="I318" s="72">
        <v>1.0</v>
      </c>
      <c r="J318" s="72">
        <v>2.0</v>
      </c>
      <c r="K318" s="72">
        <v>3.0</v>
      </c>
      <c r="L318" s="72">
        <v>2.0</v>
      </c>
      <c r="M318" s="72">
        <v>3.0</v>
      </c>
      <c r="N318" s="72">
        <v>3.0</v>
      </c>
      <c r="O318" s="73"/>
      <c r="P318" s="35">
        <f>IFERROR(__xludf.DUMMYFUNCTION("""COMPUTED_VALUE"""),5253.0)</f>
        <v>5253</v>
      </c>
      <c r="Q318" s="35" t="str">
        <f>IFERROR(__xludf.DUMMYFUNCTION("query(C318:N1311,""Select D,E,F,G,H,I,J,K,L,M WHERE ""&amp;P318&amp;"" =C Limit 1"")"),"Sports Officials and Referees")</f>
        <v>Sports Officials and Referees</v>
      </c>
      <c r="R318" s="35" t="str">
        <f>IFERROR(__xludf.DUMMYFUNCTION("""COMPUTED_VALUE"""),"Sports officials and referees")</f>
        <v>Sports officials and referees</v>
      </c>
      <c r="S318" s="35">
        <f>IFERROR(__xludf.DUMMYFUNCTION("""COMPUTED_VALUE"""),3.0)</f>
        <v>3</v>
      </c>
      <c r="T318" s="35">
        <f>IFERROR(__xludf.DUMMYFUNCTION("""COMPUTED_VALUE"""),3.0)</f>
        <v>3</v>
      </c>
      <c r="U318" s="35">
        <f>IFERROR(__xludf.DUMMYFUNCTION("""COMPUTED_VALUE"""),4.0)</f>
        <v>4</v>
      </c>
      <c r="V318" s="35">
        <f>IFERROR(__xludf.DUMMYFUNCTION("""COMPUTED_VALUE"""),2.0)</f>
        <v>2</v>
      </c>
      <c r="W318" s="35">
        <f>IFERROR(__xludf.DUMMYFUNCTION("""COMPUTED_VALUE"""),3.0)</f>
        <v>3</v>
      </c>
      <c r="X318" s="35">
        <f>IFERROR(__xludf.DUMMYFUNCTION("""COMPUTED_VALUE"""),4.0)</f>
        <v>4</v>
      </c>
      <c r="Y318" s="35">
        <f>IFERROR(__xludf.DUMMYFUNCTION("""COMPUTED_VALUE"""),4.0)</f>
        <v>4</v>
      </c>
      <c r="Z318" s="35">
        <f>IFERROR(__xludf.DUMMYFUNCTION("""COMPUTED_VALUE"""),4.0)</f>
        <v>4</v>
      </c>
    </row>
    <row r="319" ht="15.75" customHeight="1">
      <c r="C319" s="34">
        <v>2271.0</v>
      </c>
      <c r="D319" s="70" t="s">
        <v>470</v>
      </c>
      <c r="E319" s="71" t="str">
        <f>vlookup(C319,'NOC-List'!B$2:C$502,2,False)</f>
        <v>Air pilots, flight engineers and flying instructors</v>
      </c>
      <c r="F319" s="72">
        <v>2.0</v>
      </c>
      <c r="G319" s="72">
        <v>2.0</v>
      </c>
      <c r="H319" s="72">
        <v>2.0</v>
      </c>
      <c r="I319" s="72">
        <v>1.0</v>
      </c>
      <c r="J319" s="72">
        <v>2.0</v>
      </c>
      <c r="K319" s="72">
        <v>3.0</v>
      </c>
      <c r="L319" s="72">
        <v>2.0</v>
      </c>
      <c r="M319" s="72">
        <v>3.0</v>
      </c>
      <c r="N319" s="72">
        <v>3.0</v>
      </c>
      <c r="O319" s="73"/>
      <c r="P319" s="35">
        <f>IFERROR(__xludf.DUMMYFUNCTION("""COMPUTED_VALUE"""),7522.0)</f>
        <v>7522</v>
      </c>
      <c r="Q319" s="35" t="str">
        <f>IFERROR(__xludf.DUMMYFUNCTION("query(C319:N1312,""Select D,E,F,G,H,I,J,K,L,M WHERE ""&amp;P319&amp;"" =C Limit 1"")"),"Public Works Maintenance Equipment Operators")</f>
        <v>Public Works Maintenance Equipment Operators</v>
      </c>
      <c r="R319" s="35" t="str">
        <f>IFERROR(__xludf.DUMMYFUNCTION("""COMPUTED_VALUE"""),"Public works maintenance equipment operators and related workers")</f>
        <v>Public works maintenance equipment operators and related workers</v>
      </c>
      <c r="S319" s="35">
        <f>IFERROR(__xludf.DUMMYFUNCTION("""COMPUTED_VALUE"""),4.0)</f>
        <v>4</v>
      </c>
      <c r="T319" s="35">
        <f>IFERROR(__xludf.DUMMYFUNCTION("""COMPUTED_VALUE"""),4.0)</f>
        <v>4</v>
      </c>
      <c r="U319" s="35">
        <f>IFERROR(__xludf.DUMMYFUNCTION("""COMPUTED_VALUE"""),4.0)</f>
        <v>4</v>
      </c>
      <c r="V319" s="35">
        <f>IFERROR(__xludf.DUMMYFUNCTION("""COMPUTED_VALUE"""),3.0)</f>
        <v>3</v>
      </c>
      <c r="W319" s="35">
        <f>IFERROR(__xludf.DUMMYFUNCTION("""COMPUTED_VALUE"""),4.0)</f>
        <v>4</v>
      </c>
      <c r="X319" s="35">
        <f>IFERROR(__xludf.DUMMYFUNCTION("""COMPUTED_VALUE"""),4.0)</f>
        <v>4</v>
      </c>
      <c r="Y319" s="35">
        <f>IFERROR(__xludf.DUMMYFUNCTION("""COMPUTED_VALUE"""),3.0)</f>
        <v>3</v>
      </c>
      <c r="Z319" s="35">
        <f>IFERROR(__xludf.DUMMYFUNCTION("""COMPUTED_VALUE"""),4.0)</f>
        <v>4</v>
      </c>
    </row>
    <row r="320" ht="15.75" customHeight="1">
      <c r="C320" s="34">
        <v>2223.0</v>
      </c>
      <c r="D320" s="70" t="s">
        <v>471</v>
      </c>
      <c r="E320" s="71" t="str">
        <f>vlookup(C320,'NOC-List'!B$2:C$502,2,False)</f>
        <v>Forestry technologists and technicians</v>
      </c>
      <c r="F320" s="72">
        <v>2.0</v>
      </c>
      <c r="G320" s="72">
        <v>3.0</v>
      </c>
      <c r="H320" s="72">
        <v>3.0</v>
      </c>
      <c r="I320" s="72">
        <v>3.0</v>
      </c>
      <c r="J320" s="72">
        <v>3.0</v>
      </c>
      <c r="K320" s="72">
        <v>3.0</v>
      </c>
      <c r="L320" s="72">
        <v>3.0</v>
      </c>
      <c r="M320" s="72">
        <v>3.0</v>
      </c>
      <c r="N320" s="72">
        <v>3.0</v>
      </c>
      <c r="O320" s="73"/>
      <c r="P320" s="35">
        <f>IFERROR(__xludf.DUMMYFUNCTION("""COMPUTED_VALUE"""),8422.0)</f>
        <v>8422</v>
      </c>
      <c r="Q320" s="35" t="str">
        <f>IFERROR(__xludf.DUMMYFUNCTION("query(C320:N1313,""Select D,E,F,G,H,I,J,K,L,M WHERE ""&amp;P320&amp;"" =C Limit 1"")"),"Silviculture and Forestry Workers")</f>
        <v>Silviculture and Forestry Workers</v>
      </c>
      <c r="R320" s="35" t="str">
        <f>IFERROR(__xludf.DUMMYFUNCTION("""COMPUTED_VALUE"""),"Silviculture and forestry workers")</f>
        <v>Silviculture and forestry workers</v>
      </c>
      <c r="S320" s="35">
        <f>IFERROR(__xludf.DUMMYFUNCTION("""COMPUTED_VALUE"""),3.0)</f>
        <v>3</v>
      </c>
      <c r="T320" s="35">
        <f>IFERROR(__xludf.DUMMYFUNCTION("""COMPUTED_VALUE"""),4.0)</f>
        <v>4</v>
      </c>
      <c r="U320" s="35">
        <f>IFERROR(__xludf.DUMMYFUNCTION("""COMPUTED_VALUE"""),4.0)</f>
        <v>4</v>
      </c>
      <c r="V320" s="35">
        <f>IFERROR(__xludf.DUMMYFUNCTION("""COMPUTED_VALUE"""),4.0)</f>
        <v>4</v>
      </c>
      <c r="W320" s="35">
        <f>IFERROR(__xludf.DUMMYFUNCTION("""COMPUTED_VALUE"""),4.0)</f>
        <v>4</v>
      </c>
      <c r="X320" s="35">
        <f>IFERROR(__xludf.DUMMYFUNCTION("""COMPUTED_VALUE"""),4.0)</f>
        <v>4</v>
      </c>
      <c r="Y320" s="35">
        <f>IFERROR(__xludf.DUMMYFUNCTION("""COMPUTED_VALUE"""),3.0)</f>
        <v>3</v>
      </c>
      <c r="Z320" s="35">
        <f>IFERROR(__xludf.DUMMYFUNCTION("""COMPUTED_VALUE"""),4.0)</f>
        <v>4</v>
      </c>
    </row>
    <row r="321" ht="15.75" customHeight="1">
      <c r="C321" s="34">
        <v>5241.0</v>
      </c>
      <c r="D321" s="70" t="s">
        <v>472</v>
      </c>
      <c r="E321" s="71" t="str">
        <f>vlookup(C321,'NOC-List'!B$2:C$502,2,False)</f>
        <v>Graphic designers and illustrators</v>
      </c>
      <c r="F321" s="72">
        <v>2.0</v>
      </c>
      <c r="G321" s="72">
        <v>3.0</v>
      </c>
      <c r="H321" s="72">
        <v>3.0</v>
      </c>
      <c r="I321" s="72">
        <v>2.0</v>
      </c>
      <c r="J321" s="72">
        <v>2.0</v>
      </c>
      <c r="K321" s="72">
        <v>3.0</v>
      </c>
      <c r="L321" s="72">
        <v>2.0</v>
      </c>
      <c r="M321" s="72">
        <v>2.0</v>
      </c>
      <c r="N321" s="72">
        <v>3.0</v>
      </c>
      <c r="O321" s="73"/>
      <c r="P321" s="35">
        <f>IFERROR(__xludf.DUMMYFUNCTION("""COMPUTED_VALUE"""),9223.0)</f>
        <v>9223</v>
      </c>
      <c r="Q321" s="35" t="str">
        <f>IFERROR(__xludf.DUMMYFUNCTION("query(C321:N1314,""Select D,E,F,G,H,I,J,K,L,M WHERE ""&amp;P321&amp;"" =C Limit 1"")"),"Supervisors, Electrical Products Manufacturing")</f>
        <v>Supervisors, Electrical Products Manufacturing</v>
      </c>
      <c r="R321" s="35" t="str">
        <f>IFERROR(__xludf.DUMMYFUNCTION("""COMPUTED_VALUE"""),"Supervisors, electrical products manufacturing")</f>
        <v>Supervisors, electrical products manufacturing</v>
      </c>
      <c r="S321" s="35">
        <f>IFERROR(__xludf.DUMMYFUNCTION("""COMPUTED_VALUE"""),3.0)</f>
        <v>3</v>
      </c>
      <c r="T321" s="35">
        <f>IFERROR(__xludf.DUMMYFUNCTION("""COMPUTED_VALUE"""),3.0)</f>
        <v>3</v>
      </c>
      <c r="U321" s="35">
        <f>IFERROR(__xludf.DUMMYFUNCTION("""COMPUTED_VALUE"""),3.0)</f>
        <v>3</v>
      </c>
      <c r="V321" s="35">
        <f>IFERROR(__xludf.DUMMYFUNCTION("""COMPUTED_VALUE"""),3.0)</f>
        <v>3</v>
      </c>
      <c r="W321" s="35">
        <f>IFERROR(__xludf.DUMMYFUNCTION("""COMPUTED_VALUE"""),4.0)</f>
        <v>4</v>
      </c>
      <c r="X321" s="35">
        <f>IFERROR(__xludf.DUMMYFUNCTION("""COMPUTED_VALUE"""),3.0)</f>
        <v>3</v>
      </c>
      <c r="Y321" s="35">
        <f>IFERROR(__xludf.DUMMYFUNCTION("""COMPUTED_VALUE"""),3.0)</f>
        <v>3</v>
      </c>
      <c r="Z321" s="35">
        <f>IFERROR(__xludf.DUMMYFUNCTION("""COMPUTED_VALUE"""),4.0)</f>
        <v>4</v>
      </c>
    </row>
    <row r="322" ht="15.75" customHeight="1">
      <c r="C322" s="34">
        <v>6346.0</v>
      </c>
      <c r="D322" s="70" t="s">
        <v>473</v>
      </c>
      <c r="E322" s="71" t="str">
        <f>vlookup(C322,'NOC-List'!B$2:C$502,2,False)</f>
        <v>Funeral directors and embalmers</v>
      </c>
      <c r="F322" s="72">
        <v>3.0</v>
      </c>
      <c r="G322" s="72">
        <v>4.0</v>
      </c>
      <c r="H322" s="72">
        <v>4.0</v>
      </c>
      <c r="I322" s="72">
        <v>3.0</v>
      </c>
      <c r="J322" s="72">
        <v>3.0</v>
      </c>
      <c r="K322" s="72">
        <v>4.0</v>
      </c>
      <c r="L322" s="72">
        <v>3.0</v>
      </c>
      <c r="M322" s="72">
        <v>3.0</v>
      </c>
      <c r="N322" s="72">
        <v>3.0</v>
      </c>
      <c r="O322" s="73"/>
      <c r="P322" s="35">
        <f>IFERROR(__xludf.DUMMYFUNCTION("""COMPUTED_VALUE"""),9222.0)</f>
        <v>9222</v>
      </c>
      <c r="Q322" s="35" t="str">
        <f>IFERROR(__xludf.DUMMYFUNCTION("query(C322:N1315,""Select D,E,F,G,H,I,J,K,L,M WHERE ""&amp;P322&amp;"" =C Limit 1"")"),"Supervisors, Electronics Manufacturing")</f>
        <v>Supervisors, Electronics Manufacturing</v>
      </c>
      <c r="R322" s="35" t="str">
        <f>IFERROR(__xludf.DUMMYFUNCTION("""COMPUTED_VALUE"""),"Supervisors, electronics manufacturing")</f>
        <v>Supervisors, electronics manufacturing</v>
      </c>
      <c r="S322" s="35">
        <f>IFERROR(__xludf.DUMMYFUNCTION("""COMPUTED_VALUE"""),3.0)</f>
        <v>3</v>
      </c>
      <c r="T322" s="35">
        <f>IFERROR(__xludf.DUMMYFUNCTION("""COMPUTED_VALUE"""),3.0)</f>
        <v>3</v>
      </c>
      <c r="U322" s="35">
        <f>IFERROR(__xludf.DUMMYFUNCTION("""COMPUTED_VALUE"""),3.0)</f>
        <v>3</v>
      </c>
      <c r="V322" s="35">
        <f>IFERROR(__xludf.DUMMYFUNCTION("""COMPUTED_VALUE"""),3.0)</f>
        <v>3</v>
      </c>
      <c r="W322" s="35">
        <f>IFERROR(__xludf.DUMMYFUNCTION("""COMPUTED_VALUE"""),4.0)</f>
        <v>4</v>
      </c>
      <c r="X322" s="35">
        <f>IFERROR(__xludf.DUMMYFUNCTION("""COMPUTED_VALUE"""),3.0)</f>
        <v>3</v>
      </c>
      <c r="Y322" s="35">
        <f>IFERROR(__xludf.DUMMYFUNCTION("""COMPUTED_VALUE"""),3.0)</f>
        <v>3</v>
      </c>
      <c r="Z322" s="35">
        <f>IFERROR(__xludf.DUMMYFUNCTION("""COMPUTED_VALUE"""),4.0)</f>
        <v>4</v>
      </c>
    </row>
    <row r="323" ht="15.75" customHeight="1">
      <c r="C323" s="34">
        <v>5241.0</v>
      </c>
      <c r="D323" s="70" t="s">
        <v>474</v>
      </c>
      <c r="E323" s="71" t="str">
        <f>vlookup(C323,'NOC-List'!B$2:C$502,2,False)</f>
        <v>Graphic designers and illustrators</v>
      </c>
      <c r="F323" s="72">
        <v>2.0</v>
      </c>
      <c r="G323" s="72">
        <v>3.0</v>
      </c>
      <c r="H323" s="72">
        <v>3.0</v>
      </c>
      <c r="I323" s="72">
        <v>2.0</v>
      </c>
      <c r="J323" s="72">
        <v>2.0</v>
      </c>
      <c r="K323" s="72">
        <v>3.0</v>
      </c>
      <c r="L323" s="72">
        <v>2.0</v>
      </c>
      <c r="M323" s="72">
        <v>2.0</v>
      </c>
      <c r="N323" s="72">
        <v>3.0</v>
      </c>
      <c r="O323" s="73"/>
      <c r="P323" s="35">
        <f>IFERROR(__xludf.DUMMYFUNCTION("""COMPUTED_VALUE"""),9215.0)</f>
        <v>9215</v>
      </c>
      <c r="Q323" s="35" t="str">
        <f>IFERROR(__xludf.DUMMYFUNCTION("query(C323:N1316,""Select D,E,F,G,H,I,J,K,L,M WHERE ""&amp;P323&amp;"" =C Limit 1"")"),"Supervisors, Forest Products Processing")</f>
        <v>Supervisors, Forest Products Processing</v>
      </c>
      <c r="R323" s="35" t="str">
        <f>IFERROR(__xludf.DUMMYFUNCTION("""COMPUTED_VALUE"""),"Supervisors, forest products processing")</f>
        <v>Supervisors, forest products processing</v>
      </c>
      <c r="S323" s="35">
        <f>IFERROR(__xludf.DUMMYFUNCTION("""COMPUTED_VALUE"""),3.0)</f>
        <v>3</v>
      </c>
      <c r="T323" s="35">
        <f>IFERROR(__xludf.DUMMYFUNCTION("""COMPUTED_VALUE"""),3.0)</f>
        <v>3</v>
      </c>
      <c r="U323" s="35">
        <f>IFERROR(__xludf.DUMMYFUNCTION("""COMPUTED_VALUE"""),3.0)</f>
        <v>3</v>
      </c>
      <c r="V323" s="35">
        <f>IFERROR(__xludf.DUMMYFUNCTION("""COMPUTED_VALUE"""),3.0)</f>
        <v>3</v>
      </c>
      <c r="W323" s="35">
        <f>IFERROR(__xludf.DUMMYFUNCTION("""COMPUTED_VALUE"""),4.0)</f>
        <v>4</v>
      </c>
      <c r="X323" s="35">
        <f>IFERROR(__xludf.DUMMYFUNCTION("""COMPUTED_VALUE"""),3.0)</f>
        <v>3</v>
      </c>
      <c r="Y323" s="35">
        <f>IFERROR(__xludf.DUMMYFUNCTION("""COMPUTED_VALUE"""),3.0)</f>
        <v>3</v>
      </c>
      <c r="Z323" s="35">
        <f>IFERROR(__xludf.DUMMYFUNCTION("""COMPUTED_VALUE"""),4.0)</f>
        <v>4</v>
      </c>
    </row>
    <row r="324" ht="15.75" customHeight="1">
      <c r="C324" s="34">
        <v>2225.0</v>
      </c>
      <c r="D324" s="70" t="s">
        <v>475</v>
      </c>
      <c r="E324" s="71" t="str">
        <f>vlookup(C324,'NOC-List'!B$2:C$502,2,False)</f>
        <v>Landscape and horticulture technicians and specialists</v>
      </c>
      <c r="F324" s="72">
        <v>2.0</v>
      </c>
      <c r="G324" s="72">
        <v>3.0</v>
      </c>
      <c r="H324" s="72">
        <v>3.0</v>
      </c>
      <c r="I324" s="72">
        <v>2.0</v>
      </c>
      <c r="J324" s="72">
        <v>3.0</v>
      </c>
      <c r="K324" s="72">
        <v>4.0</v>
      </c>
      <c r="L324" s="72">
        <v>3.0</v>
      </c>
      <c r="M324" s="72">
        <v>3.0</v>
      </c>
      <c r="N324" s="72">
        <v>3.0</v>
      </c>
      <c r="O324" s="73"/>
      <c r="P324" s="35">
        <f>IFERROR(__xludf.DUMMYFUNCTION("""COMPUTED_VALUE"""),9211.0)</f>
        <v>9211</v>
      </c>
      <c r="Q324" s="35" t="str">
        <f>IFERROR(__xludf.DUMMYFUNCTION("query(C324:N1317,""Select D,E,F,G,H,I,J,K,L,M WHERE ""&amp;P324&amp;"" =C Limit 1"")"),"Supervisors, Mineral and Metal Processing")</f>
        <v>Supervisors, Mineral and Metal Processing</v>
      </c>
      <c r="R324" s="35" t="str">
        <f>IFERROR(__xludf.DUMMYFUNCTION("""COMPUTED_VALUE"""),"Supervisors, mineral and metal processing")</f>
        <v>Supervisors, mineral and metal processing</v>
      </c>
      <c r="S324" s="35">
        <f>IFERROR(__xludf.DUMMYFUNCTION("""COMPUTED_VALUE"""),3.0)</f>
        <v>3</v>
      </c>
      <c r="T324" s="35">
        <f>IFERROR(__xludf.DUMMYFUNCTION("""COMPUTED_VALUE"""),3.0)</f>
        <v>3</v>
      </c>
      <c r="U324" s="35">
        <f>IFERROR(__xludf.DUMMYFUNCTION("""COMPUTED_VALUE"""),3.0)</f>
        <v>3</v>
      </c>
      <c r="V324" s="35">
        <f>IFERROR(__xludf.DUMMYFUNCTION("""COMPUTED_VALUE"""),4.0)</f>
        <v>4</v>
      </c>
      <c r="W324" s="35">
        <f>IFERROR(__xludf.DUMMYFUNCTION("""COMPUTED_VALUE"""),3.0)</f>
        <v>3</v>
      </c>
      <c r="X324" s="35">
        <f>IFERROR(__xludf.DUMMYFUNCTION("""COMPUTED_VALUE"""),3.0)</f>
        <v>3</v>
      </c>
      <c r="Y324" s="35">
        <f>IFERROR(__xludf.DUMMYFUNCTION("""COMPUTED_VALUE"""),3.0)</f>
        <v>3</v>
      </c>
      <c r="Z324" s="35">
        <f>IFERROR(__xludf.DUMMYFUNCTION("""COMPUTED_VALUE"""),4.0)</f>
        <v>4</v>
      </c>
    </row>
    <row r="325" ht="15.75" customHeight="1">
      <c r="C325" s="34">
        <v>7384.0</v>
      </c>
      <c r="D325" s="70" t="s">
        <v>476</v>
      </c>
      <c r="E325" s="71" t="str">
        <f>vlookup(C325,'NOC-List'!B$2:C$502,2,False)</f>
        <v>Other trades and related occupations, n.e.c.</v>
      </c>
      <c r="F325" s="72">
        <v>3.0</v>
      </c>
      <c r="G325" s="72">
        <v>4.0</v>
      </c>
      <c r="H325" s="72">
        <v>4.0</v>
      </c>
      <c r="I325" s="72">
        <v>3.0</v>
      </c>
      <c r="J325" s="72">
        <v>3.0</v>
      </c>
      <c r="K325" s="72">
        <v>4.0</v>
      </c>
      <c r="L325" s="72">
        <v>3.0</v>
      </c>
      <c r="M325" s="72">
        <v>3.0</v>
      </c>
      <c r="N325" s="72">
        <v>3.0</v>
      </c>
      <c r="O325" s="73"/>
      <c r="P325" s="35">
        <f>IFERROR(__xludf.DUMMYFUNCTION("""COMPUTED_VALUE"""),7305.0)</f>
        <v>7305</v>
      </c>
      <c r="Q325" s="35" t="str">
        <f>IFERROR(__xludf.DUMMYFUNCTION("query(C325:N1318,""Select D,E,F,G,H,I,J,K,L,M WHERE ""&amp;P325&amp;"" =C Limit 1"")"),"Supervisors, Motor Transport and Other Ground Transit Operators")</f>
        <v>Supervisors, Motor Transport and Other Ground Transit Operators</v>
      </c>
      <c r="R325" s="35" t="str">
        <f>IFERROR(__xludf.DUMMYFUNCTION("""COMPUTED_VALUE"""),"Supervisors, motor transport and other ground transit operators")</f>
        <v>Supervisors, motor transport and other ground transit operators</v>
      </c>
      <c r="S325" s="35">
        <f>IFERROR(__xludf.DUMMYFUNCTION("""COMPUTED_VALUE"""),3.0)</f>
        <v>3</v>
      </c>
      <c r="T325" s="35">
        <f>IFERROR(__xludf.DUMMYFUNCTION("""COMPUTED_VALUE"""),3.0)</f>
        <v>3</v>
      </c>
      <c r="U325" s="35">
        <f>IFERROR(__xludf.DUMMYFUNCTION("""COMPUTED_VALUE"""),3.0)</f>
        <v>3</v>
      </c>
      <c r="V325" s="35">
        <f>IFERROR(__xludf.DUMMYFUNCTION("""COMPUTED_VALUE"""),3.0)</f>
        <v>3</v>
      </c>
      <c r="W325" s="35">
        <f>IFERROR(__xludf.DUMMYFUNCTION("""COMPUTED_VALUE"""),4.0)</f>
        <v>4</v>
      </c>
      <c r="X325" s="35">
        <f>IFERROR(__xludf.DUMMYFUNCTION("""COMPUTED_VALUE"""),3.0)</f>
        <v>3</v>
      </c>
      <c r="Y325" s="35">
        <f>IFERROR(__xludf.DUMMYFUNCTION("""COMPUTED_VALUE"""),3.0)</f>
        <v>3</v>
      </c>
      <c r="Z325" s="35">
        <f>IFERROR(__xludf.DUMMYFUNCTION("""COMPUTED_VALUE"""),4.0)</f>
        <v>4</v>
      </c>
    </row>
    <row r="326" ht="15.75" customHeight="1">
      <c r="C326" s="34">
        <v>1423.0</v>
      </c>
      <c r="D326" s="70" t="s">
        <v>477</v>
      </c>
      <c r="E326" s="71" t="str">
        <f>vlookup(C326,'NOC-List'!B$2:C$502,2,False)</f>
        <v>Desktop publishing operators and related occupations</v>
      </c>
      <c r="F326" s="72">
        <v>3.0</v>
      </c>
      <c r="G326" s="72">
        <v>3.0</v>
      </c>
      <c r="H326" s="72">
        <v>4.0</v>
      </c>
      <c r="I326" s="72">
        <v>3.0</v>
      </c>
      <c r="J326" s="72">
        <v>3.0</v>
      </c>
      <c r="K326" s="72">
        <v>3.0</v>
      </c>
      <c r="L326" s="72">
        <v>3.0</v>
      </c>
      <c r="M326" s="72">
        <v>3.0</v>
      </c>
      <c r="N326" s="72">
        <v>3.0</v>
      </c>
      <c r="O326" s="73"/>
      <c r="P326" s="35">
        <f>IFERROR(__xludf.DUMMYFUNCTION("""COMPUTED_VALUE"""),9227.0)</f>
        <v>9227</v>
      </c>
      <c r="Q326" s="35" t="str">
        <f>IFERROR(__xludf.DUMMYFUNCTION("query(C326:N1319,""Select D,E,F,G,H,I,J,K,L,M WHERE ""&amp;P326&amp;"" =C Limit 1"")"),"Supervisors, Other Products Manufacturing and Assembly")</f>
        <v>Supervisors, Other Products Manufacturing and Assembly</v>
      </c>
      <c r="R326" s="35" t="str">
        <f>IFERROR(__xludf.DUMMYFUNCTION("""COMPUTED_VALUE"""),"Supervisors, other products manufacturing and assembly")</f>
        <v>Supervisors, other products manufacturing and assembly</v>
      </c>
      <c r="S326" s="35">
        <f>IFERROR(__xludf.DUMMYFUNCTION("""COMPUTED_VALUE"""),3.0)</f>
        <v>3</v>
      </c>
      <c r="T326" s="35">
        <f>IFERROR(__xludf.DUMMYFUNCTION("""COMPUTED_VALUE"""),3.0)</f>
        <v>3</v>
      </c>
      <c r="U326" s="35">
        <f>IFERROR(__xludf.DUMMYFUNCTION("""COMPUTED_VALUE"""),3.0)</f>
        <v>3</v>
      </c>
      <c r="V326" s="35">
        <f>IFERROR(__xludf.DUMMYFUNCTION("""COMPUTED_VALUE"""),4.0)</f>
        <v>4</v>
      </c>
      <c r="W326" s="35">
        <f>IFERROR(__xludf.DUMMYFUNCTION("""COMPUTED_VALUE"""),4.0)</f>
        <v>4</v>
      </c>
      <c r="X326" s="35">
        <f>IFERROR(__xludf.DUMMYFUNCTION("""COMPUTED_VALUE"""),3.0)</f>
        <v>3</v>
      </c>
      <c r="Y326" s="35">
        <f>IFERROR(__xludf.DUMMYFUNCTION("""COMPUTED_VALUE"""),3.0)</f>
        <v>3</v>
      </c>
      <c r="Z326" s="35">
        <f>IFERROR(__xludf.DUMMYFUNCTION("""COMPUTED_VALUE"""),3.0)</f>
        <v>3</v>
      </c>
    </row>
    <row r="327" ht="15.75" customHeight="1">
      <c r="C327" s="34">
        <v>7312.0</v>
      </c>
      <c r="D327" s="70" t="s">
        <v>478</v>
      </c>
      <c r="E327" s="71" t="str">
        <f>vlookup(C327,'NOC-List'!B$2:C$502,2,False)</f>
        <v>Heavy-duty equipment mechanics</v>
      </c>
      <c r="F327" s="72">
        <v>3.0</v>
      </c>
      <c r="G327" s="72">
        <v>4.0</v>
      </c>
      <c r="H327" s="72">
        <v>3.0</v>
      </c>
      <c r="I327" s="72">
        <v>3.0</v>
      </c>
      <c r="J327" s="72">
        <v>2.0</v>
      </c>
      <c r="K327" s="72">
        <v>4.0</v>
      </c>
      <c r="L327" s="72">
        <v>3.0</v>
      </c>
      <c r="M327" s="72">
        <v>3.0</v>
      </c>
      <c r="N327" s="72">
        <v>3.0</v>
      </c>
      <c r="O327" s="73"/>
      <c r="P327" s="35">
        <f>IFERROR(__xludf.DUMMYFUNCTION("""COMPUTED_VALUE"""),9212.0)</f>
        <v>9212</v>
      </c>
      <c r="Q327" s="35" t="str">
        <f>IFERROR(__xludf.DUMMYFUNCTION("query(C327:N1320,""Select D,E,F,G,H,I,J,K,L,M WHERE ""&amp;P327&amp;"" =C Limit 1"")"),"Supervisors, Petroleum, Gas and Chemical Processing and Utilities")</f>
        <v>Supervisors, Petroleum, Gas and Chemical Processing and Utilities</v>
      </c>
      <c r="R327" s="35" t="str">
        <f>IFERROR(__xludf.DUMMYFUNCTION("""COMPUTED_VALUE"""),"Supervisors, petroleum, gas and chemical processing and utilities")</f>
        <v>Supervisors, petroleum, gas and chemical processing and utilities</v>
      </c>
      <c r="S327" s="35">
        <f>IFERROR(__xludf.DUMMYFUNCTION("""COMPUTED_VALUE"""),3.0)</f>
        <v>3</v>
      </c>
      <c r="T327" s="35">
        <f>IFERROR(__xludf.DUMMYFUNCTION("""COMPUTED_VALUE"""),3.0)</f>
        <v>3</v>
      </c>
      <c r="U327" s="35">
        <f>IFERROR(__xludf.DUMMYFUNCTION("""COMPUTED_VALUE"""),3.0)</f>
        <v>3</v>
      </c>
      <c r="V327" s="35">
        <f>IFERROR(__xludf.DUMMYFUNCTION("""COMPUTED_VALUE"""),4.0)</f>
        <v>4</v>
      </c>
      <c r="W327" s="35">
        <f>IFERROR(__xludf.DUMMYFUNCTION("""COMPUTED_VALUE"""),3.0)</f>
        <v>3</v>
      </c>
      <c r="X327" s="35">
        <f>IFERROR(__xludf.DUMMYFUNCTION("""COMPUTED_VALUE"""),3.0)</f>
        <v>3</v>
      </c>
      <c r="Y327" s="35">
        <f>IFERROR(__xludf.DUMMYFUNCTION("""COMPUTED_VALUE"""),3.0)</f>
        <v>3</v>
      </c>
      <c r="Z327" s="35">
        <f>IFERROR(__xludf.DUMMYFUNCTION("""COMPUTED_VALUE"""),4.0)</f>
        <v>4</v>
      </c>
    </row>
    <row r="328" ht="15.75" customHeight="1">
      <c r="C328" s="34">
        <v>9412.0</v>
      </c>
      <c r="D328" s="70" t="s">
        <v>479</v>
      </c>
      <c r="E328" s="71" t="str">
        <f>vlookup(C328,'NOC-List'!B$2:C$502,2,False)</f>
        <v>Foundry workers</v>
      </c>
      <c r="F328" s="72">
        <v>3.0</v>
      </c>
      <c r="G328" s="72">
        <v>4.0</v>
      </c>
      <c r="H328" s="72">
        <v>4.0</v>
      </c>
      <c r="I328" s="72">
        <v>3.0</v>
      </c>
      <c r="J328" s="72">
        <v>3.0</v>
      </c>
      <c r="K328" s="72">
        <v>4.0</v>
      </c>
      <c r="L328" s="72">
        <v>3.0</v>
      </c>
      <c r="M328" s="72">
        <v>3.0</v>
      </c>
      <c r="N328" s="72">
        <v>3.0</v>
      </c>
      <c r="O328" s="73"/>
      <c r="P328" s="35">
        <f>IFERROR(__xludf.DUMMYFUNCTION("""COMPUTED_VALUE"""),1522.0)</f>
        <v>1522</v>
      </c>
      <c r="Q328" s="35" t="str">
        <f>IFERROR(__xludf.DUMMYFUNCTION("query(C328:N1321,""Select D,E,F,G,H,I,J,K,L,M WHERE ""&amp;P328&amp;"" =C Limit 1"")"),"Storekeepers and Parts Clerks")</f>
        <v>Storekeepers and Parts Clerks</v>
      </c>
      <c r="R328" s="35" t="str">
        <f>IFERROR(__xludf.DUMMYFUNCTION("""COMPUTED_VALUE"""),"Storekeepers and partspersons")</f>
        <v>Storekeepers and partspersons</v>
      </c>
      <c r="S328" s="35">
        <f>IFERROR(__xludf.DUMMYFUNCTION("""COMPUTED_VALUE"""),3.0)</f>
        <v>3</v>
      </c>
      <c r="T328" s="35">
        <f>IFERROR(__xludf.DUMMYFUNCTION("""COMPUTED_VALUE"""),4.0)</f>
        <v>4</v>
      </c>
      <c r="U328" s="35">
        <f>IFERROR(__xludf.DUMMYFUNCTION("""COMPUTED_VALUE"""),4.0)</f>
        <v>4</v>
      </c>
      <c r="V328" s="35">
        <f>IFERROR(__xludf.DUMMYFUNCTION("""COMPUTED_VALUE"""),3.0)</f>
        <v>3</v>
      </c>
      <c r="W328" s="35">
        <f>IFERROR(__xludf.DUMMYFUNCTION("""COMPUTED_VALUE"""),4.0)</f>
        <v>4</v>
      </c>
      <c r="X328" s="35">
        <f>IFERROR(__xludf.DUMMYFUNCTION("""COMPUTED_VALUE"""),3.0)</f>
        <v>3</v>
      </c>
      <c r="Y328" s="35">
        <f>IFERROR(__xludf.DUMMYFUNCTION("""COMPUTED_VALUE"""),4.0)</f>
        <v>4</v>
      </c>
      <c r="Z328" s="35">
        <f>IFERROR(__xludf.DUMMYFUNCTION("""COMPUTED_VALUE"""),4.0)</f>
        <v>4</v>
      </c>
    </row>
    <row r="329" ht="15.75" customHeight="1">
      <c r="C329" s="34">
        <v>7322.0</v>
      </c>
      <c r="D329" s="70" t="s">
        <v>480</v>
      </c>
      <c r="E329" s="71" t="str">
        <f>vlookup(C329,'NOC-List'!B$2:C$502,2,False)</f>
        <v>Motor vehicle body repairers</v>
      </c>
      <c r="F329" s="72">
        <v>3.0</v>
      </c>
      <c r="G329" s="72">
        <v>4.0</v>
      </c>
      <c r="H329" s="72">
        <v>4.0</v>
      </c>
      <c r="I329" s="72">
        <v>3.0</v>
      </c>
      <c r="J329" s="72">
        <v>3.0</v>
      </c>
      <c r="K329" s="72">
        <v>4.0</v>
      </c>
      <c r="L329" s="72">
        <v>3.0</v>
      </c>
      <c r="M329" s="72">
        <v>3.0</v>
      </c>
      <c r="N329" s="72">
        <v>3.0</v>
      </c>
      <c r="O329" s="73"/>
      <c r="P329" s="35">
        <f>IFERROR(__xludf.DUMMYFUNCTION("""COMPUTED_VALUE"""),9243.0)</f>
        <v>9243</v>
      </c>
      <c r="Q329" s="35" t="str">
        <f>IFERROR(__xludf.DUMMYFUNCTION("query(C329:N1322,""Select D,E,F,G,H,I,J,K,L,M WHERE ""&amp;P329&amp;"" =C Limit 1"")"),"Waste Plant Operators")</f>
        <v>Waste Plant Operators</v>
      </c>
      <c r="R329" s="35" t="str">
        <f>IFERROR(__xludf.DUMMYFUNCTION("""COMPUTED_VALUE"""),"Water and waste treatment plant operators")</f>
        <v>Water and waste treatment plant operators</v>
      </c>
      <c r="S329" s="35">
        <f>IFERROR(__xludf.DUMMYFUNCTION("""COMPUTED_VALUE"""),3.0)</f>
        <v>3</v>
      </c>
      <c r="T329" s="35">
        <f>IFERROR(__xludf.DUMMYFUNCTION("""COMPUTED_VALUE"""),3.0)</f>
        <v>3</v>
      </c>
      <c r="U329" s="35">
        <f>IFERROR(__xludf.DUMMYFUNCTION("""COMPUTED_VALUE"""),3.0)</f>
        <v>3</v>
      </c>
      <c r="V329" s="35">
        <f>IFERROR(__xludf.DUMMYFUNCTION("""COMPUTED_VALUE"""),3.0)</f>
        <v>3</v>
      </c>
      <c r="W329" s="35">
        <f>IFERROR(__xludf.DUMMYFUNCTION("""COMPUTED_VALUE"""),3.0)</f>
        <v>3</v>
      </c>
      <c r="X329" s="35">
        <f>IFERROR(__xludf.DUMMYFUNCTION("""COMPUTED_VALUE"""),3.0)</f>
        <v>3</v>
      </c>
      <c r="Y329" s="35">
        <f>IFERROR(__xludf.DUMMYFUNCTION("""COMPUTED_VALUE"""),4.0)</f>
        <v>4</v>
      </c>
      <c r="Z329" s="35">
        <f>IFERROR(__xludf.DUMMYFUNCTION("""COMPUTED_VALUE"""),4.0)</f>
        <v>4</v>
      </c>
    </row>
    <row r="330" ht="15.75" customHeight="1">
      <c r="C330" s="34">
        <v>7331.0</v>
      </c>
      <c r="D330" s="70" t="s">
        <v>481</v>
      </c>
      <c r="E330" s="71" t="str">
        <f>vlookup(C330,'NOC-List'!B$2:C$502,2,False)</f>
        <v>Oil and solid fuel heating mechanics</v>
      </c>
      <c r="F330" s="72">
        <v>3.0</v>
      </c>
      <c r="G330" s="72">
        <v>4.0</v>
      </c>
      <c r="H330" s="72">
        <v>4.0</v>
      </c>
      <c r="I330" s="72">
        <v>3.0</v>
      </c>
      <c r="J330" s="72">
        <v>3.0</v>
      </c>
      <c r="K330" s="72">
        <v>4.0</v>
      </c>
      <c r="L330" s="72">
        <v>3.0</v>
      </c>
      <c r="M330" s="72">
        <v>3.0</v>
      </c>
      <c r="N330" s="72">
        <v>3.0</v>
      </c>
      <c r="O330" s="73"/>
      <c r="P330" s="35">
        <f>IFERROR(__xludf.DUMMYFUNCTION("""COMPUTED_VALUE"""),7373.0)</f>
        <v>7373</v>
      </c>
      <c r="Q330" s="35" t="str">
        <f>IFERROR(__xludf.DUMMYFUNCTION("query(C330:N1323,""Select D,E,F,G,H,I,J,K,L,M WHERE ""&amp;P330&amp;"" =C Limit 1"")"),"Water Well Drillers")</f>
        <v>Water Well Drillers</v>
      </c>
      <c r="R330" s="35" t="str">
        <f>IFERROR(__xludf.DUMMYFUNCTION("""COMPUTED_VALUE"""),"Water well drillers")</f>
        <v>Water well drillers</v>
      </c>
      <c r="S330" s="35">
        <f>IFERROR(__xludf.DUMMYFUNCTION("""COMPUTED_VALUE"""),3.0)</f>
        <v>3</v>
      </c>
      <c r="T330" s="35">
        <f>IFERROR(__xludf.DUMMYFUNCTION("""COMPUTED_VALUE"""),3.0)</f>
        <v>3</v>
      </c>
      <c r="U330" s="35">
        <f>IFERROR(__xludf.DUMMYFUNCTION("""COMPUTED_VALUE"""),4.0)</f>
        <v>4</v>
      </c>
      <c r="V330" s="35">
        <f>IFERROR(__xludf.DUMMYFUNCTION("""COMPUTED_VALUE"""),3.0)</f>
        <v>3</v>
      </c>
      <c r="W330" s="35">
        <f>IFERROR(__xludf.DUMMYFUNCTION("""COMPUTED_VALUE"""),4.0)</f>
        <v>4</v>
      </c>
      <c r="X330" s="35">
        <f>IFERROR(__xludf.DUMMYFUNCTION("""COMPUTED_VALUE"""),4.0)</f>
        <v>4</v>
      </c>
      <c r="Y330" s="35">
        <f>IFERROR(__xludf.DUMMYFUNCTION("""COMPUTED_VALUE"""),3.0)</f>
        <v>3</v>
      </c>
      <c r="Z330" s="35">
        <f>IFERROR(__xludf.DUMMYFUNCTION("""COMPUTED_VALUE"""),4.0)</f>
        <v>4</v>
      </c>
    </row>
    <row r="331" ht="15.75" customHeight="1">
      <c r="C331" s="34">
        <v>2271.0</v>
      </c>
      <c r="D331" s="70" t="s">
        <v>482</v>
      </c>
      <c r="E331" s="71" t="str">
        <f>vlookup(C331,'NOC-List'!B$2:C$502,2,False)</f>
        <v>Air pilots, flight engineers and flying instructors</v>
      </c>
      <c r="F331" s="72">
        <v>2.0</v>
      </c>
      <c r="G331" s="72">
        <v>2.0</v>
      </c>
      <c r="H331" s="72">
        <v>2.0</v>
      </c>
      <c r="I331" s="72">
        <v>1.0</v>
      </c>
      <c r="J331" s="72">
        <v>2.0</v>
      </c>
      <c r="K331" s="72">
        <v>3.0</v>
      </c>
      <c r="L331" s="72">
        <v>2.0</v>
      </c>
      <c r="M331" s="72">
        <v>3.0</v>
      </c>
      <c r="N331" s="72">
        <v>3.0</v>
      </c>
      <c r="O331" s="73"/>
      <c r="P331" s="35">
        <f>IFERROR(__xludf.DUMMYFUNCTION("""COMPUTED_VALUE"""),7283.0)</f>
        <v>7283</v>
      </c>
      <c r="Q331" s="35" t="str">
        <f>IFERROR(__xludf.DUMMYFUNCTION("query(C331:N1324,""Select D,E,F,G,H,I,J,K,L,M WHERE ""&amp;P331&amp;"" =C Limit 1"")"),"Tilesetters")</f>
        <v>Tilesetters</v>
      </c>
      <c r="R331" s="35" t="str">
        <f>IFERROR(__xludf.DUMMYFUNCTION("""COMPUTED_VALUE"""),"Tilesetters")</f>
        <v>Tilesetters</v>
      </c>
      <c r="S331" s="35">
        <f>IFERROR(__xludf.DUMMYFUNCTION("""COMPUTED_VALUE"""),3.0)</f>
        <v>3</v>
      </c>
      <c r="T331" s="35">
        <f>IFERROR(__xludf.DUMMYFUNCTION("""COMPUTED_VALUE"""),4.0)</f>
        <v>4</v>
      </c>
      <c r="U331" s="35">
        <f>IFERROR(__xludf.DUMMYFUNCTION("""COMPUTED_VALUE"""),3.0)</f>
        <v>3</v>
      </c>
      <c r="V331" s="35">
        <f>IFERROR(__xludf.DUMMYFUNCTION("""COMPUTED_VALUE"""),3.0)</f>
        <v>3</v>
      </c>
      <c r="W331" s="35">
        <f>IFERROR(__xludf.DUMMYFUNCTION("""COMPUTED_VALUE"""),4.0)</f>
        <v>4</v>
      </c>
      <c r="X331" s="35">
        <f>IFERROR(__xludf.DUMMYFUNCTION("""COMPUTED_VALUE"""),4.0)</f>
        <v>4</v>
      </c>
      <c r="Y331" s="35">
        <f>IFERROR(__xludf.DUMMYFUNCTION("""COMPUTED_VALUE"""),3.0)</f>
        <v>3</v>
      </c>
      <c r="Z331" s="35">
        <f>IFERROR(__xludf.DUMMYFUNCTION("""COMPUTED_VALUE"""),4.0)</f>
        <v>4</v>
      </c>
    </row>
    <row r="332" ht="15.75" customHeight="1">
      <c r="C332" s="34">
        <v>9472.0</v>
      </c>
      <c r="D332" s="70" t="s">
        <v>483</v>
      </c>
      <c r="E332" s="71" t="str">
        <f>vlookup(C332,'NOC-List'!B$2:C$502,2,False)</f>
        <v>Camera, platemaking and other prepress occupations</v>
      </c>
      <c r="F332" s="72">
        <v>3.0</v>
      </c>
      <c r="G332" s="72">
        <v>3.0</v>
      </c>
      <c r="H332" s="72">
        <v>4.0</v>
      </c>
      <c r="I332" s="72">
        <v>3.0</v>
      </c>
      <c r="J332" s="72">
        <v>3.0</v>
      </c>
      <c r="K332" s="72">
        <v>3.0</v>
      </c>
      <c r="L332" s="72">
        <v>3.0</v>
      </c>
      <c r="M332" s="72">
        <v>3.0</v>
      </c>
      <c r="N332" s="72">
        <v>3.0</v>
      </c>
      <c r="O332" s="73"/>
      <c r="P332" s="35">
        <f>IFERROR(__xludf.DUMMYFUNCTION("""COMPUTED_VALUE"""),8411.0)</f>
        <v>8411</v>
      </c>
      <c r="Q332" s="35" t="str">
        <f>IFERROR(__xludf.DUMMYFUNCTION("query(C332:N1325,""Select D,E,F,G,H,I,J,K,L,M WHERE ""&amp;P332&amp;"" =C Limit 1"")"),"Underground Mine Service and Support Workers")</f>
        <v>Underground Mine Service and Support Workers</v>
      </c>
      <c r="R332" s="35" t="str">
        <f>IFERROR(__xludf.DUMMYFUNCTION("""COMPUTED_VALUE"""),"Underground mine service and support workers")</f>
        <v>Underground mine service and support workers</v>
      </c>
      <c r="S332" s="35">
        <f>IFERROR(__xludf.DUMMYFUNCTION("""COMPUTED_VALUE"""),3.0)</f>
        <v>3</v>
      </c>
      <c r="T332" s="35">
        <f>IFERROR(__xludf.DUMMYFUNCTION("""COMPUTED_VALUE"""),4.0)</f>
        <v>4</v>
      </c>
      <c r="U332" s="35">
        <f>IFERROR(__xludf.DUMMYFUNCTION("""COMPUTED_VALUE"""),4.0)</f>
        <v>4</v>
      </c>
      <c r="V332" s="35">
        <f>IFERROR(__xludf.DUMMYFUNCTION("""COMPUTED_VALUE"""),3.0)</f>
        <v>3</v>
      </c>
      <c r="W332" s="35">
        <f>IFERROR(__xludf.DUMMYFUNCTION("""COMPUTED_VALUE"""),4.0)</f>
        <v>4</v>
      </c>
      <c r="X332" s="35">
        <f>IFERROR(__xludf.DUMMYFUNCTION("""COMPUTED_VALUE"""),5.0)</f>
        <v>5</v>
      </c>
      <c r="Y332" s="35">
        <f>IFERROR(__xludf.DUMMYFUNCTION("""COMPUTED_VALUE"""),3.0)</f>
        <v>3</v>
      </c>
      <c r="Z332" s="35">
        <f>IFERROR(__xludf.DUMMYFUNCTION("""COMPUTED_VALUE"""),4.0)</f>
        <v>4</v>
      </c>
    </row>
    <row r="333" ht="15.75" customHeight="1">
      <c r="C333" s="34">
        <v>7381.0</v>
      </c>
      <c r="D333" s="70" t="s">
        <v>484</v>
      </c>
      <c r="E333" s="71" t="str">
        <f>vlookup(C333,'NOC-List'!B$2:C$502,2,False)</f>
        <v>Printing press operators</v>
      </c>
      <c r="F333" s="72">
        <v>3.0</v>
      </c>
      <c r="G333" s="72">
        <v>3.0</v>
      </c>
      <c r="H333" s="72">
        <v>4.0</v>
      </c>
      <c r="I333" s="72">
        <v>3.0</v>
      </c>
      <c r="J333" s="72">
        <v>3.0</v>
      </c>
      <c r="K333" s="72">
        <v>3.0</v>
      </c>
      <c r="L333" s="72">
        <v>3.0</v>
      </c>
      <c r="M333" s="72">
        <v>3.0</v>
      </c>
      <c r="N333" s="72">
        <v>3.0</v>
      </c>
      <c r="O333" s="73"/>
      <c r="P333" s="35">
        <f>IFERROR(__xludf.DUMMYFUNCTION("""COMPUTED_VALUE"""),5135.0)</f>
        <v>5135</v>
      </c>
      <c r="Q333" s="35" t="str">
        <f>IFERROR(__xludf.DUMMYFUNCTION("query(C333:N1326,""Select D,E,F,G,H,I,J,K,L,M WHERE ""&amp;P333&amp;"" =C Limit 1"")"),"Acting Teachers")</f>
        <v>Acting Teachers</v>
      </c>
      <c r="R333" s="35" t="str">
        <f>IFERROR(__xludf.DUMMYFUNCTION("""COMPUTED_VALUE"""),"Actors and comedians")</f>
        <v>Actors and comedians</v>
      </c>
      <c r="S333" s="35">
        <f>IFERROR(__xludf.DUMMYFUNCTION("""COMPUTED_VALUE"""),2.0)</f>
        <v>2</v>
      </c>
      <c r="T333" s="35">
        <f>IFERROR(__xludf.DUMMYFUNCTION("""COMPUTED_VALUE"""),2.0)</f>
        <v>2</v>
      </c>
      <c r="U333" s="35">
        <f>IFERROR(__xludf.DUMMYFUNCTION("""COMPUTED_VALUE"""),4.0)</f>
        <v>4</v>
      </c>
      <c r="V333" s="35">
        <f>IFERROR(__xludf.DUMMYFUNCTION("""COMPUTED_VALUE"""),3.0)</f>
        <v>3</v>
      </c>
      <c r="W333" s="35">
        <f>IFERROR(__xludf.DUMMYFUNCTION("""COMPUTED_VALUE"""),3.0)</f>
        <v>3</v>
      </c>
      <c r="X333" s="35">
        <f>IFERROR(__xludf.DUMMYFUNCTION("""COMPUTED_VALUE"""),4.0)</f>
        <v>4</v>
      </c>
      <c r="Y333" s="35">
        <f>IFERROR(__xludf.DUMMYFUNCTION("""COMPUTED_VALUE"""),4.0)</f>
        <v>4</v>
      </c>
      <c r="Z333" s="35">
        <f>IFERROR(__xludf.DUMMYFUNCTION("""COMPUTED_VALUE"""),4.0)</f>
        <v>4</v>
      </c>
    </row>
    <row r="334" ht="15.75" customHeight="1">
      <c r="C334" s="34">
        <v>3219.0</v>
      </c>
      <c r="D334" s="70" t="s">
        <v>485</v>
      </c>
      <c r="E334" s="71" t="str">
        <f>vlookup(C334,'NOC-List'!B$2:C$502,2,False)</f>
        <v>Other medical technologists and technicians (except dental health)</v>
      </c>
      <c r="F334" s="72">
        <v>2.0</v>
      </c>
      <c r="G334" s="72">
        <v>3.0</v>
      </c>
      <c r="H334" s="72">
        <v>3.0</v>
      </c>
      <c r="I334" s="72">
        <v>2.0</v>
      </c>
      <c r="J334" s="72">
        <v>3.0</v>
      </c>
      <c r="K334" s="72">
        <v>4.0</v>
      </c>
      <c r="L334" s="72">
        <v>3.0</v>
      </c>
      <c r="M334" s="72">
        <v>3.0</v>
      </c>
      <c r="N334" s="72">
        <v>3.0</v>
      </c>
      <c r="O334" s="73"/>
      <c r="P334" s="35">
        <f>IFERROR(__xludf.DUMMYFUNCTION("""COMPUTED_VALUE"""),9437.0)</f>
        <v>9437</v>
      </c>
      <c r="Q334" s="35" t="str">
        <f>IFERROR(__xludf.DUMMYFUNCTION("query(C334:N1327,""Select D,E,F,G,H,I,J,K,L,M WHERE ""&amp;P334&amp;"" =C Limit 1"")"),"Woodworking Machine Operators")</f>
        <v>Woodworking Machine Operators</v>
      </c>
      <c r="R334" s="35" t="str">
        <f>IFERROR(__xludf.DUMMYFUNCTION("""COMPUTED_VALUE"""),"Woodworking machine operators")</f>
        <v>Woodworking machine operators</v>
      </c>
      <c r="S334" s="35">
        <f>IFERROR(__xludf.DUMMYFUNCTION("""COMPUTED_VALUE"""),4.0)</f>
        <v>4</v>
      </c>
      <c r="T334" s="35">
        <f>IFERROR(__xludf.DUMMYFUNCTION("""COMPUTED_VALUE"""),4.0)</f>
        <v>4</v>
      </c>
      <c r="U334" s="35">
        <f>IFERROR(__xludf.DUMMYFUNCTION("""COMPUTED_VALUE"""),4.0)</f>
        <v>4</v>
      </c>
      <c r="V334" s="35">
        <f>IFERROR(__xludf.DUMMYFUNCTION("""COMPUTED_VALUE"""),4.0)</f>
        <v>4</v>
      </c>
      <c r="W334" s="35">
        <f>IFERROR(__xludf.DUMMYFUNCTION("""COMPUTED_VALUE"""),3.0)</f>
        <v>3</v>
      </c>
      <c r="X334" s="35">
        <f>IFERROR(__xludf.DUMMYFUNCTION("""COMPUTED_VALUE"""),4.0)</f>
        <v>4</v>
      </c>
      <c r="Y334" s="35">
        <f>IFERROR(__xludf.DUMMYFUNCTION("""COMPUTED_VALUE"""),3.0)</f>
        <v>3</v>
      </c>
      <c r="Z334" s="35">
        <f>IFERROR(__xludf.DUMMYFUNCTION("""COMPUTED_VALUE"""),4.0)</f>
        <v>4</v>
      </c>
    </row>
    <row r="335" ht="15.75" customHeight="1">
      <c r="C335" s="34">
        <v>5232.0</v>
      </c>
      <c r="D335" s="70" t="s">
        <v>486</v>
      </c>
      <c r="E335" s="71" t="str">
        <f>vlookup(C335,'NOC-List'!B$2:C$502,2,False)</f>
        <v>Other performers, n.e.c.</v>
      </c>
      <c r="F335" s="72">
        <v>3.0</v>
      </c>
      <c r="G335" s="72">
        <v>3.0</v>
      </c>
      <c r="H335" s="72">
        <v>4.0</v>
      </c>
      <c r="I335" s="72">
        <v>2.0</v>
      </c>
      <c r="J335" s="72">
        <v>4.0</v>
      </c>
      <c r="K335" s="72">
        <v>4.0</v>
      </c>
      <c r="L335" s="72">
        <v>2.0</v>
      </c>
      <c r="M335" s="72">
        <v>2.0</v>
      </c>
      <c r="N335" s="72">
        <v>2.0</v>
      </c>
      <c r="O335" s="73"/>
      <c r="P335" s="35">
        <f>IFERROR(__xludf.DUMMYFUNCTION("""COMPUTED_VALUE"""),1314.0)</f>
        <v>1314</v>
      </c>
      <c r="Q335" s="35" t="str">
        <f>IFERROR(__xludf.DUMMYFUNCTION("query(C335:N1328,""Select D,E,F,G,H,I,J,K,L,M WHERE ""&amp;P335&amp;"" =C Limit 1"")"),"Appraisers")</f>
        <v>Appraisers</v>
      </c>
      <c r="R335" s="35" t="str">
        <f>IFERROR(__xludf.DUMMYFUNCTION("""COMPUTED_VALUE"""),"Assessors, valuators and appraisers")</f>
        <v>Assessors, valuators and appraisers</v>
      </c>
      <c r="S335" s="35">
        <f>IFERROR(__xludf.DUMMYFUNCTION("""COMPUTED_VALUE"""),2.0)</f>
        <v>2</v>
      </c>
      <c r="T335" s="35">
        <f>IFERROR(__xludf.DUMMYFUNCTION("""COMPUTED_VALUE"""),3.0)</f>
        <v>3</v>
      </c>
      <c r="U335" s="35">
        <f>IFERROR(__xludf.DUMMYFUNCTION("""COMPUTED_VALUE"""),2.0)</f>
        <v>2</v>
      </c>
      <c r="V335" s="35">
        <f>IFERROR(__xludf.DUMMYFUNCTION("""COMPUTED_VALUE"""),3.0)</f>
        <v>3</v>
      </c>
      <c r="W335" s="35">
        <f>IFERROR(__xludf.DUMMYFUNCTION("""COMPUTED_VALUE"""),3.0)</f>
        <v>3</v>
      </c>
      <c r="X335" s="35">
        <f>IFERROR(__xludf.DUMMYFUNCTION("""COMPUTED_VALUE"""),3.0)</f>
        <v>3</v>
      </c>
      <c r="Y335" s="35">
        <f>IFERROR(__xludf.DUMMYFUNCTION("""COMPUTED_VALUE"""),4.0)</f>
        <v>4</v>
      </c>
      <c r="Z335" s="35">
        <f>IFERROR(__xludf.DUMMYFUNCTION("""COMPUTED_VALUE"""),4.0)</f>
        <v>4</v>
      </c>
    </row>
    <row r="336" ht="15.75" customHeight="1">
      <c r="C336" s="34">
        <v>7445.0</v>
      </c>
      <c r="D336" s="70" t="s">
        <v>487</v>
      </c>
      <c r="E336" s="71" t="str">
        <f>vlookup(C336,'NOC-List'!B$2:C$502,2,False)</f>
        <v>Other repairers and servicers</v>
      </c>
      <c r="F336" s="72">
        <v>3.0</v>
      </c>
      <c r="G336" s="72">
        <v>4.0</v>
      </c>
      <c r="H336" s="72">
        <v>4.0</v>
      </c>
      <c r="I336" s="72">
        <v>3.0</v>
      </c>
      <c r="J336" s="72">
        <v>3.0</v>
      </c>
      <c r="K336" s="72">
        <v>4.0</v>
      </c>
      <c r="L336" s="72">
        <v>3.0</v>
      </c>
      <c r="M336" s="72">
        <v>3.0</v>
      </c>
      <c r="N336" s="72">
        <v>3.0</v>
      </c>
      <c r="O336" s="73"/>
      <c r="P336" s="35">
        <f>IFERROR(__xludf.DUMMYFUNCTION("""COMPUTED_VALUE"""),823.0)</f>
        <v>823</v>
      </c>
      <c r="Q336" s="35" t="str">
        <f>IFERROR(__xludf.DUMMYFUNCTION("query(C336:N1329,""Select D,E,F,G,H,I,J,K,L,M WHERE ""&amp;P336&amp;"" =C Limit 1"")"),"Aquaculture Operators and Managers")</f>
        <v>Aquaculture Operators and Managers</v>
      </c>
      <c r="R336" s="35" t="str">
        <f>IFERROR(__xludf.DUMMYFUNCTION("""COMPUTED_VALUE"""),"Managers in aquaculture")</f>
        <v>Managers in aquaculture</v>
      </c>
      <c r="S336" s="35">
        <f>IFERROR(__xludf.DUMMYFUNCTION("""COMPUTED_VALUE"""),3.0)</f>
        <v>3</v>
      </c>
      <c r="T336" s="35">
        <f>IFERROR(__xludf.DUMMYFUNCTION("""COMPUTED_VALUE"""),3.0)</f>
        <v>3</v>
      </c>
      <c r="U336" s="35">
        <f>IFERROR(__xludf.DUMMYFUNCTION("""COMPUTED_VALUE"""),4.0)</f>
        <v>4</v>
      </c>
      <c r="V336" s="35">
        <f>IFERROR(__xludf.DUMMYFUNCTION("""COMPUTED_VALUE"""),4.0)</f>
        <v>4</v>
      </c>
      <c r="W336" s="35">
        <f>IFERROR(__xludf.DUMMYFUNCTION("""COMPUTED_VALUE"""),3.0)</f>
        <v>3</v>
      </c>
      <c r="X336" s="35">
        <f>IFERROR(__xludf.DUMMYFUNCTION("""COMPUTED_VALUE"""),4.0)</f>
        <v>4</v>
      </c>
      <c r="Y336" s="35">
        <f>IFERROR(__xludf.DUMMYFUNCTION("""COMPUTED_VALUE"""),4.0)</f>
        <v>4</v>
      </c>
      <c r="Z336" s="35">
        <f>IFERROR(__xludf.DUMMYFUNCTION("""COMPUTED_VALUE"""),4.0)</f>
        <v>4</v>
      </c>
    </row>
    <row r="337" ht="15.75" customHeight="1">
      <c r="C337" s="34">
        <v>4216.0</v>
      </c>
      <c r="D337" s="70" t="s">
        <v>488</v>
      </c>
      <c r="E337" s="71" t="str">
        <f>vlookup(C337,'NOC-List'!B$2:C$502,2,False)</f>
        <v>Other instructors</v>
      </c>
      <c r="F337" s="72">
        <v>3.0</v>
      </c>
      <c r="G337" s="72">
        <v>3.0</v>
      </c>
      <c r="H337" s="72">
        <v>4.0</v>
      </c>
      <c r="I337" s="72">
        <v>2.0</v>
      </c>
      <c r="J337" s="72">
        <v>3.0</v>
      </c>
      <c r="K337" s="72">
        <v>4.0</v>
      </c>
      <c r="L337" s="72">
        <v>3.0</v>
      </c>
      <c r="M337" s="72">
        <v>3.0</v>
      </c>
      <c r="N337" s="72">
        <v>3.0</v>
      </c>
      <c r="O337" s="73"/>
      <c r="P337" s="35">
        <f>IFERROR(__xludf.DUMMYFUNCTION("""COMPUTED_VALUE"""),7361.0)</f>
        <v>7361</v>
      </c>
      <c r="Q337" s="35" t="str">
        <f>IFERROR(__xludf.DUMMYFUNCTION("query(C337:N1330,""Select D,E,F,G,H,I,J,K,L,M WHERE ""&amp;P337&amp;"" =C Limit 1"")"),"Yard Locomotive Engineers")</f>
        <v>Yard Locomotive Engineers</v>
      </c>
      <c r="R337" s="35" t="str">
        <f>IFERROR(__xludf.DUMMYFUNCTION("""COMPUTED_VALUE"""),"Railway and yard locomotive engineers")</f>
        <v>Railway and yard locomotive engineers</v>
      </c>
      <c r="S337" s="35">
        <f>IFERROR(__xludf.DUMMYFUNCTION("""COMPUTED_VALUE"""),3.0)</f>
        <v>3</v>
      </c>
      <c r="T337" s="35">
        <f>IFERROR(__xludf.DUMMYFUNCTION("""COMPUTED_VALUE"""),4.0)</f>
        <v>4</v>
      </c>
      <c r="U337" s="35">
        <f>IFERROR(__xludf.DUMMYFUNCTION("""COMPUTED_VALUE"""),4.0)</f>
        <v>4</v>
      </c>
      <c r="V337" s="35">
        <f>IFERROR(__xludf.DUMMYFUNCTION("""COMPUTED_VALUE"""),3.0)</f>
        <v>3</v>
      </c>
      <c r="W337" s="35">
        <f>IFERROR(__xludf.DUMMYFUNCTION("""COMPUTED_VALUE"""),4.0)</f>
        <v>4</v>
      </c>
      <c r="X337" s="35">
        <f>IFERROR(__xludf.DUMMYFUNCTION("""COMPUTED_VALUE"""),4.0)</f>
        <v>4</v>
      </c>
      <c r="Y337" s="35">
        <f>IFERROR(__xludf.DUMMYFUNCTION("""COMPUTED_VALUE"""),4.0)</f>
        <v>4</v>
      </c>
      <c r="Z337" s="35">
        <f>IFERROR(__xludf.DUMMYFUNCTION("""COMPUTED_VALUE"""),4.0)</f>
        <v>4</v>
      </c>
    </row>
    <row r="338" ht="15.75" customHeight="1">
      <c r="C338" s="34">
        <v>9474.0</v>
      </c>
      <c r="D338" s="70" t="s">
        <v>489</v>
      </c>
      <c r="E338" s="71" t="str">
        <f>vlookup(C338,'NOC-List'!B$2:C$502,2,False)</f>
        <v>Photographic and film processors</v>
      </c>
      <c r="F338" s="72">
        <v>3.0</v>
      </c>
      <c r="G338" s="72">
        <v>4.0</v>
      </c>
      <c r="H338" s="72">
        <v>4.0</v>
      </c>
      <c r="I338" s="72">
        <v>3.0</v>
      </c>
      <c r="J338" s="72">
        <v>3.0</v>
      </c>
      <c r="K338" s="72">
        <v>4.0</v>
      </c>
      <c r="L338" s="72">
        <v>3.0</v>
      </c>
      <c r="M338" s="72">
        <v>3.0</v>
      </c>
      <c r="N338" s="72">
        <v>3.0</v>
      </c>
      <c r="O338" s="73"/>
      <c r="P338" s="35">
        <f>IFERROR(__xludf.DUMMYFUNCTION("""COMPUTED_VALUE"""),3141.0)</f>
        <v>3141</v>
      </c>
      <c r="Q338" s="35" t="str">
        <f>IFERROR(__xludf.DUMMYFUNCTION("query(C338:N1331,""Select D,E,F,G,H,I,J,K,L,M WHERE ""&amp;P338&amp;"" =C Limit 1"")"),"Audiologists")</f>
        <v>Audiologists</v>
      </c>
      <c r="R338" s="35" t="str">
        <f>IFERROR(__xludf.DUMMYFUNCTION("""COMPUTED_VALUE"""),"Audiologists and speech-language pathologists")</f>
        <v>Audiologists and speech-language pathologists</v>
      </c>
      <c r="S338" s="35">
        <f>IFERROR(__xludf.DUMMYFUNCTION("""COMPUTED_VALUE"""),2.0)</f>
        <v>2</v>
      </c>
      <c r="T338" s="35">
        <f>IFERROR(__xludf.DUMMYFUNCTION("""COMPUTED_VALUE"""),2.0)</f>
        <v>2</v>
      </c>
      <c r="U338" s="35">
        <f>IFERROR(__xludf.DUMMYFUNCTION("""COMPUTED_VALUE"""),3.0)</f>
        <v>3</v>
      </c>
      <c r="V338" s="35">
        <f>IFERROR(__xludf.DUMMYFUNCTION("""COMPUTED_VALUE"""),3.0)</f>
        <v>3</v>
      </c>
      <c r="W338" s="35">
        <f>IFERROR(__xludf.DUMMYFUNCTION("""COMPUTED_VALUE"""),3.0)</f>
        <v>3</v>
      </c>
      <c r="X338" s="35">
        <f>IFERROR(__xludf.DUMMYFUNCTION("""COMPUTED_VALUE"""),3.0)</f>
        <v>3</v>
      </c>
      <c r="Y338" s="35">
        <f>IFERROR(__xludf.DUMMYFUNCTION("""COMPUTED_VALUE"""),4.0)</f>
        <v>4</v>
      </c>
      <c r="Z338" s="35">
        <f>IFERROR(__xludf.DUMMYFUNCTION("""COMPUTED_VALUE"""),4.0)</f>
        <v>4</v>
      </c>
    </row>
    <row r="339" ht="15.75" customHeight="1">
      <c r="C339" s="34">
        <v>7303.0</v>
      </c>
      <c r="D339" s="70" t="s">
        <v>490</v>
      </c>
      <c r="E339" s="71" t="str">
        <f>vlookup(C339,'NOC-List'!B$2:C$502,2,False)</f>
        <v>Supervisors, printing and related occupations</v>
      </c>
      <c r="F339" s="72">
        <v>3.0</v>
      </c>
      <c r="G339" s="72">
        <v>3.0</v>
      </c>
      <c r="H339" s="72">
        <v>4.0</v>
      </c>
      <c r="I339" s="72">
        <v>3.0</v>
      </c>
      <c r="J339" s="72">
        <v>3.0</v>
      </c>
      <c r="K339" s="72">
        <v>3.0</v>
      </c>
      <c r="L339" s="72">
        <v>3.0</v>
      </c>
      <c r="M339" s="72">
        <v>3.0</v>
      </c>
      <c r="N339" s="72">
        <v>3.0</v>
      </c>
      <c r="O339" s="73"/>
      <c r="P339" s="35">
        <f>IFERROR(__xludf.DUMMYFUNCTION("""COMPUTED_VALUE"""),1434.0)</f>
        <v>1434</v>
      </c>
      <c r="Q339" s="35" t="str">
        <f>IFERROR(__xludf.DUMMYFUNCTION("query(C339:N1332,""Select D,E,F,G,H,I,J,K,L,M WHERE ""&amp;P339&amp;"" =C Limit 1"")"),"Bank Clerks")</f>
        <v>Bank Clerks</v>
      </c>
      <c r="R339" s="35" t="str">
        <f>IFERROR(__xludf.DUMMYFUNCTION("""COMPUTED_VALUE"""),"Banking, insurance and other financial clerks")</f>
        <v>Banking, insurance and other financial clerks</v>
      </c>
      <c r="S339" s="35">
        <f>IFERROR(__xludf.DUMMYFUNCTION("""COMPUTED_VALUE"""),3.0)</f>
        <v>3</v>
      </c>
      <c r="T339" s="35">
        <f>IFERROR(__xludf.DUMMYFUNCTION("""COMPUTED_VALUE"""),3.0)</f>
        <v>3</v>
      </c>
      <c r="U339" s="35">
        <f>IFERROR(__xludf.DUMMYFUNCTION("""COMPUTED_VALUE"""),3.0)</f>
        <v>3</v>
      </c>
      <c r="V339" s="35">
        <f>IFERROR(__xludf.DUMMYFUNCTION("""COMPUTED_VALUE"""),4.0)</f>
        <v>4</v>
      </c>
      <c r="W339" s="35">
        <f>IFERROR(__xludf.DUMMYFUNCTION("""COMPUTED_VALUE"""),4.0)</f>
        <v>4</v>
      </c>
      <c r="X339" s="35">
        <f>IFERROR(__xludf.DUMMYFUNCTION("""COMPUTED_VALUE"""),3.0)</f>
        <v>3</v>
      </c>
      <c r="Y339" s="35">
        <f>IFERROR(__xludf.DUMMYFUNCTION("""COMPUTED_VALUE"""),3.0)</f>
        <v>3</v>
      </c>
      <c r="Z339" s="35">
        <f>IFERROR(__xludf.DUMMYFUNCTION("""COMPUTED_VALUE"""),3.0)</f>
        <v>3</v>
      </c>
    </row>
    <row r="340" ht="15.75" customHeight="1">
      <c r="C340" s="34">
        <v>5243.0</v>
      </c>
      <c r="D340" s="70" t="s">
        <v>491</v>
      </c>
      <c r="E340" s="71" t="str">
        <f>vlookup(C340,'NOC-List'!B$2:C$502,2,False)</f>
        <v>Theatre, fashion, exhibit and other creative designers</v>
      </c>
      <c r="F340" s="72">
        <v>2.0</v>
      </c>
      <c r="G340" s="72">
        <v>3.0</v>
      </c>
      <c r="H340" s="72">
        <v>3.0</v>
      </c>
      <c r="I340" s="72">
        <v>2.0</v>
      </c>
      <c r="J340" s="72">
        <v>3.0</v>
      </c>
      <c r="K340" s="72">
        <v>4.0</v>
      </c>
      <c r="L340" s="72">
        <v>3.0</v>
      </c>
      <c r="M340" s="72">
        <v>3.0</v>
      </c>
      <c r="N340" s="72">
        <v>3.0</v>
      </c>
      <c r="O340" s="73"/>
      <c r="P340" s="35">
        <f>IFERROR(__xludf.DUMMYFUNCTION("""COMPUTED_VALUE"""),7534.0)</f>
        <v>7534</v>
      </c>
      <c r="Q340" s="35" t="str">
        <f>IFERROR(__xludf.DUMMYFUNCTION("query(C340:N1333,""Select D,E,F,G,H,I,J,K,L,M WHERE ""&amp;P340&amp;"" =C Limit 1"")"),"Air Transport Ramp Attendants")</f>
        <v>Air Transport Ramp Attendants</v>
      </c>
      <c r="R340" s="35" t="str">
        <f>IFERROR(__xludf.DUMMYFUNCTION("""COMPUTED_VALUE"""),"Air transport ramp attendants")</f>
        <v>Air transport ramp attendants</v>
      </c>
      <c r="S340" s="35">
        <f>IFERROR(__xludf.DUMMYFUNCTION("""COMPUTED_VALUE"""),4.0)</f>
        <v>4</v>
      </c>
      <c r="T340" s="35">
        <f>IFERROR(__xludf.DUMMYFUNCTION("""COMPUTED_VALUE"""),4.0)</f>
        <v>4</v>
      </c>
      <c r="U340" s="35">
        <f>IFERROR(__xludf.DUMMYFUNCTION("""COMPUTED_VALUE"""),4.0)</f>
        <v>4</v>
      </c>
      <c r="V340" s="35">
        <f>IFERROR(__xludf.DUMMYFUNCTION("""COMPUTED_VALUE"""),3.0)</f>
        <v>3</v>
      </c>
      <c r="W340" s="35">
        <f>IFERROR(__xludf.DUMMYFUNCTION("""COMPUTED_VALUE"""),4.0)</f>
        <v>4</v>
      </c>
      <c r="X340" s="35">
        <f>IFERROR(__xludf.DUMMYFUNCTION("""COMPUTED_VALUE"""),4.0)</f>
        <v>4</v>
      </c>
      <c r="Y340" s="35">
        <f>IFERROR(__xludf.DUMMYFUNCTION("""COMPUTED_VALUE"""),4.0)</f>
        <v>4</v>
      </c>
      <c r="Z340" s="35">
        <f>IFERROR(__xludf.DUMMYFUNCTION("""COMPUTED_VALUE"""),4.0)</f>
        <v>4</v>
      </c>
    </row>
    <row r="341" ht="15.75" customHeight="1">
      <c r="C341" s="34">
        <v>1423.0</v>
      </c>
      <c r="D341" s="70" t="s">
        <v>492</v>
      </c>
      <c r="E341" s="71" t="str">
        <f>vlookup(C341,'NOC-List'!B$2:C$502,2,False)</f>
        <v>Desktop publishing operators and related occupations</v>
      </c>
      <c r="F341" s="72">
        <v>3.0</v>
      </c>
      <c r="G341" s="72">
        <v>3.0</v>
      </c>
      <c r="H341" s="72">
        <v>4.0</v>
      </c>
      <c r="I341" s="72">
        <v>3.0</v>
      </c>
      <c r="J341" s="72">
        <v>3.0</v>
      </c>
      <c r="K341" s="72">
        <v>3.0</v>
      </c>
      <c r="L341" s="72">
        <v>3.0</v>
      </c>
      <c r="M341" s="72">
        <v>3.0</v>
      </c>
      <c r="N341" s="72">
        <v>3.0</v>
      </c>
      <c r="O341" s="73"/>
      <c r="P341" s="35">
        <f>IFERROR(__xludf.DUMMYFUNCTION("""COMPUTED_VALUE"""),9423.0)</f>
        <v>9423</v>
      </c>
      <c r="Q341" s="35" t="str">
        <f>IFERROR(__xludf.DUMMYFUNCTION("query(C341:N1334,""Select D,E,F,G,H,I,J,K,L,M WHERE ""&amp;P341&amp;"" =C Limit 1"")"),"Assemblers, Rubber Products")</f>
        <v>Assemblers, Rubber Products</v>
      </c>
      <c r="R341" s="35" t="str">
        <f>IFERROR(__xludf.DUMMYFUNCTION("""COMPUTED_VALUE"""),"Rubber processing machine operators and related workers")</f>
        <v>Rubber processing machine operators and related workers</v>
      </c>
      <c r="S341" s="35">
        <f>IFERROR(__xludf.DUMMYFUNCTION("""COMPUTED_VALUE"""),4.0)</f>
        <v>4</v>
      </c>
      <c r="T341" s="35">
        <f>IFERROR(__xludf.DUMMYFUNCTION("""COMPUTED_VALUE"""),4.0)</f>
        <v>4</v>
      </c>
      <c r="U341" s="35">
        <f>IFERROR(__xludf.DUMMYFUNCTION("""COMPUTED_VALUE"""),4.0)</f>
        <v>4</v>
      </c>
      <c r="V341" s="35">
        <f>IFERROR(__xludf.DUMMYFUNCTION("""COMPUTED_VALUE"""),4.0)</f>
        <v>4</v>
      </c>
      <c r="W341" s="35">
        <f>IFERROR(__xludf.DUMMYFUNCTION("""COMPUTED_VALUE"""),4.0)</f>
        <v>4</v>
      </c>
      <c r="X341" s="35">
        <f>IFERROR(__xludf.DUMMYFUNCTION("""COMPUTED_VALUE"""),4.0)</f>
        <v>4</v>
      </c>
      <c r="Y341" s="35">
        <f>IFERROR(__xludf.DUMMYFUNCTION("""COMPUTED_VALUE"""),3.0)</f>
        <v>3</v>
      </c>
      <c r="Z341" s="35">
        <f>IFERROR(__xludf.DUMMYFUNCTION("""COMPUTED_VALUE"""),4.0)</f>
        <v>4</v>
      </c>
    </row>
    <row r="342" ht="15.75" customHeight="1">
      <c r="C342" s="34">
        <v>1423.0</v>
      </c>
      <c r="D342" s="70" t="s">
        <v>493</v>
      </c>
      <c r="E342" s="71" t="str">
        <f>vlookup(C342,'NOC-List'!B$2:C$502,2,False)</f>
        <v>Desktop publishing operators and related occupations</v>
      </c>
      <c r="F342" s="72">
        <v>3.0</v>
      </c>
      <c r="G342" s="72">
        <v>3.0</v>
      </c>
      <c r="H342" s="72">
        <v>4.0</v>
      </c>
      <c r="I342" s="72">
        <v>3.0</v>
      </c>
      <c r="J342" s="72">
        <v>3.0</v>
      </c>
      <c r="K342" s="72">
        <v>3.0</v>
      </c>
      <c r="L342" s="72">
        <v>3.0</v>
      </c>
      <c r="M342" s="72">
        <v>3.0</v>
      </c>
      <c r="N342" s="72">
        <v>3.0</v>
      </c>
      <c r="O342" s="73"/>
      <c r="P342" s="35">
        <f>IFERROR(__xludf.DUMMYFUNCTION("""COMPUTED_VALUE"""),3217.0)</f>
        <v>3217</v>
      </c>
      <c r="Q342" s="35" t="str">
        <f>IFERROR(__xludf.DUMMYFUNCTION("query(C342:N1335,""Select D,E,F,G,H,I,J,K,L,M WHERE ""&amp;P342&amp;"" =C Limit 1"")"),"Cardiology Technologists")</f>
        <v>Cardiology Technologists</v>
      </c>
      <c r="R342" s="35" t="str">
        <f>IFERROR(__xludf.DUMMYFUNCTION("""COMPUTED_VALUE"""),"Cardiology technologists and electrophysiological diagnostic technologists, n.e.c.")</f>
        <v>Cardiology technologists and electrophysiological diagnostic technologists, n.e.c.</v>
      </c>
      <c r="S342" s="35">
        <f>IFERROR(__xludf.DUMMYFUNCTION("""COMPUTED_VALUE"""),3.0)</f>
        <v>3</v>
      </c>
      <c r="T342" s="35">
        <f>IFERROR(__xludf.DUMMYFUNCTION("""COMPUTED_VALUE"""),3.0)</f>
        <v>3</v>
      </c>
      <c r="U342" s="35">
        <f>IFERROR(__xludf.DUMMYFUNCTION("""COMPUTED_VALUE"""),3.0)</f>
        <v>3</v>
      </c>
      <c r="V342" s="35">
        <f>IFERROR(__xludf.DUMMYFUNCTION("""COMPUTED_VALUE"""),3.0)</f>
        <v>3</v>
      </c>
      <c r="W342" s="35">
        <f>IFERROR(__xludf.DUMMYFUNCTION("""COMPUTED_VALUE"""),2.0)</f>
        <v>2</v>
      </c>
      <c r="X342" s="35">
        <f>IFERROR(__xludf.DUMMYFUNCTION("""COMPUTED_VALUE"""),4.0)</f>
        <v>4</v>
      </c>
      <c r="Y342" s="35">
        <f>IFERROR(__xludf.DUMMYFUNCTION("""COMPUTED_VALUE"""),4.0)</f>
        <v>4</v>
      </c>
      <c r="Z342" s="35">
        <f>IFERROR(__xludf.DUMMYFUNCTION("""COMPUTED_VALUE"""),3.0)</f>
        <v>3</v>
      </c>
    </row>
    <row r="343" ht="15.75" customHeight="1">
      <c r="C343" s="34">
        <v>7314.0</v>
      </c>
      <c r="D343" s="70" t="s">
        <v>494</v>
      </c>
      <c r="E343" s="71" t="str">
        <f>vlookup(C343,'NOC-List'!B$2:C$502,2,False)</f>
        <v>Railway carmen/women</v>
      </c>
      <c r="F343" s="72">
        <v>3.0</v>
      </c>
      <c r="G343" s="72">
        <v>4.0</v>
      </c>
      <c r="H343" s="72">
        <v>4.0</v>
      </c>
      <c r="I343" s="72">
        <v>3.0</v>
      </c>
      <c r="J343" s="72">
        <v>3.0</v>
      </c>
      <c r="K343" s="72">
        <v>4.0</v>
      </c>
      <c r="L343" s="72">
        <v>3.0</v>
      </c>
      <c r="M343" s="72">
        <v>3.0</v>
      </c>
      <c r="N343" s="72">
        <v>3.0</v>
      </c>
      <c r="O343" s="73"/>
      <c r="P343" s="35">
        <f>IFERROR(__xludf.DUMMYFUNCTION("""COMPUTED_VALUE"""),9231.0)</f>
        <v>9231</v>
      </c>
      <c r="Q343" s="35" t="str">
        <f>IFERROR(__xludf.DUMMYFUNCTION("query(C343:N1336,""Select D,E,F,G,H,I,J,K,L,M WHERE ""&amp;P343&amp;"" =C Limit 1"")"),"Central Control and Process Operators, Mineral and Metal Processing")</f>
        <v>Central Control and Process Operators, Mineral and Metal Processing</v>
      </c>
      <c r="R343" s="35" t="str">
        <f>IFERROR(__xludf.DUMMYFUNCTION("""COMPUTED_VALUE"""),"Central control and process operators, mineral and metal processing")</f>
        <v>Central control and process operators, mineral and metal processing</v>
      </c>
      <c r="S343" s="35">
        <f>IFERROR(__xludf.DUMMYFUNCTION("""COMPUTED_VALUE"""),3.0)</f>
        <v>3</v>
      </c>
      <c r="T343" s="35">
        <f>IFERROR(__xludf.DUMMYFUNCTION("""COMPUTED_VALUE"""),3.0)</f>
        <v>3</v>
      </c>
      <c r="U343" s="35">
        <f>IFERROR(__xludf.DUMMYFUNCTION("""COMPUTED_VALUE"""),3.0)</f>
        <v>3</v>
      </c>
      <c r="V343" s="35">
        <f>IFERROR(__xludf.DUMMYFUNCTION("""COMPUTED_VALUE"""),3.0)</f>
        <v>3</v>
      </c>
      <c r="W343" s="35">
        <f>IFERROR(__xludf.DUMMYFUNCTION("""COMPUTED_VALUE"""),3.0)</f>
        <v>3</v>
      </c>
      <c r="X343" s="35">
        <f>IFERROR(__xludf.DUMMYFUNCTION("""COMPUTED_VALUE"""),3.0)</f>
        <v>3</v>
      </c>
      <c r="Y343" s="35">
        <f>IFERROR(__xludf.DUMMYFUNCTION("""COMPUTED_VALUE"""),4.0)</f>
        <v>4</v>
      </c>
      <c r="Z343" s="35">
        <f>IFERROR(__xludf.DUMMYFUNCTION("""COMPUTED_VALUE"""),4.0)</f>
        <v>4</v>
      </c>
    </row>
    <row r="344" ht="15.75" customHeight="1">
      <c r="C344" s="34">
        <v>9521.0</v>
      </c>
      <c r="D344" s="70" t="s">
        <v>495</v>
      </c>
      <c r="E344" s="71" t="str">
        <f>vlookup(C344,'NOC-List'!B$2:C$502,2,False)</f>
        <v>Aircraft assemblers and aircraft assembly inspectors</v>
      </c>
      <c r="F344" s="72">
        <v>3.0</v>
      </c>
      <c r="G344" s="72">
        <v>3.0</v>
      </c>
      <c r="H344" s="72">
        <v>3.0</v>
      </c>
      <c r="I344" s="72">
        <v>3.0</v>
      </c>
      <c r="J344" s="72">
        <v>3.0</v>
      </c>
      <c r="K344" s="72">
        <v>3.0</v>
      </c>
      <c r="L344" s="72">
        <v>3.0</v>
      </c>
      <c r="M344" s="72">
        <v>3.0</v>
      </c>
      <c r="N344" s="72">
        <v>3.0</v>
      </c>
      <c r="O344" s="73"/>
      <c r="P344" s="35">
        <f>IFERROR(__xludf.DUMMYFUNCTION("""COMPUTED_VALUE"""),4021.0)</f>
        <v>4021</v>
      </c>
      <c r="Q344" s="35" t="str">
        <f>IFERROR(__xludf.DUMMYFUNCTION("query(C344:N1337,""Select D,E,F,G,H,I,J,K,L,M WHERE ""&amp;P344&amp;"" =C Limit 1"")"),"College and Other Vocational Instructors")</f>
        <v>College and Other Vocational Instructors</v>
      </c>
      <c r="R344" s="35" t="str">
        <f>IFERROR(__xludf.DUMMYFUNCTION("""COMPUTED_VALUE"""),"College and other vocational instructors")</f>
        <v>College and other vocational instructors</v>
      </c>
      <c r="S344" s="35">
        <f>IFERROR(__xludf.DUMMYFUNCTION("""COMPUTED_VALUE"""),2.0)</f>
        <v>2</v>
      </c>
      <c r="T344" s="35">
        <f>IFERROR(__xludf.DUMMYFUNCTION("""COMPUTED_VALUE"""),2.0)</f>
        <v>2</v>
      </c>
      <c r="U344" s="35">
        <f>IFERROR(__xludf.DUMMYFUNCTION("""COMPUTED_VALUE"""),3.0)</f>
        <v>3</v>
      </c>
      <c r="V344" s="35">
        <f>IFERROR(__xludf.DUMMYFUNCTION("""COMPUTED_VALUE"""),3.0)</f>
        <v>3</v>
      </c>
      <c r="W344" s="35">
        <f>IFERROR(__xludf.DUMMYFUNCTION("""COMPUTED_VALUE"""),3.0)</f>
        <v>3</v>
      </c>
      <c r="X344" s="35">
        <f>IFERROR(__xludf.DUMMYFUNCTION("""COMPUTED_VALUE"""),3.0)</f>
        <v>3</v>
      </c>
      <c r="Y344" s="35">
        <f>IFERROR(__xludf.DUMMYFUNCTION("""COMPUTED_VALUE"""),4.0)</f>
        <v>4</v>
      </c>
      <c r="Z344" s="35">
        <f>IFERROR(__xludf.DUMMYFUNCTION("""COMPUTED_VALUE"""),4.0)</f>
        <v>4</v>
      </c>
    </row>
    <row r="345" ht="15.75" customHeight="1">
      <c r="C345" s="34">
        <v>5136.0</v>
      </c>
      <c r="D345" s="70" t="s">
        <v>496</v>
      </c>
      <c r="E345" s="71" t="str">
        <f>vlookup(C345,'NOC-List'!B$2:C$502,2,False)</f>
        <v>Painters, sculptors and other visual artists</v>
      </c>
      <c r="F345" s="72">
        <v>2.0</v>
      </c>
      <c r="G345" s="72">
        <v>2.0</v>
      </c>
      <c r="H345" s="72">
        <v>4.0</v>
      </c>
      <c r="I345" s="72">
        <v>2.0</v>
      </c>
      <c r="J345" s="72">
        <v>2.0</v>
      </c>
      <c r="K345" s="72">
        <v>4.0</v>
      </c>
      <c r="L345" s="72">
        <v>2.0</v>
      </c>
      <c r="M345" s="72">
        <v>2.0</v>
      </c>
      <c r="N345" s="72">
        <v>3.0</v>
      </c>
      <c r="O345" s="73"/>
      <c r="P345" s="35">
        <f>IFERROR(__xludf.DUMMYFUNCTION("""COMPUTED_VALUE"""),433.0)</f>
        <v>433</v>
      </c>
      <c r="Q345" s="35" t="str">
        <f>IFERROR(__xludf.DUMMYFUNCTION("query(C345:N1338,""Select D,E,F,G,H,I,J,K,L,M WHERE ""&amp;P345&amp;"" =C Limit 1"")"),"Commissioned Officers, Armed Forces")</f>
        <v>Commissioned Officers, Armed Forces</v>
      </c>
      <c r="R345" s="35" t="str">
        <f>IFERROR(__xludf.DUMMYFUNCTION("""COMPUTED_VALUE"""),"Commissioned officers of the Canadian Forces")</f>
        <v>Commissioned officers of the Canadian Forces</v>
      </c>
      <c r="S345" s="35">
        <f>IFERROR(__xludf.DUMMYFUNCTION("""COMPUTED_VALUE"""),2.0)</f>
        <v>2</v>
      </c>
      <c r="T345" s="35">
        <f>IFERROR(__xludf.DUMMYFUNCTION("""COMPUTED_VALUE"""),3.0)</f>
        <v>3</v>
      </c>
      <c r="U345" s="35">
        <f>IFERROR(__xludf.DUMMYFUNCTION("""COMPUTED_VALUE"""),4.0)</f>
        <v>4</v>
      </c>
      <c r="V345" s="35">
        <f>IFERROR(__xludf.DUMMYFUNCTION("""COMPUTED_VALUE"""),3.0)</f>
        <v>3</v>
      </c>
      <c r="W345" s="35">
        <f>IFERROR(__xludf.DUMMYFUNCTION("""COMPUTED_VALUE"""),4.0)</f>
        <v>4</v>
      </c>
      <c r="X345" s="35">
        <f>IFERROR(__xludf.DUMMYFUNCTION("""COMPUTED_VALUE"""),4.0)</f>
        <v>4</v>
      </c>
      <c r="Y345" s="35">
        <f>IFERROR(__xludf.DUMMYFUNCTION("""COMPUTED_VALUE"""),4.0)</f>
        <v>4</v>
      </c>
      <c r="Z345" s="35">
        <f>IFERROR(__xludf.DUMMYFUNCTION("""COMPUTED_VALUE"""),4.0)</f>
        <v>4</v>
      </c>
    </row>
    <row r="346" ht="15.75" customHeight="1">
      <c r="C346" s="34">
        <v>7311.0</v>
      </c>
      <c r="D346" s="70" t="s">
        <v>497</v>
      </c>
      <c r="E346" s="71" t="str">
        <f>vlookup(C346,'NOC-List'!B$2:C$502,2,False)</f>
        <v>Construction millwrights and industrial mechanics</v>
      </c>
      <c r="F346" s="72">
        <v>3.0</v>
      </c>
      <c r="G346" s="72">
        <v>4.0</v>
      </c>
      <c r="H346" s="72">
        <v>3.0</v>
      </c>
      <c r="I346" s="72">
        <v>3.0</v>
      </c>
      <c r="J346" s="72">
        <v>2.0</v>
      </c>
      <c r="K346" s="72">
        <v>4.0</v>
      </c>
      <c r="L346" s="72">
        <v>3.0</v>
      </c>
      <c r="M346" s="72">
        <v>3.0</v>
      </c>
      <c r="N346" s="72">
        <v>3.0</v>
      </c>
      <c r="O346" s="73"/>
      <c r="P346" s="35">
        <f>IFERROR(__xludf.DUMMYFUNCTION("""COMPUTED_VALUE"""),1123.0)</f>
        <v>1123</v>
      </c>
      <c r="Q346" s="35" t="str">
        <f>IFERROR(__xludf.DUMMYFUNCTION("query(C346:N1339,""Select D,E,F,G,H,I,J,K,L,M WHERE ""&amp;P346&amp;"" =C Limit 1"")"),"Communication Assistants")</f>
        <v>Communication Assistants</v>
      </c>
      <c r="R346" s="35" t="str">
        <f>IFERROR(__xludf.DUMMYFUNCTION("""COMPUTED_VALUE"""),"Professional occupations in advertising, marketing and public relations")</f>
        <v>Professional occupations in advertising, marketing and public relations</v>
      </c>
      <c r="S346" s="35">
        <f>IFERROR(__xludf.DUMMYFUNCTION("""COMPUTED_VALUE"""),3.0)</f>
        <v>3</v>
      </c>
      <c r="T346" s="35">
        <f>IFERROR(__xludf.DUMMYFUNCTION("""COMPUTED_VALUE"""),3.0)</f>
        <v>3</v>
      </c>
      <c r="U346" s="35">
        <f>IFERROR(__xludf.DUMMYFUNCTION("""COMPUTED_VALUE"""),4.0)</f>
        <v>4</v>
      </c>
      <c r="V346" s="35">
        <f>IFERROR(__xludf.DUMMYFUNCTION("""COMPUTED_VALUE"""),4.0)</f>
        <v>4</v>
      </c>
      <c r="W346" s="35">
        <f>IFERROR(__xludf.DUMMYFUNCTION("""COMPUTED_VALUE"""),4.0)</f>
        <v>4</v>
      </c>
      <c r="X346" s="35">
        <f>IFERROR(__xludf.DUMMYFUNCTION("""COMPUTED_VALUE"""),4.0)</f>
        <v>4</v>
      </c>
      <c r="Y346" s="35">
        <f>IFERROR(__xludf.DUMMYFUNCTION("""COMPUTED_VALUE"""),4.0)</f>
        <v>4</v>
      </c>
      <c r="Z346" s="35">
        <f>IFERROR(__xludf.DUMMYFUNCTION("""COMPUTED_VALUE"""),3.0)</f>
        <v>3</v>
      </c>
    </row>
    <row r="347" ht="15.75" customHeight="1">
      <c r="C347" s="34">
        <v>7321.0</v>
      </c>
      <c r="D347" s="70" t="s">
        <v>498</v>
      </c>
      <c r="E347" s="71" t="str">
        <f>vlookup(C347,'NOC-List'!B$2:C$502,2,False)</f>
        <v>Automotive service technicians, truck and bus mechanics and mechanical repairers</v>
      </c>
      <c r="F347" s="72">
        <v>3.0</v>
      </c>
      <c r="G347" s="72">
        <v>3.0</v>
      </c>
      <c r="H347" s="72">
        <v>4.0</v>
      </c>
      <c r="I347" s="72">
        <v>3.0</v>
      </c>
      <c r="J347" s="72">
        <v>3.0</v>
      </c>
      <c r="K347" s="72">
        <v>4.0</v>
      </c>
      <c r="L347" s="72">
        <v>3.0</v>
      </c>
      <c r="M347" s="72">
        <v>3.0</v>
      </c>
      <c r="N347" s="72">
        <v>3.0</v>
      </c>
      <c r="O347" s="73"/>
      <c r="P347" s="35">
        <f>IFERROR(__xludf.DUMMYFUNCTION("""COMPUTED_VALUE"""),8241.0)</f>
        <v>8241</v>
      </c>
      <c r="Q347" s="35" t="str">
        <f>IFERROR(__xludf.DUMMYFUNCTION("query(C347:N1340,""Select D,E,F,G,H,I,J,K,L,M WHERE ""&amp;P347&amp;"" =C Limit 1"")"),"Cable Yarding System Operators")</f>
        <v>Cable Yarding System Operators</v>
      </c>
      <c r="R347" s="35" t="str">
        <f>IFERROR(__xludf.DUMMYFUNCTION("""COMPUTED_VALUE"""),"Logging machinery operators")</f>
        <v>Logging machinery operators</v>
      </c>
      <c r="S347" s="35">
        <f>IFERROR(__xludf.DUMMYFUNCTION("""COMPUTED_VALUE"""),3.0)</f>
        <v>3</v>
      </c>
      <c r="T347" s="35">
        <f>IFERROR(__xludf.DUMMYFUNCTION("""COMPUTED_VALUE"""),4.0)</f>
        <v>4</v>
      </c>
      <c r="U347" s="35">
        <f>IFERROR(__xludf.DUMMYFUNCTION("""COMPUTED_VALUE"""),5.0)</f>
        <v>5</v>
      </c>
      <c r="V347" s="35">
        <f>IFERROR(__xludf.DUMMYFUNCTION("""COMPUTED_VALUE"""),3.0)</f>
        <v>3</v>
      </c>
      <c r="W347" s="35">
        <f>IFERROR(__xludf.DUMMYFUNCTION("""COMPUTED_VALUE"""),4.0)</f>
        <v>4</v>
      </c>
      <c r="X347" s="35">
        <f>IFERROR(__xludf.DUMMYFUNCTION("""COMPUTED_VALUE"""),5.0)</f>
        <v>5</v>
      </c>
      <c r="Y347" s="35">
        <f>IFERROR(__xludf.DUMMYFUNCTION("""COMPUTED_VALUE"""),3.0)</f>
        <v>3</v>
      </c>
      <c r="Z347" s="35">
        <f>IFERROR(__xludf.DUMMYFUNCTION("""COMPUTED_VALUE"""),4.0)</f>
        <v>4</v>
      </c>
    </row>
    <row r="348" ht="15.75" customHeight="1">
      <c r="C348" s="34">
        <v>5224.0</v>
      </c>
      <c r="D348" s="70" t="s">
        <v>499</v>
      </c>
      <c r="E348" s="71" t="str">
        <f>vlookup(C348,'NOC-List'!B$2:C$502,2,False)</f>
        <v>Broadcast technicians</v>
      </c>
      <c r="F348" s="72">
        <v>3.0</v>
      </c>
      <c r="G348" s="72">
        <v>3.0</v>
      </c>
      <c r="H348" s="72">
        <v>4.0</v>
      </c>
      <c r="I348" s="72">
        <v>3.0</v>
      </c>
      <c r="J348" s="72">
        <v>3.0</v>
      </c>
      <c r="K348" s="72">
        <v>4.0</v>
      </c>
      <c r="L348" s="72">
        <v>3.0</v>
      </c>
      <c r="M348" s="72">
        <v>3.0</v>
      </c>
      <c r="N348" s="72">
        <v>3.0</v>
      </c>
      <c r="O348" s="73"/>
      <c r="P348" s="35">
        <f>IFERROR(__xludf.DUMMYFUNCTION("""COMPUTED_VALUE"""),2264.0)</f>
        <v>2264</v>
      </c>
      <c r="Q348" s="35" t="str">
        <f>IFERROR(__xludf.DUMMYFUNCTION("query(C348:N1341,""Select D,E,F,G,H,I,J,K,L,M WHERE ""&amp;P348&amp;"" =C Limit 1"")"),"Construction Inspectors")</f>
        <v>Construction Inspectors</v>
      </c>
      <c r="R348" s="35" t="str">
        <f>IFERROR(__xludf.DUMMYFUNCTION("""COMPUTED_VALUE"""),"Construction inspectors")</f>
        <v>Construction inspectors</v>
      </c>
      <c r="S348" s="35">
        <f>IFERROR(__xludf.DUMMYFUNCTION("""COMPUTED_VALUE"""),2.0)</f>
        <v>2</v>
      </c>
      <c r="T348" s="35">
        <f>IFERROR(__xludf.DUMMYFUNCTION("""COMPUTED_VALUE"""),3.0)</f>
        <v>3</v>
      </c>
      <c r="U348" s="35">
        <f>IFERROR(__xludf.DUMMYFUNCTION("""COMPUTED_VALUE"""),3.0)</f>
        <v>3</v>
      </c>
      <c r="V348" s="35">
        <f>IFERROR(__xludf.DUMMYFUNCTION("""COMPUTED_VALUE"""),2.0)</f>
        <v>2</v>
      </c>
      <c r="W348" s="35">
        <f>IFERROR(__xludf.DUMMYFUNCTION("""COMPUTED_VALUE"""),2.0)</f>
        <v>2</v>
      </c>
      <c r="X348" s="35">
        <f>IFERROR(__xludf.DUMMYFUNCTION("""COMPUTED_VALUE"""),4.0)</f>
        <v>4</v>
      </c>
      <c r="Y348" s="35">
        <f>IFERROR(__xludf.DUMMYFUNCTION("""COMPUTED_VALUE"""),4.0)</f>
        <v>4</v>
      </c>
      <c r="Z348" s="35">
        <f>IFERROR(__xludf.DUMMYFUNCTION("""COMPUTED_VALUE"""),4.0)</f>
        <v>4</v>
      </c>
    </row>
    <row r="349" ht="15.75" customHeight="1">
      <c r="C349" s="34">
        <v>8231.0</v>
      </c>
      <c r="D349" s="70" t="s">
        <v>500</v>
      </c>
      <c r="E349" s="71" t="str">
        <f>vlookup(C349,'NOC-List'!B$2:C$502,2,False)</f>
        <v>Underground production and development miners</v>
      </c>
      <c r="F349" s="72">
        <v>3.0</v>
      </c>
      <c r="G349" s="72">
        <v>4.0</v>
      </c>
      <c r="H349" s="72">
        <v>4.0</v>
      </c>
      <c r="I349" s="72">
        <v>3.0</v>
      </c>
      <c r="J349" s="72">
        <v>3.0</v>
      </c>
      <c r="K349" s="72">
        <v>4.0</v>
      </c>
      <c r="L349" s="72">
        <v>3.0</v>
      </c>
      <c r="M349" s="72">
        <v>3.0</v>
      </c>
      <c r="N349" s="72">
        <v>3.0</v>
      </c>
      <c r="O349" s="73"/>
      <c r="P349" s="35">
        <f>IFERROR(__xludf.DUMMYFUNCTION("""COMPUTED_VALUE"""),6322.0)</f>
        <v>6322</v>
      </c>
      <c r="Q349" s="35" t="str">
        <f>IFERROR(__xludf.DUMMYFUNCTION("query(C349:N1342,""Select D,E,F,G,H,I,J,K,L,M WHERE ""&amp;P349&amp;"" =C Limit 1"")"),"Cooks")</f>
        <v>Cooks</v>
      </c>
      <c r="R349" s="35" t="str">
        <f>IFERROR(__xludf.DUMMYFUNCTION("""COMPUTED_VALUE"""),"Cooks")</f>
        <v>Cooks</v>
      </c>
      <c r="S349" s="35">
        <f>IFERROR(__xludf.DUMMYFUNCTION("""COMPUTED_VALUE"""),3.0)</f>
        <v>3</v>
      </c>
      <c r="T349" s="35">
        <f>IFERROR(__xludf.DUMMYFUNCTION("""COMPUTED_VALUE"""),3.0)</f>
        <v>3</v>
      </c>
      <c r="U349" s="35">
        <f>IFERROR(__xludf.DUMMYFUNCTION("""COMPUTED_VALUE"""),3.0)</f>
        <v>3</v>
      </c>
      <c r="V349" s="35">
        <f>IFERROR(__xludf.DUMMYFUNCTION("""COMPUTED_VALUE"""),4.0)</f>
        <v>4</v>
      </c>
      <c r="W349" s="35">
        <f>IFERROR(__xludf.DUMMYFUNCTION("""COMPUTED_VALUE"""),3.0)</f>
        <v>3</v>
      </c>
      <c r="X349" s="35">
        <f>IFERROR(__xludf.DUMMYFUNCTION("""COMPUTED_VALUE"""),4.0)</f>
        <v>4</v>
      </c>
      <c r="Y349" s="35">
        <f>IFERROR(__xludf.DUMMYFUNCTION("""COMPUTED_VALUE"""),3.0)</f>
        <v>3</v>
      </c>
      <c r="Z349" s="35">
        <f>IFERROR(__xludf.DUMMYFUNCTION("""COMPUTED_VALUE"""),4.0)</f>
        <v>4</v>
      </c>
    </row>
    <row r="350" ht="15.75" customHeight="1">
      <c r="C350" s="34">
        <v>5227.0</v>
      </c>
      <c r="D350" s="70" t="s">
        <v>501</v>
      </c>
      <c r="E350" s="71" t="str">
        <f>vlookup(C350,'NOC-List'!B$2:C$502,2,False)</f>
        <v>Support occupations in motion pictures, broadcasting, photography and the performing arts</v>
      </c>
      <c r="F350" s="72">
        <v>3.0</v>
      </c>
      <c r="G350" s="72">
        <v>3.0</v>
      </c>
      <c r="H350" s="72">
        <v>4.0</v>
      </c>
      <c r="I350" s="72">
        <v>3.0</v>
      </c>
      <c r="J350" s="72">
        <v>3.0</v>
      </c>
      <c r="K350" s="72">
        <v>4.0</v>
      </c>
      <c r="L350" s="72">
        <v>3.0</v>
      </c>
      <c r="M350" s="72">
        <v>3.0</v>
      </c>
      <c r="N350" s="72">
        <v>3.0</v>
      </c>
      <c r="O350" s="73"/>
      <c r="P350" s="35">
        <f>IFERROR(__xludf.DUMMYFUNCTION("""COMPUTED_VALUE"""),6611.0)</f>
        <v>6611</v>
      </c>
      <c r="Q350" s="35" t="str">
        <f>IFERROR(__xludf.DUMMYFUNCTION("query(C350:N1343,""Select D,E,F,G,H,I,J,K,L,M WHERE ""&amp;P350&amp;"" =C Limit 1"")"),"Cashiers")</f>
        <v>Cashiers</v>
      </c>
      <c r="R350" s="35" t="str">
        <f>IFERROR(__xludf.DUMMYFUNCTION("""COMPUTED_VALUE"""),"Cashiers")</f>
        <v>Cashiers</v>
      </c>
      <c r="S350" s="35">
        <f>IFERROR(__xludf.DUMMYFUNCTION("""COMPUTED_VALUE"""),4.0)</f>
        <v>4</v>
      </c>
      <c r="T350" s="35">
        <f>IFERROR(__xludf.DUMMYFUNCTION("""COMPUTED_VALUE"""),4.0)</f>
        <v>4</v>
      </c>
      <c r="U350" s="35">
        <f>IFERROR(__xludf.DUMMYFUNCTION("""COMPUTED_VALUE"""),3.0)</f>
        <v>3</v>
      </c>
      <c r="V350" s="35">
        <f>IFERROR(__xludf.DUMMYFUNCTION("""COMPUTED_VALUE"""),4.0)</f>
        <v>4</v>
      </c>
      <c r="W350" s="35">
        <f>IFERROR(__xludf.DUMMYFUNCTION("""COMPUTED_VALUE"""),4.0)</f>
        <v>4</v>
      </c>
      <c r="X350" s="35">
        <f>IFERROR(__xludf.DUMMYFUNCTION("""COMPUTED_VALUE"""),3.0)</f>
        <v>3</v>
      </c>
      <c r="Y350" s="35">
        <f>IFERROR(__xludf.DUMMYFUNCTION("""COMPUTED_VALUE"""),3.0)</f>
        <v>3</v>
      </c>
      <c r="Z350" s="35">
        <f>IFERROR(__xludf.DUMMYFUNCTION("""COMPUTED_VALUE"""),3.0)</f>
        <v>3</v>
      </c>
    </row>
    <row r="351" ht="15.75" customHeight="1">
      <c r="C351" s="34">
        <v>2255.0</v>
      </c>
      <c r="D351" s="70" t="s">
        <v>502</v>
      </c>
      <c r="E351" s="71" t="str">
        <f>vlookup(C351,'NOC-List'!B$2:C$502,2,False)</f>
        <v>Technical occupations in geomatics and meteorology</v>
      </c>
      <c r="F351" s="72">
        <v>2.0</v>
      </c>
      <c r="G351" s="72">
        <v>3.0</v>
      </c>
      <c r="H351" s="72">
        <v>2.0</v>
      </c>
      <c r="I351" s="72">
        <v>2.0</v>
      </c>
      <c r="J351" s="72">
        <v>2.0</v>
      </c>
      <c r="K351" s="72">
        <v>3.0</v>
      </c>
      <c r="L351" s="72">
        <v>2.0</v>
      </c>
      <c r="M351" s="72">
        <v>2.0</v>
      </c>
      <c r="N351" s="72">
        <v>3.0</v>
      </c>
      <c r="O351" s="73"/>
      <c r="P351" s="35">
        <f>IFERROR(__xludf.DUMMYFUNCTION("""COMPUTED_VALUE"""),7282.0)</f>
        <v>7282</v>
      </c>
      <c r="Q351" s="35" t="str">
        <f>IFERROR(__xludf.DUMMYFUNCTION("query(C351:N1344,""Select D,E,F,G,H,I,J,K,L,M WHERE ""&amp;P351&amp;"" =C Limit 1"")"),"Concrete Finishers")</f>
        <v>Concrete Finishers</v>
      </c>
      <c r="R351" s="35" t="str">
        <f>IFERROR(__xludf.DUMMYFUNCTION("""COMPUTED_VALUE"""),"Concrete finishers")</f>
        <v>Concrete finishers</v>
      </c>
      <c r="S351" s="35">
        <f>IFERROR(__xludf.DUMMYFUNCTION("""COMPUTED_VALUE"""),3.0)</f>
        <v>3</v>
      </c>
      <c r="T351" s="35">
        <f>IFERROR(__xludf.DUMMYFUNCTION("""COMPUTED_VALUE"""),4.0)</f>
        <v>4</v>
      </c>
      <c r="U351" s="35">
        <f>IFERROR(__xludf.DUMMYFUNCTION("""COMPUTED_VALUE"""),4.0)</f>
        <v>4</v>
      </c>
      <c r="V351" s="35">
        <f>IFERROR(__xludf.DUMMYFUNCTION("""COMPUTED_VALUE"""),4.0)</f>
        <v>4</v>
      </c>
      <c r="W351" s="35">
        <f>IFERROR(__xludf.DUMMYFUNCTION("""COMPUTED_VALUE"""),4.0)</f>
        <v>4</v>
      </c>
      <c r="X351" s="35">
        <f>IFERROR(__xludf.DUMMYFUNCTION("""COMPUTED_VALUE"""),5.0)</f>
        <v>5</v>
      </c>
      <c r="Y351" s="35">
        <f>IFERROR(__xludf.DUMMYFUNCTION("""COMPUTED_VALUE"""),3.0)</f>
        <v>3</v>
      </c>
      <c r="Z351" s="35">
        <f>IFERROR(__xludf.DUMMYFUNCTION("""COMPUTED_VALUE"""),4.0)</f>
        <v>4</v>
      </c>
    </row>
    <row r="352" ht="15.75" customHeight="1">
      <c r="C352" s="34">
        <v>2211.0</v>
      </c>
      <c r="D352" s="70" t="s">
        <v>503</v>
      </c>
      <c r="E352" s="71" t="str">
        <f>vlookup(C352,'NOC-List'!B$2:C$502,2,False)</f>
        <v>Chemical technologists and technicians</v>
      </c>
      <c r="F352" s="72">
        <v>2.0</v>
      </c>
      <c r="G352" s="72">
        <v>3.0</v>
      </c>
      <c r="H352" s="72">
        <v>3.0</v>
      </c>
      <c r="I352" s="72">
        <v>3.0</v>
      </c>
      <c r="J352" s="72">
        <v>2.0</v>
      </c>
      <c r="K352" s="72">
        <v>3.0</v>
      </c>
      <c r="L352" s="72">
        <v>3.0</v>
      </c>
      <c r="M352" s="72">
        <v>3.0</v>
      </c>
      <c r="N352" s="72">
        <v>3.0</v>
      </c>
      <c r="O352" s="73"/>
      <c r="P352" s="35">
        <f>IFERROR(__xludf.DUMMYFUNCTION("""COMPUTED_VALUE"""),821.0)</f>
        <v>821</v>
      </c>
      <c r="Q352" s="35" t="str">
        <f>IFERROR(__xludf.DUMMYFUNCTION("query(C352:N1345,""Select D,E,F,G,H,I,J,K,L,M WHERE ""&amp;P352&amp;"" =C Limit 1"")"),"Farmers and Farm Managers")</f>
        <v>Farmers and Farm Managers</v>
      </c>
      <c r="R352" s="35" t="str">
        <f>IFERROR(__xludf.DUMMYFUNCTION("""COMPUTED_VALUE"""),"Managers in agriculture")</f>
        <v>Managers in agriculture</v>
      </c>
      <c r="S352" s="35">
        <f>IFERROR(__xludf.DUMMYFUNCTION("""COMPUTED_VALUE"""),3.0)</f>
        <v>3</v>
      </c>
      <c r="T352" s="35">
        <f>IFERROR(__xludf.DUMMYFUNCTION("""COMPUTED_VALUE"""),3.0)</f>
        <v>3</v>
      </c>
      <c r="U352" s="35">
        <f>IFERROR(__xludf.DUMMYFUNCTION("""COMPUTED_VALUE"""),3.0)</f>
        <v>3</v>
      </c>
      <c r="V352" s="35">
        <f>IFERROR(__xludf.DUMMYFUNCTION("""COMPUTED_VALUE"""),4.0)</f>
        <v>4</v>
      </c>
      <c r="W352" s="35">
        <f>IFERROR(__xludf.DUMMYFUNCTION("""COMPUTED_VALUE"""),3.0)</f>
        <v>3</v>
      </c>
      <c r="X352" s="35">
        <f>IFERROR(__xludf.DUMMYFUNCTION("""COMPUTED_VALUE"""),4.0)</f>
        <v>4</v>
      </c>
      <c r="Y352" s="35">
        <f>IFERROR(__xludf.DUMMYFUNCTION("""COMPUTED_VALUE"""),3.0)</f>
        <v>3</v>
      </c>
      <c r="Z352" s="35">
        <f>IFERROR(__xludf.DUMMYFUNCTION("""COMPUTED_VALUE"""),4.0)</f>
        <v>4</v>
      </c>
    </row>
    <row r="353" ht="15.75" customHeight="1">
      <c r="C353" s="34">
        <v>3121.0</v>
      </c>
      <c r="D353" s="70" t="s">
        <v>504</v>
      </c>
      <c r="E353" s="71" t="str">
        <f>vlookup(C353,'NOC-List'!B$2:C$502,2,False)</f>
        <v>Optometrists</v>
      </c>
      <c r="F353" s="72">
        <v>2.0</v>
      </c>
      <c r="G353" s="72">
        <v>2.0</v>
      </c>
      <c r="H353" s="72">
        <v>3.0</v>
      </c>
      <c r="I353" s="72">
        <v>2.0</v>
      </c>
      <c r="J353" s="72">
        <v>2.0</v>
      </c>
      <c r="K353" s="72">
        <v>4.0</v>
      </c>
      <c r="L353" s="72">
        <v>2.0</v>
      </c>
      <c r="M353" s="72">
        <v>2.0</v>
      </c>
      <c r="N353" s="72">
        <v>2.0</v>
      </c>
      <c r="O353" s="73"/>
      <c r="P353" s="35">
        <f>IFERROR(__xludf.DUMMYFUNCTION("""COMPUTED_VALUE"""),4422.0)</f>
        <v>4422</v>
      </c>
      <c r="Q353" s="35" t="str">
        <f>IFERROR(__xludf.DUMMYFUNCTION("query(C353:N1346,""Select D,E,F,G,H,I,J,K,L,M WHERE ""&amp;P353&amp;"" =C Limit 1"")"),"Correctional Service Officers")</f>
        <v>Correctional Service Officers</v>
      </c>
      <c r="R353" s="35" t="str">
        <f>IFERROR(__xludf.DUMMYFUNCTION("""COMPUTED_VALUE"""),"Correctional service officers")</f>
        <v>Correctional service officers</v>
      </c>
      <c r="S353" s="35">
        <f>IFERROR(__xludf.DUMMYFUNCTION("""COMPUTED_VALUE"""),3.0)</f>
        <v>3</v>
      </c>
      <c r="T353" s="35">
        <f>IFERROR(__xludf.DUMMYFUNCTION("""COMPUTED_VALUE"""),4.0)</f>
        <v>4</v>
      </c>
      <c r="U353" s="35">
        <f>IFERROR(__xludf.DUMMYFUNCTION("""COMPUTED_VALUE"""),4.0)</f>
        <v>4</v>
      </c>
      <c r="V353" s="35">
        <f>IFERROR(__xludf.DUMMYFUNCTION("""COMPUTED_VALUE"""),4.0)</f>
        <v>4</v>
      </c>
      <c r="W353" s="35">
        <f>IFERROR(__xludf.DUMMYFUNCTION("""COMPUTED_VALUE"""),3.0)</f>
        <v>3</v>
      </c>
      <c r="X353" s="35">
        <f>IFERROR(__xludf.DUMMYFUNCTION("""COMPUTED_VALUE"""),4.0)</f>
        <v>4</v>
      </c>
      <c r="Y353" s="35">
        <f>IFERROR(__xludf.DUMMYFUNCTION("""COMPUTED_VALUE"""),4.0)</f>
        <v>4</v>
      </c>
      <c r="Z353" s="35">
        <f>IFERROR(__xludf.DUMMYFUNCTION("""COMPUTED_VALUE"""),4.0)</f>
        <v>4</v>
      </c>
    </row>
    <row r="354" ht="15.75" customHeight="1">
      <c r="C354" s="34">
        <v>2231.0</v>
      </c>
      <c r="D354" s="70" t="s">
        <v>505</v>
      </c>
      <c r="E354" s="71" t="str">
        <f>vlookup(C354,'NOC-List'!B$2:C$502,2,False)</f>
        <v>Civil engineering technologists and technicians</v>
      </c>
      <c r="F354" s="72">
        <v>2.0</v>
      </c>
      <c r="G354" s="72">
        <v>2.0</v>
      </c>
      <c r="H354" s="72">
        <v>2.0</v>
      </c>
      <c r="I354" s="72">
        <v>2.0</v>
      </c>
      <c r="J354" s="72">
        <v>3.0</v>
      </c>
      <c r="K354" s="72">
        <v>3.0</v>
      </c>
      <c r="L354" s="72">
        <v>3.0</v>
      </c>
      <c r="M354" s="72">
        <v>3.0</v>
      </c>
      <c r="N354" s="72">
        <v>3.0</v>
      </c>
      <c r="O354" s="73"/>
      <c r="P354" s="35">
        <f>IFERROR(__xludf.DUMMYFUNCTION("""COMPUTED_VALUE"""),7532.0)</f>
        <v>7532</v>
      </c>
      <c r="Q354" s="35" t="str">
        <f>IFERROR(__xludf.DUMMYFUNCTION("query(C354:N1347,""Select D,E,F,G,H,I,J,K,L,M WHERE ""&amp;P354&amp;"" =C Limit 1"")"),"Deck Crew, Water Transport")</f>
        <v>Deck Crew, Water Transport</v>
      </c>
      <c r="R354" s="35" t="str">
        <f>IFERROR(__xludf.DUMMYFUNCTION("""COMPUTED_VALUE"""),"Water transport deck and engine room crew")</f>
        <v>Water transport deck and engine room crew</v>
      </c>
      <c r="S354" s="35">
        <f>IFERROR(__xludf.DUMMYFUNCTION("""COMPUTED_VALUE"""),4.0)</f>
        <v>4</v>
      </c>
      <c r="T354" s="35">
        <f>IFERROR(__xludf.DUMMYFUNCTION("""COMPUTED_VALUE"""),4.0)</f>
        <v>4</v>
      </c>
      <c r="U354" s="35">
        <f>IFERROR(__xludf.DUMMYFUNCTION("""COMPUTED_VALUE"""),4.0)</f>
        <v>4</v>
      </c>
      <c r="V354" s="35">
        <f>IFERROR(__xludf.DUMMYFUNCTION("""COMPUTED_VALUE"""),4.0)</f>
        <v>4</v>
      </c>
      <c r="W354" s="35">
        <f>IFERROR(__xludf.DUMMYFUNCTION("""COMPUTED_VALUE"""),4.0)</f>
        <v>4</v>
      </c>
      <c r="X354" s="35">
        <f>IFERROR(__xludf.DUMMYFUNCTION("""COMPUTED_VALUE"""),4.0)</f>
        <v>4</v>
      </c>
      <c r="Y354" s="35">
        <f>IFERROR(__xludf.DUMMYFUNCTION("""COMPUTED_VALUE"""),3.0)</f>
        <v>3</v>
      </c>
      <c r="Z354" s="35">
        <f>IFERROR(__xludf.DUMMYFUNCTION("""COMPUTED_VALUE"""),4.0)</f>
        <v>4</v>
      </c>
    </row>
    <row r="355" ht="15.75" customHeight="1">
      <c r="C355" s="81">
        <v>9524.0</v>
      </c>
      <c r="D355" s="70" t="s">
        <v>506</v>
      </c>
      <c r="E355" s="71" t="str">
        <f>vlookup(C355,'NOC-List'!B$2:C$502,2,False)</f>
        <v>Assemblers and inspectors, electrical appliance, apparatus and equipment manufacturing</v>
      </c>
      <c r="F355" s="72">
        <v>3.0</v>
      </c>
      <c r="G355" s="72">
        <v>4.0</v>
      </c>
      <c r="H355" s="72">
        <v>3.0</v>
      </c>
      <c r="I355" s="72">
        <v>3.0</v>
      </c>
      <c r="J355" s="72">
        <v>3.0</v>
      </c>
      <c r="K355" s="72">
        <v>4.0</v>
      </c>
      <c r="L355" s="72">
        <v>3.0</v>
      </c>
      <c r="M355" s="72">
        <v>3.0</v>
      </c>
      <c r="N355" s="72">
        <v>3.0</v>
      </c>
      <c r="O355" s="73"/>
      <c r="P355" s="35">
        <f>IFERROR(__xludf.DUMMYFUNCTION("""COMPUTED_VALUE"""),2122.0)</f>
        <v>2122</v>
      </c>
      <c r="Q355" s="35" t="str">
        <f>IFERROR(__xludf.DUMMYFUNCTION("query(C355:N1348,""Select D,E,F,G,H,I,J,K,L,M WHERE ""&amp;P355&amp;"" =C Limit 1"")"),"Forestry Professionals")</f>
        <v>Forestry Professionals</v>
      </c>
      <c r="R355" s="35" t="str">
        <f>IFERROR(__xludf.DUMMYFUNCTION("""COMPUTED_VALUE"""),"Forestry professionals")</f>
        <v>Forestry professionals</v>
      </c>
      <c r="S355" s="35">
        <f>IFERROR(__xludf.DUMMYFUNCTION("""COMPUTED_VALUE"""),1.0)</f>
        <v>1</v>
      </c>
      <c r="T355" s="35">
        <f>IFERROR(__xludf.DUMMYFUNCTION("""COMPUTED_VALUE"""),1.0)</f>
        <v>1</v>
      </c>
      <c r="U355" s="35">
        <f>IFERROR(__xludf.DUMMYFUNCTION("""COMPUTED_VALUE"""),3.0)</f>
        <v>3</v>
      </c>
      <c r="V355" s="35">
        <f>IFERROR(__xludf.DUMMYFUNCTION("""COMPUTED_VALUE"""),3.0)</f>
        <v>3</v>
      </c>
      <c r="W355" s="35">
        <f>IFERROR(__xludf.DUMMYFUNCTION("""COMPUTED_VALUE"""),3.0)</f>
        <v>3</v>
      </c>
      <c r="X355" s="35">
        <f>IFERROR(__xludf.DUMMYFUNCTION("""COMPUTED_VALUE"""),3.0)</f>
        <v>3</v>
      </c>
      <c r="Y355" s="35">
        <f>IFERROR(__xludf.DUMMYFUNCTION("""COMPUTED_VALUE"""),4.0)</f>
        <v>4</v>
      </c>
      <c r="Z355" s="35">
        <f>IFERROR(__xludf.DUMMYFUNCTION("""COMPUTED_VALUE"""),3.0)</f>
        <v>3</v>
      </c>
    </row>
    <row r="356" ht="15.75" customHeight="1">
      <c r="C356" s="34">
        <v>5252.0</v>
      </c>
      <c r="D356" s="70" t="s">
        <v>507</v>
      </c>
      <c r="E356" s="71" t="str">
        <f>vlookup(C356,'NOC-List'!B$2:C$502,2,False)</f>
        <v>Coaches</v>
      </c>
      <c r="F356" s="72">
        <v>3.0</v>
      </c>
      <c r="G356" s="72">
        <v>3.0</v>
      </c>
      <c r="H356" s="72">
        <v>4.0</v>
      </c>
      <c r="I356" s="72">
        <v>3.0</v>
      </c>
      <c r="J356" s="72">
        <v>3.0</v>
      </c>
      <c r="K356" s="72">
        <v>4.0</v>
      </c>
      <c r="L356" s="72">
        <v>3.0</v>
      </c>
      <c r="M356" s="72">
        <v>3.0</v>
      </c>
      <c r="N356" s="72">
        <v>3.0</v>
      </c>
      <c r="O356" s="73"/>
      <c r="P356" s="35">
        <f>IFERROR(__xludf.DUMMYFUNCTION("""COMPUTED_VALUE"""),8441.0)</f>
        <v>8441</v>
      </c>
      <c r="Q356" s="35" t="str">
        <f>IFERROR(__xludf.DUMMYFUNCTION("query(C356:N1349,""Select D,E,F,G,H,I,J,K,L,M WHERE ""&amp;P356&amp;"" =C Limit 1"")"),"Fishing Vessel Deckhands")</f>
        <v>Fishing Vessel Deckhands</v>
      </c>
      <c r="R356" s="35" t="str">
        <f>IFERROR(__xludf.DUMMYFUNCTION("""COMPUTED_VALUE"""),"Fishing vessel deckhands")</f>
        <v>Fishing vessel deckhands</v>
      </c>
      <c r="S356" s="35">
        <f>IFERROR(__xludf.DUMMYFUNCTION("""COMPUTED_VALUE"""),4.0)</f>
        <v>4</v>
      </c>
      <c r="T356" s="35">
        <f>IFERROR(__xludf.DUMMYFUNCTION("""COMPUTED_VALUE"""),4.0)</f>
        <v>4</v>
      </c>
      <c r="U356" s="35">
        <f>IFERROR(__xludf.DUMMYFUNCTION("""COMPUTED_VALUE"""),4.0)</f>
        <v>4</v>
      </c>
      <c r="V356" s="35">
        <f>IFERROR(__xludf.DUMMYFUNCTION("""COMPUTED_VALUE"""),4.0)</f>
        <v>4</v>
      </c>
      <c r="W356" s="35">
        <f>IFERROR(__xludf.DUMMYFUNCTION("""COMPUTED_VALUE"""),3.0)</f>
        <v>3</v>
      </c>
      <c r="X356" s="35">
        <f>IFERROR(__xludf.DUMMYFUNCTION("""COMPUTED_VALUE"""),5.0)</f>
        <v>5</v>
      </c>
      <c r="Y356" s="35">
        <f>IFERROR(__xludf.DUMMYFUNCTION("""COMPUTED_VALUE"""),3.0)</f>
        <v>3</v>
      </c>
      <c r="Z356" s="35">
        <f>IFERROR(__xludf.DUMMYFUNCTION("""COMPUTED_VALUE"""),4.0)</f>
        <v>4</v>
      </c>
    </row>
    <row r="357" ht="15.75" customHeight="1">
      <c r="C357" s="34">
        <v>3012.0</v>
      </c>
      <c r="D357" s="70" t="s">
        <v>508</v>
      </c>
      <c r="E357" s="71" t="str">
        <f>vlookup(C357,'NOC-List'!B$2:C$502,2,False)</f>
        <v>Registered nurses and registered psychiatric nurses</v>
      </c>
      <c r="F357" s="72">
        <v>2.0</v>
      </c>
      <c r="G357" s="72">
        <v>2.0</v>
      </c>
      <c r="H357" s="72">
        <v>3.0</v>
      </c>
      <c r="I357" s="72">
        <v>3.0</v>
      </c>
      <c r="J357" s="72">
        <v>3.0</v>
      </c>
      <c r="K357" s="72">
        <v>3.0</v>
      </c>
      <c r="L357" s="72">
        <v>3.0</v>
      </c>
      <c r="M357" s="72">
        <v>3.0</v>
      </c>
      <c r="N357" s="72">
        <v>3.0</v>
      </c>
      <c r="O357" s="73"/>
      <c r="P357" s="35">
        <f>IFERROR(__xludf.DUMMYFUNCTION("""COMPUTED_VALUE"""),8262.0)</f>
        <v>8262</v>
      </c>
      <c r="Q357" s="35" t="str">
        <f>IFERROR(__xludf.DUMMYFUNCTION("query(C357:N1350,""Select D,E,F,G,H,I,J,K,L,M WHERE ""&amp;P357&amp;"" =C Limit 1"")"),"Fishing Vessel Skippers and Fishermen/women")</f>
        <v>Fishing Vessel Skippers and Fishermen/women</v>
      </c>
      <c r="R357" s="35" t="str">
        <f>IFERROR(__xludf.DUMMYFUNCTION("""COMPUTED_VALUE"""),"Fishermen/women")</f>
        <v>Fishermen/women</v>
      </c>
      <c r="S357" s="35">
        <f>IFERROR(__xludf.DUMMYFUNCTION("""COMPUTED_VALUE"""),4.0)</f>
        <v>4</v>
      </c>
      <c r="T357" s="35">
        <f>IFERROR(__xludf.DUMMYFUNCTION("""COMPUTED_VALUE"""),4.0)</f>
        <v>4</v>
      </c>
      <c r="U357" s="35">
        <f>IFERROR(__xludf.DUMMYFUNCTION("""COMPUTED_VALUE"""),4.0)</f>
        <v>4</v>
      </c>
      <c r="V357" s="35">
        <f>IFERROR(__xludf.DUMMYFUNCTION("""COMPUTED_VALUE"""),4.0)</f>
        <v>4</v>
      </c>
      <c r="W357" s="35">
        <f>IFERROR(__xludf.DUMMYFUNCTION("""COMPUTED_VALUE"""),4.0)</f>
        <v>4</v>
      </c>
      <c r="X357" s="35">
        <f>IFERROR(__xludf.DUMMYFUNCTION("""COMPUTED_VALUE"""),4.0)</f>
        <v>4</v>
      </c>
      <c r="Y357" s="35">
        <f>IFERROR(__xludf.DUMMYFUNCTION("""COMPUTED_VALUE"""),3.0)</f>
        <v>3</v>
      </c>
      <c r="Z357" s="35">
        <f>IFERROR(__xludf.DUMMYFUNCTION("""COMPUTED_VALUE"""),4.0)</f>
        <v>4</v>
      </c>
    </row>
    <row r="358" ht="15.75" customHeight="1">
      <c r="C358" s="34">
        <v>2281.0</v>
      </c>
      <c r="D358" s="70" t="s">
        <v>509</v>
      </c>
      <c r="E358" s="71" t="str">
        <f>vlookup(C358,'NOC-List'!B$2:C$502,2,False)</f>
        <v>Computer network technicians</v>
      </c>
      <c r="F358" s="72">
        <v>2.0</v>
      </c>
      <c r="G358" s="72">
        <v>3.0</v>
      </c>
      <c r="H358" s="72">
        <v>2.0</v>
      </c>
      <c r="I358" s="72">
        <v>3.0</v>
      </c>
      <c r="J358" s="72">
        <v>3.0</v>
      </c>
      <c r="K358" s="72">
        <v>3.0</v>
      </c>
      <c r="L358" s="72">
        <v>3.0</v>
      </c>
      <c r="M358" s="72">
        <v>3.0</v>
      </c>
      <c r="N358" s="72">
        <v>3.0</v>
      </c>
      <c r="O358" s="73"/>
      <c r="P358" s="35">
        <f>IFERROR(__xludf.DUMMYFUNCTION("""COMPUTED_VALUE"""),9534.0)</f>
        <v>9534</v>
      </c>
      <c r="Q358" s="35" t="str">
        <f>IFERROR(__xludf.DUMMYFUNCTION("query(C358:N1351,""Select D,E,F,G,H,I,J,K,L,M WHERE ""&amp;P358&amp;"" =C Limit 1"")"),"Furniture Finishers")</f>
        <v>Furniture Finishers</v>
      </c>
      <c r="R358" s="35" t="str">
        <f>IFERROR(__xludf.DUMMYFUNCTION("""COMPUTED_VALUE"""),"Furniture finishers and refinishers")</f>
        <v>Furniture finishers and refinishers</v>
      </c>
      <c r="S358" s="35">
        <f>IFERROR(__xludf.DUMMYFUNCTION("""COMPUTED_VALUE"""),4.0)</f>
        <v>4</v>
      </c>
      <c r="T358" s="35">
        <f>IFERROR(__xludf.DUMMYFUNCTION("""COMPUTED_VALUE"""),4.0)</f>
        <v>4</v>
      </c>
      <c r="U358" s="35">
        <f>IFERROR(__xludf.DUMMYFUNCTION("""COMPUTED_VALUE"""),4.0)</f>
        <v>4</v>
      </c>
      <c r="V358" s="35">
        <f>IFERROR(__xludf.DUMMYFUNCTION("""COMPUTED_VALUE"""),4.0)</f>
        <v>4</v>
      </c>
      <c r="W358" s="35">
        <f>IFERROR(__xludf.DUMMYFUNCTION("""COMPUTED_VALUE"""),4.0)</f>
        <v>4</v>
      </c>
      <c r="X358" s="35">
        <f>IFERROR(__xludf.DUMMYFUNCTION("""COMPUTED_VALUE"""),4.0)</f>
        <v>4</v>
      </c>
      <c r="Y358" s="35">
        <f>IFERROR(__xludf.DUMMYFUNCTION("""COMPUTED_VALUE"""),3.0)</f>
        <v>3</v>
      </c>
      <c r="Z358" s="35">
        <f>IFERROR(__xludf.DUMMYFUNCTION("""COMPUTED_VALUE"""),4.0)</f>
        <v>4</v>
      </c>
    </row>
    <row r="359" ht="15.75" customHeight="1">
      <c r="C359" s="81">
        <v>6331.0</v>
      </c>
      <c r="D359" s="70" t="s">
        <v>510</v>
      </c>
      <c r="E359" s="71" t="str">
        <f>vlookup(C359,'NOC-List'!B$2:C$502,2,False)</f>
        <v>Butchers, meat cutters and fishmongers - retail and wholesale</v>
      </c>
      <c r="F359" s="72">
        <v>3.0</v>
      </c>
      <c r="G359" s="72">
        <v>4.0</v>
      </c>
      <c r="H359" s="72">
        <v>4.0</v>
      </c>
      <c r="I359" s="72">
        <v>3.0</v>
      </c>
      <c r="J359" s="72">
        <v>3.0</v>
      </c>
      <c r="K359" s="72">
        <v>5.0</v>
      </c>
      <c r="L359" s="72">
        <v>3.0</v>
      </c>
      <c r="M359" s="72">
        <v>3.0</v>
      </c>
      <c r="N359" s="72">
        <v>3.0</v>
      </c>
      <c r="O359" s="73"/>
      <c r="P359" s="35">
        <f>IFERROR(__xludf.DUMMYFUNCTION("""COMPUTED_VALUE"""),1252.0)</f>
        <v>1252</v>
      </c>
      <c r="Q359" s="35" t="str">
        <f>IFERROR(__xludf.DUMMYFUNCTION("query(C359:N1352,""Select D,E,F,G,H,I,J,K,L,M WHERE ""&amp;P359&amp;"" =C Limit 1"")"),"Health Records Technicians")</f>
        <v>Health Records Technicians</v>
      </c>
      <c r="R359" s="35" t="str">
        <f>IFERROR(__xludf.DUMMYFUNCTION("""COMPUTED_VALUE"""),"Health information management occupations")</f>
        <v>Health information management occupations</v>
      </c>
      <c r="S359" s="35">
        <f>IFERROR(__xludf.DUMMYFUNCTION("""COMPUTED_VALUE"""),3.0)</f>
        <v>3</v>
      </c>
      <c r="T359" s="35">
        <f>IFERROR(__xludf.DUMMYFUNCTION("""COMPUTED_VALUE"""),3.0)</f>
        <v>3</v>
      </c>
      <c r="U359" s="35">
        <f>IFERROR(__xludf.DUMMYFUNCTION("""COMPUTED_VALUE"""),3.0)</f>
        <v>3</v>
      </c>
      <c r="V359" s="35">
        <f>IFERROR(__xludf.DUMMYFUNCTION("""COMPUTED_VALUE"""),4.0)</f>
        <v>4</v>
      </c>
      <c r="W359" s="35">
        <f>IFERROR(__xludf.DUMMYFUNCTION("""COMPUTED_VALUE"""),4.0)</f>
        <v>4</v>
      </c>
      <c r="X359" s="35">
        <f>IFERROR(__xludf.DUMMYFUNCTION("""COMPUTED_VALUE"""),3.0)</f>
        <v>3</v>
      </c>
      <c r="Y359" s="35">
        <f>IFERROR(__xludf.DUMMYFUNCTION("""COMPUTED_VALUE"""),3.0)</f>
        <v>3</v>
      </c>
      <c r="Z359" s="35">
        <f>IFERROR(__xludf.DUMMYFUNCTION("""COMPUTED_VALUE"""),3.0)</f>
        <v>3</v>
      </c>
    </row>
    <row r="360" ht="15.75" customHeight="1">
      <c r="C360" s="81">
        <v>9414.0</v>
      </c>
      <c r="D360" s="70" t="s">
        <v>511</v>
      </c>
      <c r="E360" s="71" t="str">
        <f>vlookup(C360,'NOC-List'!B$2:C$502,2,False)</f>
        <v>Concrete, clay and stone forming operators</v>
      </c>
      <c r="F360" s="72">
        <v>3.0</v>
      </c>
      <c r="G360" s="72">
        <v>4.0</v>
      </c>
      <c r="H360" s="72">
        <v>4.0</v>
      </c>
      <c r="I360" s="72">
        <v>3.0</v>
      </c>
      <c r="J360" s="72">
        <v>3.0</v>
      </c>
      <c r="K360" s="72">
        <v>4.0</v>
      </c>
      <c r="L360" s="72">
        <v>3.0</v>
      </c>
      <c r="M360" s="72">
        <v>4.0</v>
      </c>
      <c r="N360" s="72">
        <v>3.0</v>
      </c>
      <c r="O360" s="73"/>
      <c r="P360" s="35">
        <f>IFERROR(__xludf.DUMMYFUNCTION("""COMPUTED_VALUE"""),8431.0)</f>
        <v>8431</v>
      </c>
      <c r="Q360" s="35" t="str">
        <f>IFERROR(__xludf.DUMMYFUNCTION("query(C360:N1353,""Select D,E,F,G,H,I,J,K,L,M WHERE ""&amp;P360&amp;"" =C Limit 1"")"),"General Farm Workers")</f>
        <v>General Farm Workers</v>
      </c>
      <c r="R360" s="35" t="str">
        <f>IFERROR(__xludf.DUMMYFUNCTION("""COMPUTED_VALUE"""),"General farm workers")</f>
        <v>General farm workers</v>
      </c>
      <c r="S360" s="35">
        <f>IFERROR(__xludf.DUMMYFUNCTION("""COMPUTED_VALUE"""),4.0)</f>
        <v>4</v>
      </c>
      <c r="T360" s="35">
        <f>IFERROR(__xludf.DUMMYFUNCTION("""COMPUTED_VALUE"""),4.0)</f>
        <v>4</v>
      </c>
      <c r="U360" s="35">
        <f>IFERROR(__xludf.DUMMYFUNCTION("""COMPUTED_VALUE"""),4.0)</f>
        <v>4</v>
      </c>
      <c r="V360" s="35">
        <f>IFERROR(__xludf.DUMMYFUNCTION("""COMPUTED_VALUE"""),4.0)</f>
        <v>4</v>
      </c>
      <c r="W360" s="35">
        <f>IFERROR(__xludf.DUMMYFUNCTION("""COMPUTED_VALUE"""),4.0)</f>
        <v>4</v>
      </c>
      <c r="X360" s="35">
        <f>IFERROR(__xludf.DUMMYFUNCTION("""COMPUTED_VALUE"""),4.0)</f>
        <v>4</v>
      </c>
      <c r="Y360" s="35">
        <f>IFERROR(__xludf.DUMMYFUNCTION("""COMPUTED_VALUE"""),3.0)</f>
        <v>3</v>
      </c>
      <c r="Z360" s="35">
        <f>IFERROR(__xludf.DUMMYFUNCTION("""COMPUTED_VALUE"""),4.0)</f>
        <v>4</v>
      </c>
    </row>
    <row r="361" ht="15.75" customHeight="1">
      <c r="C361" s="81">
        <v>3223.0</v>
      </c>
      <c r="D361" s="70" t="s">
        <v>512</v>
      </c>
      <c r="E361" s="71" t="str">
        <f>vlookup(C361,'NOC-List'!B$2:C$502,2,False)</f>
        <v>Dental technologists, technicians and laboratory assistants</v>
      </c>
      <c r="F361" s="72">
        <v>3.0</v>
      </c>
      <c r="G361" s="72">
        <v>3.0</v>
      </c>
      <c r="H361" s="72">
        <v>3.0</v>
      </c>
      <c r="I361" s="72">
        <v>2.0</v>
      </c>
      <c r="J361" s="72">
        <v>2.0</v>
      </c>
      <c r="K361" s="72">
        <v>3.0</v>
      </c>
      <c r="L361" s="72">
        <v>3.0</v>
      </c>
      <c r="M361" s="72">
        <v>2.0</v>
      </c>
      <c r="N361" s="72">
        <v>2.0</v>
      </c>
      <c r="O361" s="73"/>
      <c r="P361" s="35">
        <f>IFERROR(__xludf.DUMMYFUNCTION("""COMPUTED_VALUE"""),2263.0)</f>
        <v>2263</v>
      </c>
      <c r="Q361" s="35" t="str">
        <f>IFERROR(__xludf.DUMMYFUNCTION("query(C361:N1354,""Select D,E,F,G,H,I,J,K,L,M WHERE ""&amp;P361&amp;"" =C Limit 1"")"),"Inspectors in Public and Environmental Health and Occupational Health and Safety")</f>
        <v>Inspectors in Public and Environmental Health and Occupational Health and Safety</v>
      </c>
      <c r="R361" s="35" t="str">
        <f>IFERROR(__xludf.DUMMYFUNCTION("""COMPUTED_VALUE"""),"Inspectors in public and environmental health and occupational health and safety")</f>
        <v>Inspectors in public and environmental health and occupational health and safety</v>
      </c>
      <c r="S361" s="35">
        <f>IFERROR(__xludf.DUMMYFUNCTION("""COMPUTED_VALUE"""),3.0)</f>
        <v>3</v>
      </c>
      <c r="T361" s="35">
        <f>IFERROR(__xludf.DUMMYFUNCTION("""COMPUTED_VALUE"""),3.0)</f>
        <v>3</v>
      </c>
      <c r="U361" s="35">
        <f>IFERROR(__xludf.DUMMYFUNCTION("""COMPUTED_VALUE"""),3.0)</f>
        <v>3</v>
      </c>
      <c r="V361" s="35">
        <f>IFERROR(__xludf.DUMMYFUNCTION("""COMPUTED_VALUE"""),3.0)</f>
        <v>3</v>
      </c>
      <c r="W361" s="35">
        <f>IFERROR(__xludf.DUMMYFUNCTION("""COMPUTED_VALUE"""),3.0)</f>
        <v>3</v>
      </c>
      <c r="X361" s="35">
        <f>IFERROR(__xludf.DUMMYFUNCTION("""COMPUTED_VALUE"""),3.0)</f>
        <v>3</v>
      </c>
      <c r="Y361" s="35">
        <f>IFERROR(__xludf.DUMMYFUNCTION("""COMPUTED_VALUE"""),4.0)</f>
        <v>4</v>
      </c>
      <c r="Z361" s="35">
        <f>IFERROR(__xludf.DUMMYFUNCTION("""COMPUTED_VALUE"""),4.0)</f>
        <v>4</v>
      </c>
    </row>
    <row r="362" ht="15.75" customHeight="1">
      <c r="C362" s="34">
        <v>2253.0</v>
      </c>
      <c r="D362" s="70" t="s">
        <v>513</v>
      </c>
      <c r="E362" s="71" t="str">
        <f>vlookup(C362,'NOC-List'!B$2:C$502,2,False)</f>
        <v>Drafting technologists and technicians</v>
      </c>
      <c r="F362" s="72">
        <v>3.0</v>
      </c>
      <c r="G362" s="72">
        <v>3.0</v>
      </c>
      <c r="H362" s="72">
        <v>3.0</v>
      </c>
      <c r="I362" s="72">
        <v>2.0</v>
      </c>
      <c r="J362" s="72">
        <v>2.0</v>
      </c>
      <c r="K362" s="72">
        <v>3.0</v>
      </c>
      <c r="L362" s="72">
        <v>2.0</v>
      </c>
      <c r="M362" s="72">
        <v>2.0</v>
      </c>
      <c r="N362" s="72">
        <v>3.0</v>
      </c>
      <c r="O362" s="73"/>
      <c r="P362" s="35">
        <f>IFERROR(__xludf.DUMMYFUNCTION("""COMPUTED_VALUE"""),7293.0)</f>
        <v>7293</v>
      </c>
      <c r="Q362" s="35" t="str">
        <f>IFERROR(__xludf.DUMMYFUNCTION("query(C362:N1355,""Select D,E,F,G,H,I,J,K,L,M WHERE ""&amp;P362&amp;"" =C Limit 1"")"),"Insulators")</f>
        <v>Insulators</v>
      </c>
      <c r="R362" s="35" t="str">
        <f>IFERROR(__xludf.DUMMYFUNCTION("""COMPUTED_VALUE"""),"Insulators")</f>
        <v>Insulators</v>
      </c>
      <c r="S362" s="35">
        <f>IFERROR(__xludf.DUMMYFUNCTION("""COMPUTED_VALUE"""),3.0)</f>
        <v>3</v>
      </c>
      <c r="T362" s="35">
        <f>IFERROR(__xludf.DUMMYFUNCTION("""COMPUTED_VALUE"""),3.0)</f>
        <v>3</v>
      </c>
      <c r="U362" s="35">
        <f>IFERROR(__xludf.DUMMYFUNCTION("""COMPUTED_VALUE"""),4.0)</f>
        <v>4</v>
      </c>
      <c r="V362" s="35">
        <f>IFERROR(__xludf.DUMMYFUNCTION("""COMPUTED_VALUE"""),3.0)</f>
        <v>3</v>
      </c>
      <c r="W362" s="35">
        <f>IFERROR(__xludf.DUMMYFUNCTION("""COMPUTED_VALUE"""),4.0)</f>
        <v>4</v>
      </c>
      <c r="X362" s="35">
        <f>IFERROR(__xludf.DUMMYFUNCTION("""COMPUTED_VALUE"""),5.0)</f>
        <v>5</v>
      </c>
      <c r="Y362" s="35">
        <f>IFERROR(__xludf.DUMMYFUNCTION("""COMPUTED_VALUE"""),3.0)</f>
        <v>3</v>
      </c>
      <c r="Z362" s="35">
        <f>IFERROR(__xludf.DUMMYFUNCTION("""COMPUTED_VALUE"""),4.0)</f>
        <v>4</v>
      </c>
    </row>
    <row r="363" ht="15.75" customHeight="1">
      <c r="C363" s="34">
        <v>9414.0</v>
      </c>
      <c r="D363" s="70" t="s">
        <v>514</v>
      </c>
      <c r="E363" s="71" t="str">
        <f>vlookup(C363,'NOC-List'!B$2:C$502,2,False)</f>
        <v>Concrete, clay and stone forming operators</v>
      </c>
      <c r="F363" s="72">
        <v>3.0</v>
      </c>
      <c r="G363" s="72">
        <v>4.0</v>
      </c>
      <c r="H363" s="72">
        <v>4.0</v>
      </c>
      <c r="I363" s="72">
        <v>3.0</v>
      </c>
      <c r="J363" s="72">
        <v>3.0</v>
      </c>
      <c r="K363" s="72">
        <v>4.0</v>
      </c>
      <c r="L363" s="72">
        <v>3.0</v>
      </c>
      <c r="M363" s="72">
        <v>4.0</v>
      </c>
      <c r="N363" s="72">
        <v>3.0</v>
      </c>
      <c r="O363" s="73"/>
      <c r="P363" s="35">
        <f>IFERROR(__xludf.DUMMYFUNCTION("""COMPUTED_VALUE"""),3144.0)</f>
        <v>3144</v>
      </c>
      <c r="Q363" s="35" t="str">
        <f>IFERROR(__xludf.DUMMYFUNCTION("query(C363:N1356,""Select D,E,F,G,H,I,J,K,L,M WHERE ""&amp;P363&amp;"" =C Limit 1"")"),"Kinesiologists")</f>
        <v>Kinesiologists</v>
      </c>
      <c r="R363" s="35" t="str">
        <f>IFERROR(__xludf.DUMMYFUNCTION("""COMPUTED_VALUE"""),"Other professional occupations in therapy and assessment")</f>
        <v>Other professional occupations in therapy and assessment</v>
      </c>
      <c r="S363" s="35">
        <f>IFERROR(__xludf.DUMMYFUNCTION("""COMPUTED_VALUE"""),2.0)</f>
        <v>2</v>
      </c>
      <c r="T363" s="35">
        <f>IFERROR(__xludf.DUMMYFUNCTION("""COMPUTED_VALUE"""),2.0)</f>
        <v>2</v>
      </c>
      <c r="U363" s="35">
        <f>IFERROR(__xludf.DUMMYFUNCTION("""COMPUTED_VALUE"""),3.0)</f>
        <v>3</v>
      </c>
      <c r="V363" s="35">
        <f>IFERROR(__xludf.DUMMYFUNCTION("""COMPUTED_VALUE"""),3.0)</f>
        <v>3</v>
      </c>
      <c r="W363" s="35">
        <f>IFERROR(__xludf.DUMMYFUNCTION("""COMPUTED_VALUE"""),3.0)</f>
        <v>3</v>
      </c>
      <c r="X363" s="35">
        <f>IFERROR(__xludf.DUMMYFUNCTION("""COMPUTED_VALUE"""),4.0)</f>
        <v>4</v>
      </c>
      <c r="Y363" s="35">
        <f>IFERROR(__xludf.DUMMYFUNCTION("""COMPUTED_VALUE"""),3.0)</f>
        <v>3</v>
      </c>
      <c r="Z363" s="35">
        <f>IFERROR(__xludf.DUMMYFUNCTION("""COMPUTED_VALUE"""),4.0)</f>
        <v>4</v>
      </c>
    </row>
    <row r="364" ht="15.75" customHeight="1">
      <c r="C364" s="34">
        <v>9414.0</v>
      </c>
      <c r="D364" s="70" t="s">
        <v>515</v>
      </c>
      <c r="E364" s="71" t="str">
        <f>vlookup(C364,'NOC-List'!B$2:C$502,2,False)</f>
        <v>Concrete, clay and stone forming operators</v>
      </c>
      <c r="F364" s="72">
        <v>3.0</v>
      </c>
      <c r="G364" s="72">
        <v>4.0</v>
      </c>
      <c r="H364" s="72">
        <v>4.0</v>
      </c>
      <c r="I364" s="72">
        <v>3.0</v>
      </c>
      <c r="J364" s="72">
        <v>3.0</v>
      </c>
      <c r="K364" s="72">
        <v>4.0</v>
      </c>
      <c r="L364" s="72">
        <v>3.0</v>
      </c>
      <c r="M364" s="72">
        <v>4.0</v>
      </c>
      <c r="N364" s="72">
        <v>3.0</v>
      </c>
      <c r="O364" s="73"/>
      <c r="P364" s="35">
        <f>IFERROR(__xludf.DUMMYFUNCTION("""COMPUTED_VALUE"""),6622.0)</f>
        <v>6622</v>
      </c>
      <c r="Q364" s="35" t="str">
        <f>IFERROR(__xludf.DUMMYFUNCTION("query(C364:N1357,""Select D,E,F,G,H,I,J,K,L,M WHERE ""&amp;P364&amp;"" =C Limit 1"")"),"Grocery Clerks and Store Shelf Stockers")</f>
        <v>Grocery Clerks and Store Shelf Stockers</v>
      </c>
      <c r="R364" s="35" t="str">
        <f>IFERROR(__xludf.DUMMYFUNCTION("""COMPUTED_VALUE"""),"Store shelf stockers, clerks and order fillers")</f>
        <v>Store shelf stockers, clerks and order fillers</v>
      </c>
      <c r="S364" s="35">
        <f>IFERROR(__xludf.DUMMYFUNCTION("""COMPUTED_VALUE"""),4.0)</f>
        <v>4</v>
      </c>
      <c r="T364" s="35">
        <f>IFERROR(__xludf.DUMMYFUNCTION("""COMPUTED_VALUE"""),4.0)</f>
        <v>4</v>
      </c>
      <c r="U364" s="35">
        <f>IFERROR(__xludf.DUMMYFUNCTION("""COMPUTED_VALUE"""),4.0)</f>
        <v>4</v>
      </c>
      <c r="V364" s="35">
        <f>IFERROR(__xludf.DUMMYFUNCTION("""COMPUTED_VALUE"""),4.0)</f>
        <v>4</v>
      </c>
      <c r="W364" s="35">
        <f>IFERROR(__xludf.DUMMYFUNCTION("""COMPUTED_VALUE"""),4.0)</f>
        <v>4</v>
      </c>
      <c r="X364" s="35">
        <f>IFERROR(__xludf.DUMMYFUNCTION("""COMPUTED_VALUE"""),4.0)</f>
        <v>4</v>
      </c>
      <c r="Y364" s="35">
        <f>IFERROR(__xludf.DUMMYFUNCTION("""COMPUTED_VALUE"""),3.0)</f>
        <v>3</v>
      </c>
      <c r="Z364" s="35">
        <f>IFERROR(__xludf.DUMMYFUNCTION("""COMPUTED_VALUE"""),4.0)</f>
        <v>4</v>
      </c>
    </row>
    <row r="365" ht="15.75" customHeight="1">
      <c r="C365" s="34">
        <v>2274.0</v>
      </c>
      <c r="D365" s="70" t="s">
        <v>516</v>
      </c>
      <c r="E365" s="71" t="str">
        <f>vlookup(C365,'NOC-List'!B$2:C$502,2,False)</f>
        <v>Engineer officers, water transport</v>
      </c>
      <c r="F365" s="72">
        <v>2.0</v>
      </c>
      <c r="G365" s="72">
        <v>3.0</v>
      </c>
      <c r="H365" s="72">
        <v>3.0</v>
      </c>
      <c r="I365" s="72">
        <v>2.0</v>
      </c>
      <c r="J365" s="72">
        <v>3.0</v>
      </c>
      <c r="K365" s="72">
        <v>4.0</v>
      </c>
      <c r="L365" s="72">
        <v>3.0</v>
      </c>
      <c r="M365" s="72">
        <v>4.0</v>
      </c>
      <c r="N365" s="72">
        <v>3.0</v>
      </c>
      <c r="O365" s="73"/>
      <c r="P365" s="35">
        <f>IFERROR(__xludf.DUMMYFUNCTION("""COMPUTED_VALUE"""),2275.0)</f>
        <v>2275</v>
      </c>
      <c r="Q365" s="35" t="str">
        <f>IFERROR(__xludf.DUMMYFUNCTION("query(C365:N1358,""Select D,E,F,G,H,I,J,K,L,M WHERE ""&amp;P365&amp;"" =C Limit 1"")"),"Marine Traffic Regulators")</f>
        <v>Marine Traffic Regulators</v>
      </c>
      <c r="R365" s="35" t="str">
        <f>IFERROR(__xludf.DUMMYFUNCTION("""COMPUTED_VALUE"""),"Railway traffic controllers and marine traffic regulators")</f>
        <v>Railway traffic controllers and marine traffic regulators</v>
      </c>
      <c r="S365" s="35">
        <f>IFERROR(__xludf.DUMMYFUNCTION("""COMPUTED_VALUE"""),3.0)</f>
        <v>3</v>
      </c>
      <c r="T365" s="35">
        <f>IFERROR(__xludf.DUMMYFUNCTION("""COMPUTED_VALUE"""),3.0)</f>
        <v>3</v>
      </c>
      <c r="U365" s="35">
        <f>IFERROR(__xludf.DUMMYFUNCTION("""COMPUTED_VALUE"""),3.0)</f>
        <v>3</v>
      </c>
      <c r="V365" s="35">
        <f>IFERROR(__xludf.DUMMYFUNCTION("""COMPUTED_VALUE"""),3.0)</f>
        <v>3</v>
      </c>
      <c r="W365" s="35">
        <f>IFERROR(__xludf.DUMMYFUNCTION("""COMPUTED_VALUE"""),3.0)</f>
        <v>3</v>
      </c>
      <c r="X365" s="35">
        <f>IFERROR(__xludf.DUMMYFUNCTION("""COMPUTED_VALUE"""),3.0)</f>
        <v>3</v>
      </c>
      <c r="Y365" s="35">
        <f>IFERROR(__xludf.DUMMYFUNCTION("""COMPUTED_VALUE"""),4.0)</f>
        <v>4</v>
      </c>
      <c r="Z365" s="35">
        <f>IFERROR(__xludf.DUMMYFUNCTION("""COMPUTED_VALUE"""),4.0)</f>
        <v>4</v>
      </c>
    </row>
    <row r="366" ht="15.75" customHeight="1">
      <c r="C366" s="34">
        <v>9525.0</v>
      </c>
      <c r="D366" s="70" t="s">
        <v>517</v>
      </c>
      <c r="E366" s="71" t="str">
        <f>vlookup(C366,'NOC-List'!B$2:C$502,2,False)</f>
        <v>Assemblers, fabricators and inspectors, industrial electrical motors and transformers</v>
      </c>
      <c r="F366" s="72">
        <v>3.0</v>
      </c>
      <c r="G366" s="72">
        <v>4.0</v>
      </c>
      <c r="H366" s="72">
        <v>3.0</v>
      </c>
      <c r="I366" s="72">
        <v>3.0</v>
      </c>
      <c r="J366" s="72">
        <v>3.0</v>
      </c>
      <c r="K366" s="72">
        <v>4.0</v>
      </c>
      <c r="L366" s="72">
        <v>3.0</v>
      </c>
      <c r="M366" s="72">
        <v>3.0</v>
      </c>
      <c r="N366" s="72">
        <v>3.0</v>
      </c>
      <c r="O366" s="73"/>
      <c r="P366" s="35">
        <f>IFERROR(__xludf.DUMMYFUNCTION("""COMPUTED_VALUE"""),7452.0)</f>
        <v>7452</v>
      </c>
      <c r="Q366" s="35" t="str">
        <f>IFERROR(__xludf.DUMMYFUNCTION("query(C366:N1359,""Select D,E,F,G,H,I,J,K,L,M WHERE ""&amp;P366&amp;"" =C Limit 1"")"),"Material Handlers (Equipment Operators)")</f>
        <v>Material Handlers (Equipment Operators)</v>
      </c>
      <c r="R366" s="35" t="str">
        <f>IFERROR(__xludf.DUMMYFUNCTION("""COMPUTED_VALUE"""),"Material handlers")</f>
        <v>Material handlers</v>
      </c>
      <c r="S366" s="35">
        <f>IFERROR(__xludf.DUMMYFUNCTION("""COMPUTED_VALUE"""),4.0)</f>
        <v>4</v>
      </c>
      <c r="T366" s="35">
        <f>IFERROR(__xludf.DUMMYFUNCTION("""COMPUTED_VALUE"""),4.0)</f>
        <v>4</v>
      </c>
      <c r="U366" s="35">
        <f>IFERROR(__xludf.DUMMYFUNCTION("""COMPUTED_VALUE"""),4.0)</f>
        <v>4</v>
      </c>
      <c r="V366" s="35">
        <f>IFERROR(__xludf.DUMMYFUNCTION("""COMPUTED_VALUE"""),4.0)</f>
        <v>4</v>
      </c>
      <c r="W366" s="35">
        <f>IFERROR(__xludf.DUMMYFUNCTION("""COMPUTED_VALUE"""),4.0)</f>
        <v>4</v>
      </c>
      <c r="X366" s="35">
        <f>IFERROR(__xludf.DUMMYFUNCTION("""COMPUTED_VALUE"""),4.0)</f>
        <v>4</v>
      </c>
      <c r="Y366" s="35">
        <f>IFERROR(__xludf.DUMMYFUNCTION("""COMPUTED_VALUE"""),3.0)</f>
        <v>3</v>
      </c>
      <c r="Z366" s="35">
        <f>IFERROR(__xludf.DUMMYFUNCTION("""COMPUTED_VALUE"""),4.0)</f>
        <v>4</v>
      </c>
    </row>
    <row r="367" ht="15.75" customHeight="1">
      <c r="C367" s="81">
        <v>5243.0</v>
      </c>
      <c r="D367" s="70" t="s">
        <v>518</v>
      </c>
      <c r="E367" s="71" t="str">
        <f>vlookup(C367,'NOC-List'!B$2:C$502,2,False)</f>
        <v>Theatre, fashion, exhibit and other creative designers</v>
      </c>
      <c r="F367" s="72">
        <v>2.0</v>
      </c>
      <c r="G367" s="72">
        <v>3.0</v>
      </c>
      <c r="H367" s="72">
        <v>3.0</v>
      </c>
      <c r="I367" s="72">
        <v>2.0</v>
      </c>
      <c r="J367" s="72">
        <v>2.0</v>
      </c>
      <c r="K367" s="72">
        <v>4.0</v>
      </c>
      <c r="L367" s="72">
        <v>2.0</v>
      </c>
      <c r="M367" s="72">
        <v>2.0</v>
      </c>
      <c r="N367" s="72">
        <v>3.0</v>
      </c>
      <c r="O367" s="73"/>
      <c r="P367" s="35">
        <f>IFERROR(__xludf.DUMMYFUNCTION("""COMPUTED_VALUE"""),9522.0)</f>
        <v>9522</v>
      </c>
      <c r="Q367" s="35" t="str">
        <f>IFERROR(__xludf.DUMMYFUNCTION("query(C367:N1360,""Select D,E,F,G,H,I,J,K,L,M WHERE ""&amp;P367&amp;"" =C Limit 1"")"),"Motor Vehicle Inspectors and Testers")</f>
        <v>Motor Vehicle Inspectors and Testers</v>
      </c>
      <c r="R367" s="35" t="str">
        <f>IFERROR(__xludf.DUMMYFUNCTION("""COMPUTED_VALUE"""),"Motor vehicle assemblers, inspectors and testers")</f>
        <v>Motor vehicle assemblers, inspectors and testers</v>
      </c>
      <c r="S367" s="35">
        <f>IFERROR(__xludf.DUMMYFUNCTION("""COMPUTED_VALUE"""),3.0)</f>
        <v>3</v>
      </c>
      <c r="T367" s="35">
        <f>IFERROR(__xludf.DUMMYFUNCTION("""COMPUTED_VALUE"""),3.0)</f>
        <v>3</v>
      </c>
      <c r="U367" s="35">
        <f>IFERROR(__xludf.DUMMYFUNCTION("""COMPUTED_VALUE"""),4.0)</f>
        <v>4</v>
      </c>
      <c r="V367" s="35">
        <f>IFERROR(__xludf.DUMMYFUNCTION("""COMPUTED_VALUE"""),3.0)</f>
        <v>3</v>
      </c>
      <c r="W367" s="35">
        <f>IFERROR(__xludf.DUMMYFUNCTION("""COMPUTED_VALUE"""),3.0)</f>
        <v>3</v>
      </c>
      <c r="X367" s="35">
        <f>IFERROR(__xludf.DUMMYFUNCTION("""COMPUTED_VALUE"""),4.0)</f>
        <v>4</v>
      </c>
      <c r="Y367" s="35">
        <f>IFERROR(__xludf.DUMMYFUNCTION("""COMPUTED_VALUE"""),4.0)</f>
        <v>4</v>
      </c>
      <c r="Z367" s="35">
        <f>IFERROR(__xludf.DUMMYFUNCTION("""COMPUTED_VALUE"""),4.0)</f>
        <v>4</v>
      </c>
    </row>
    <row r="368" ht="15.75" customHeight="1">
      <c r="C368" s="34">
        <v>5222.0</v>
      </c>
      <c r="D368" s="70" t="s">
        <v>519</v>
      </c>
      <c r="E368" s="71" t="str">
        <f>vlookup(C368,'NOC-List'!B$2:C$502,2,False)</f>
        <v>Film and video camera operators</v>
      </c>
      <c r="F368" s="72">
        <v>3.0</v>
      </c>
      <c r="G368" s="72">
        <v>3.0</v>
      </c>
      <c r="H368" s="72">
        <v>4.0</v>
      </c>
      <c r="I368" s="72">
        <v>2.0</v>
      </c>
      <c r="J368" s="72">
        <v>2.0</v>
      </c>
      <c r="K368" s="72">
        <v>4.0</v>
      </c>
      <c r="L368" s="72">
        <v>3.0</v>
      </c>
      <c r="M368" s="72">
        <v>3.0</v>
      </c>
      <c r="N368" s="72">
        <v>3.0</v>
      </c>
      <c r="O368" s="73"/>
      <c r="P368" s="35">
        <f>IFERROR(__xludf.DUMMYFUNCTION("""COMPUTED_VALUE"""),3413.0)</f>
        <v>3413</v>
      </c>
      <c r="Q368" s="35" t="str">
        <f>IFERROR(__xludf.DUMMYFUNCTION("query(C368:N1361,""Select D,E,F,G,H,I,J,K,L,M WHERE ""&amp;P368&amp;"" =C Limit 1"")"),"Nurse Aides, Orderlies and Patient Service Associates")</f>
        <v>Nurse Aides, Orderlies and Patient Service Associates</v>
      </c>
      <c r="R368" s="35" t="str">
        <f>IFERROR(__xludf.DUMMYFUNCTION("""COMPUTED_VALUE"""),"Nurse aides, orderlies and patient service associates")</f>
        <v>Nurse aides, orderlies and patient service associates</v>
      </c>
      <c r="S368" s="35">
        <f>IFERROR(__xludf.DUMMYFUNCTION("""COMPUTED_VALUE"""),3.0)</f>
        <v>3</v>
      </c>
      <c r="T368" s="35">
        <f>IFERROR(__xludf.DUMMYFUNCTION("""COMPUTED_VALUE"""),4.0)</f>
        <v>4</v>
      </c>
      <c r="U368" s="35">
        <f>IFERROR(__xludf.DUMMYFUNCTION("""COMPUTED_VALUE"""),4.0)</f>
        <v>4</v>
      </c>
      <c r="V368" s="35">
        <f>IFERROR(__xludf.DUMMYFUNCTION("""COMPUTED_VALUE"""),4.0)</f>
        <v>4</v>
      </c>
      <c r="W368" s="35">
        <f>IFERROR(__xludf.DUMMYFUNCTION("""COMPUTED_VALUE"""),4.0)</f>
        <v>4</v>
      </c>
      <c r="X368" s="35">
        <f>IFERROR(__xludf.DUMMYFUNCTION("""COMPUTED_VALUE"""),4.0)</f>
        <v>4</v>
      </c>
      <c r="Y368" s="35">
        <f>IFERROR(__xludf.DUMMYFUNCTION("""COMPUTED_VALUE"""),4.0)</f>
        <v>4</v>
      </c>
      <c r="Z368" s="35">
        <f>IFERROR(__xludf.DUMMYFUNCTION("""COMPUTED_VALUE"""),4.0)</f>
        <v>4</v>
      </c>
    </row>
    <row r="369" ht="15.75" customHeight="1">
      <c r="C369" s="34">
        <v>7253.0</v>
      </c>
      <c r="D369" s="70" t="s">
        <v>520</v>
      </c>
      <c r="E369" s="71" t="str">
        <f>vlookup(C369,'NOC-List'!B$2:C$502,2,False)</f>
        <v>Gas fitters</v>
      </c>
      <c r="F369" s="72">
        <v>3.0</v>
      </c>
      <c r="G369" s="72">
        <v>3.0</v>
      </c>
      <c r="H369" s="72">
        <v>3.0</v>
      </c>
      <c r="I369" s="72">
        <v>3.0</v>
      </c>
      <c r="J369" s="72">
        <v>3.0</v>
      </c>
      <c r="K369" s="72">
        <v>3.0</v>
      </c>
      <c r="L369" s="72">
        <v>3.0</v>
      </c>
      <c r="M369" s="72">
        <v>3.0</v>
      </c>
      <c r="N369" s="72">
        <v>3.0</v>
      </c>
      <c r="O369" s="73"/>
      <c r="P369" s="35">
        <f>IFERROR(__xludf.DUMMYFUNCTION("""COMPUTED_VALUE"""),9235.0)</f>
        <v>9235</v>
      </c>
      <c r="Q369" s="35" t="str">
        <f>IFERROR(__xludf.DUMMYFUNCTION("query(C369:N1362,""Select D,E,F,G,H,I,J,K,L,M WHERE ""&amp;P369&amp;"" =C Limit 1"")"),"Papermaking and Coating Control Operators")</f>
        <v>Papermaking and Coating Control Operators</v>
      </c>
      <c r="R369" s="35" t="str">
        <f>IFERROR(__xludf.DUMMYFUNCTION("""COMPUTED_VALUE"""),"Pulping, papermaking and coating control operators")</f>
        <v>Pulping, papermaking and coating control operators</v>
      </c>
      <c r="S369" s="35">
        <f>IFERROR(__xludf.DUMMYFUNCTION("""COMPUTED_VALUE"""),3.0)</f>
        <v>3</v>
      </c>
      <c r="T369" s="35">
        <f>IFERROR(__xludf.DUMMYFUNCTION("""COMPUTED_VALUE"""),3.0)</f>
        <v>3</v>
      </c>
      <c r="U369" s="35">
        <f>IFERROR(__xludf.DUMMYFUNCTION("""COMPUTED_VALUE"""),4.0)</f>
        <v>4</v>
      </c>
      <c r="V369" s="35">
        <f>IFERROR(__xludf.DUMMYFUNCTION("""COMPUTED_VALUE"""),3.0)</f>
        <v>3</v>
      </c>
      <c r="W369" s="35">
        <f>IFERROR(__xludf.DUMMYFUNCTION("""COMPUTED_VALUE"""),3.0)</f>
        <v>3</v>
      </c>
      <c r="X369" s="35">
        <f>IFERROR(__xludf.DUMMYFUNCTION("""COMPUTED_VALUE"""),4.0)</f>
        <v>4</v>
      </c>
      <c r="Y369" s="35">
        <f>IFERROR(__xludf.DUMMYFUNCTION("""COMPUTED_VALUE"""),4.0)</f>
        <v>4</v>
      </c>
      <c r="Z369" s="35">
        <f>IFERROR(__xludf.DUMMYFUNCTION("""COMPUTED_VALUE"""),4.0)</f>
        <v>4</v>
      </c>
    </row>
    <row r="370" ht="15.75" customHeight="1">
      <c r="C370" s="34">
        <v>3012.0</v>
      </c>
      <c r="D370" s="70" t="s">
        <v>521</v>
      </c>
      <c r="E370" s="71" t="str">
        <f>vlookup(C370,'NOC-List'!B$2:C$502,2,False)</f>
        <v>Registered nurses and registered psychiatric nurses</v>
      </c>
      <c r="F370" s="72">
        <v>2.0</v>
      </c>
      <c r="G370" s="72">
        <v>2.0</v>
      </c>
      <c r="H370" s="72">
        <v>3.0</v>
      </c>
      <c r="I370" s="72">
        <v>3.0</v>
      </c>
      <c r="J370" s="72">
        <v>3.0</v>
      </c>
      <c r="K370" s="72">
        <v>3.0</v>
      </c>
      <c r="L370" s="72">
        <v>3.0</v>
      </c>
      <c r="M370" s="72">
        <v>3.0</v>
      </c>
      <c r="N370" s="72">
        <v>3.0</v>
      </c>
      <c r="O370" s="73"/>
      <c r="P370" s="35">
        <f>IFERROR(__xludf.DUMMYFUNCTION("""COMPUTED_VALUE"""),7612.0)</f>
        <v>7612</v>
      </c>
      <c r="Q370" s="35" t="str">
        <f>IFERROR(__xludf.DUMMYFUNCTION("query(C370:N1363,""Select D,E,F,G,H,I,J,K,L,M WHERE ""&amp;P370&amp;"" =C Limit 1"")"),"Other Trades Helpers and Labourers")</f>
        <v>Other Trades Helpers and Labourers</v>
      </c>
      <c r="R370" s="35" t="str">
        <f>IFERROR(__xludf.DUMMYFUNCTION("""COMPUTED_VALUE"""),"Other trades helpers and labourers")</f>
        <v>Other trades helpers and labourers</v>
      </c>
      <c r="S370" s="35">
        <f>IFERROR(__xludf.DUMMYFUNCTION("""COMPUTED_VALUE"""),4.0)</f>
        <v>4</v>
      </c>
      <c r="T370" s="35">
        <f>IFERROR(__xludf.DUMMYFUNCTION("""COMPUTED_VALUE"""),4.0)</f>
        <v>4</v>
      </c>
      <c r="U370" s="35">
        <f>IFERROR(__xludf.DUMMYFUNCTION("""COMPUTED_VALUE"""),4.0)</f>
        <v>4</v>
      </c>
      <c r="V370" s="35">
        <f>IFERROR(__xludf.DUMMYFUNCTION("""COMPUTED_VALUE"""),4.0)</f>
        <v>4</v>
      </c>
      <c r="W370" s="35">
        <f>IFERROR(__xludf.DUMMYFUNCTION("""COMPUTED_VALUE"""),4.0)</f>
        <v>4</v>
      </c>
      <c r="X370" s="35">
        <f>IFERROR(__xludf.DUMMYFUNCTION("""COMPUTED_VALUE"""),4.0)</f>
        <v>4</v>
      </c>
      <c r="Y370" s="35">
        <f>IFERROR(__xludf.DUMMYFUNCTION("""COMPUTED_VALUE"""),3.0)</f>
        <v>3</v>
      </c>
      <c r="Z370" s="35">
        <f>IFERROR(__xludf.DUMMYFUNCTION("""COMPUTED_VALUE"""),4.0)</f>
        <v>4</v>
      </c>
    </row>
    <row r="371" ht="15.75" customHeight="1">
      <c r="C371" s="34">
        <v>2255.0</v>
      </c>
      <c r="D371" s="70" t="s">
        <v>522</v>
      </c>
      <c r="E371" s="71" t="str">
        <f>vlookup(C371,'NOC-List'!B$2:C$502,2,False)</f>
        <v>Technical occupations in geomatics and meteorology</v>
      </c>
      <c r="F371" s="72">
        <v>2.0</v>
      </c>
      <c r="G371" s="72">
        <v>3.0</v>
      </c>
      <c r="H371" s="72">
        <v>2.0</v>
      </c>
      <c r="I371" s="72">
        <v>2.0</v>
      </c>
      <c r="J371" s="72">
        <v>2.0</v>
      </c>
      <c r="K371" s="72">
        <v>3.0</v>
      </c>
      <c r="L371" s="72">
        <v>3.0</v>
      </c>
      <c r="M371" s="72">
        <v>3.0</v>
      </c>
      <c r="N371" s="72">
        <v>3.0</v>
      </c>
      <c r="O371" s="73"/>
      <c r="P371" s="35">
        <f>IFERROR(__xludf.DUMMYFUNCTION("""COMPUTED_VALUE"""),2115.0)</f>
        <v>2115</v>
      </c>
      <c r="Q371" s="35" t="str">
        <f>IFERROR(__xludf.DUMMYFUNCTION("query(C371:N1364,""Select D,E,F,G,H,I,J,K,L,M WHERE ""&amp;P371&amp;"" =C Limit 1"")"),"Physical Rehabilitation Technicians")</f>
        <v>Physical Rehabilitation Technicians</v>
      </c>
      <c r="R371" s="35" t="str">
        <f>IFERROR(__xludf.DUMMYFUNCTION("""COMPUTED_VALUE"""),"Other professional occupations in physical sciences")</f>
        <v>Other professional occupations in physical sciences</v>
      </c>
      <c r="S371" s="35">
        <f>IFERROR(__xludf.DUMMYFUNCTION("""COMPUTED_VALUE"""),3.0)</f>
        <v>3</v>
      </c>
      <c r="T371" s="35">
        <f>IFERROR(__xludf.DUMMYFUNCTION("""COMPUTED_VALUE"""),3.0)</f>
        <v>3</v>
      </c>
      <c r="U371" s="35">
        <f>IFERROR(__xludf.DUMMYFUNCTION("""COMPUTED_VALUE"""),4.0)</f>
        <v>4</v>
      </c>
      <c r="V371" s="35">
        <f>IFERROR(__xludf.DUMMYFUNCTION("""COMPUTED_VALUE"""),4.0)</f>
        <v>4</v>
      </c>
      <c r="W371" s="35">
        <f>IFERROR(__xludf.DUMMYFUNCTION("""COMPUTED_VALUE"""),4.0)</f>
        <v>4</v>
      </c>
      <c r="X371" s="35">
        <f>IFERROR(__xludf.DUMMYFUNCTION("""COMPUTED_VALUE"""),4.0)</f>
        <v>4</v>
      </c>
      <c r="Y371" s="35">
        <f>IFERROR(__xludf.DUMMYFUNCTION("""COMPUTED_VALUE"""),4.0)</f>
        <v>4</v>
      </c>
      <c r="Z371" s="35">
        <f>IFERROR(__xludf.DUMMYFUNCTION("""COMPUTED_VALUE"""),3.0)</f>
        <v>3</v>
      </c>
    </row>
    <row r="372" ht="15.75" customHeight="1">
      <c r="C372" s="34">
        <v>2212.0</v>
      </c>
      <c r="D372" s="70" t="s">
        <v>523</v>
      </c>
      <c r="E372" s="71" t="str">
        <f>vlookup(C372,'NOC-List'!B$2:C$502,2,False)</f>
        <v>Geological and mineral technologists and technicians</v>
      </c>
      <c r="F372" s="72">
        <v>2.0</v>
      </c>
      <c r="G372" s="72">
        <v>3.0</v>
      </c>
      <c r="H372" s="72">
        <v>2.0</v>
      </c>
      <c r="I372" s="72">
        <v>2.0</v>
      </c>
      <c r="J372" s="72">
        <v>2.0</v>
      </c>
      <c r="K372" s="72">
        <v>3.0</v>
      </c>
      <c r="L372" s="72">
        <v>3.0</v>
      </c>
      <c r="M372" s="72">
        <v>3.0</v>
      </c>
      <c r="N372" s="72">
        <v>3.0</v>
      </c>
      <c r="O372" s="73"/>
      <c r="P372" s="35">
        <f>IFERROR(__xludf.DUMMYFUNCTION("""COMPUTED_VALUE"""),7444.0)</f>
        <v>7444</v>
      </c>
      <c r="Q372" s="35" t="str">
        <f>IFERROR(__xludf.DUMMYFUNCTION("query(C372:N1365,""Select D,E,F,G,H,I,J,K,L,M WHERE ""&amp;P372&amp;"" =C Limit 1"")"),"Pest Controllers and Fumigators")</f>
        <v>Pest Controllers and Fumigators</v>
      </c>
      <c r="R372" s="35" t="str">
        <f>IFERROR(__xludf.DUMMYFUNCTION("""COMPUTED_VALUE"""),"Pest controllers and fumigators")</f>
        <v>Pest controllers and fumigators</v>
      </c>
      <c r="S372" s="35">
        <f>IFERROR(__xludf.DUMMYFUNCTION("""COMPUTED_VALUE"""),3.0)</f>
        <v>3</v>
      </c>
      <c r="T372" s="35">
        <f>IFERROR(__xludf.DUMMYFUNCTION("""COMPUTED_VALUE"""),4.0)</f>
        <v>4</v>
      </c>
      <c r="U372" s="35">
        <f>IFERROR(__xludf.DUMMYFUNCTION("""COMPUTED_VALUE"""),4.0)</f>
        <v>4</v>
      </c>
      <c r="V372" s="35">
        <f>IFERROR(__xludf.DUMMYFUNCTION("""COMPUTED_VALUE"""),4.0)</f>
        <v>4</v>
      </c>
      <c r="W372" s="35">
        <f>IFERROR(__xludf.DUMMYFUNCTION("""COMPUTED_VALUE"""),3.0)</f>
        <v>3</v>
      </c>
      <c r="X372" s="35">
        <f>IFERROR(__xludf.DUMMYFUNCTION("""COMPUTED_VALUE"""),5.0)</f>
        <v>5</v>
      </c>
      <c r="Y372" s="35">
        <f>IFERROR(__xludf.DUMMYFUNCTION("""COMPUTED_VALUE"""),4.0)</f>
        <v>4</v>
      </c>
      <c r="Z372" s="35">
        <f>IFERROR(__xludf.DUMMYFUNCTION("""COMPUTED_VALUE"""),4.0)</f>
        <v>4</v>
      </c>
    </row>
    <row r="373" ht="15.75" customHeight="1">
      <c r="C373" s="34">
        <v>5223.0</v>
      </c>
      <c r="D373" s="70" t="s">
        <v>524</v>
      </c>
      <c r="E373" s="71" t="str">
        <f>vlookup(C373,'NOC-List'!B$2:C$502,2,False)</f>
        <v>Graphic arts technicians</v>
      </c>
      <c r="F373" s="72">
        <v>3.0</v>
      </c>
      <c r="G373" s="72">
        <v>3.0</v>
      </c>
      <c r="H373" s="72">
        <v>4.0</v>
      </c>
      <c r="I373" s="72">
        <v>3.0</v>
      </c>
      <c r="J373" s="72">
        <v>3.0</v>
      </c>
      <c r="K373" s="72">
        <v>4.0</v>
      </c>
      <c r="L373" s="72">
        <v>3.0</v>
      </c>
      <c r="M373" s="72">
        <v>3.0</v>
      </c>
      <c r="N373" s="72">
        <v>3.0</v>
      </c>
      <c r="O373" s="73"/>
      <c r="P373" s="35">
        <f>IFERROR(__xludf.DUMMYFUNCTION("""COMPUTED_VALUE"""),4012.0)</f>
        <v>4012</v>
      </c>
      <c r="Q373" s="35" t="str">
        <f>IFERROR(__xludf.DUMMYFUNCTION("query(C373:N1366,""Select D,E,F,G,H,I,J,K,L,M WHERE ""&amp;P373&amp;"" =C Limit 1"")"),"Post-Secondary Research Assistants")</f>
        <v>Post-Secondary Research Assistants</v>
      </c>
      <c r="R373" s="35" t="str">
        <f>IFERROR(__xludf.DUMMYFUNCTION("""COMPUTED_VALUE"""),"Post-secondary teaching and research assistants")</f>
        <v>Post-secondary teaching and research assistants</v>
      </c>
      <c r="S373" s="35">
        <f>IFERROR(__xludf.DUMMYFUNCTION("""COMPUTED_VALUE"""),2.0)</f>
        <v>2</v>
      </c>
      <c r="T373" s="35">
        <f>IFERROR(__xludf.DUMMYFUNCTION("""COMPUTED_VALUE"""),2.0)</f>
        <v>2</v>
      </c>
      <c r="U373" s="35">
        <f>IFERROR(__xludf.DUMMYFUNCTION("""COMPUTED_VALUE"""),3.0)</f>
        <v>3</v>
      </c>
      <c r="V373" s="35">
        <f>IFERROR(__xludf.DUMMYFUNCTION("""COMPUTED_VALUE"""),3.0)</f>
        <v>3</v>
      </c>
      <c r="W373" s="35">
        <f>IFERROR(__xludf.DUMMYFUNCTION("""COMPUTED_VALUE"""),3.0)</f>
        <v>3</v>
      </c>
      <c r="X373" s="35">
        <f>IFERROR(__xludf.DUMMYFUNCTION("""COMPUTED_VALUE"""),3.0)</f>
        <v>3</v>
      </c>
      <c r="Y373" s="35">
        <f>IFERROR(__xludf.DUMMYFUNCTION("""COMPUTED_VALUE"""),4.0)</f>
        <v>4</v>
      </c>
      <c r="Z373" s="35">
        <f>IFERROR(__xludf.DUMMYFUNCTION("""COMPUTED_VALUE"""),4.0)</f>
        <v>4</v>
      </c>
    </row>
    <row r="374" ht="15.75" customHeight="1">
      <c r="C374" s="34">
        <v>2243.0</v>
      </c>
      <c r="D374" s="70" t="s">
        <v>525</v>
      </c>
      <c r="E374" s="71" t="str">
        <f>vlookup(C374,'NOC-List'!B$2:C$502,2,False)</f>
        <v>Industrial instrument technicians and mechanics</v>
      </c>
      <c r="F374" s="72">
        <v>3.0</v>
      </c>
      <c r="G374" s="72">
        <v>3.0</v>
      </c>
      <c r="H374" s="72">
        <v>3.0</v>
      </c>
      <c r="I374" s="72">
        <v>3.0</v>
      </c>
      <c r="J374" s="72">
        <v>3.0</v>
      </c>
      <c r="K374" s="72">
        <v>4.0</v>
      </c>
      <c r="L374" s="72">
        <v>2.0</v>
      </c>
      <c r="M374" s="72">
        <v>2.0</v>
      </c>
      <c r="N374" s="72">
        <v>2.0</v>
      </c>
      <c r="O374" s="73"/>
      <c r="P374" s="35">
        <f>IFERROR(__xludf.DUMMYFUNCTION("""COMPUTED_VALUE"""),9535.0)</f>
        <v>9535</v>
      </c>
      <c r="Q374" s="35" t="str">
        <f>IFERROR(__xludf.DUMMYFUNCTION("query(C374:N1367,""Select D,E,F,G,H,I,J,K,L,M WHERE ""&amp;P374&amp;"" =C Limit 1"")"),"Plastic Products Assemblers and Finishers")</f>
        <v>Plastic Products Assemblers and Finishers</v>
      </c>
      <c r="R374" s="35" t="str">
        <f>IFERROR(__xludf.DUMMYFUNCTION("""COMPUTED_VALUE"""),"Plastic products assemblers, finishers and inspectors")</f>
        <v>Plastic products assemblers, finishers and inspectors</v>
      </c>
      <c r="S374" s="35">
        <f>IFERROR(__xludf.DUMMYFUNCTION("""COMPUTED_VALUE"""),4.0)</f>
        <v>4</v>
      </c>
      <c r="T374" s="35">
        <f>IFERROR(__xludf.DUMMYFUNCTION("""COMPUTED_VALUE"""),4.0)</f>
        <v>4</v>
      </c>
      <c r="U374" s="35">
        <f>IFERROR(__xludf.DUMMYFUNCTION("""COMPUTED_VALUE"""),4.0)</f>
        <v>4</v>
      </c>
      <c r="V374" s="35">
        <f>IFERROR(__xludf.DUMMYFUNCTION("""COMPUTED_VALUE"""),4.0)</f>
        <v>4</v>
      </c>
      <c r="W374" s="35">
        <f>IFERROR(__xludf.DUMMYFUNCTION("""COMPUTED_VALUE"""),4.0)</f>
        <v>4</v>
      </c>
      <c r="X374" s="35">
        <f>IFERROR(__xludf.DUMMYFUNCTION("""COMPUTED_VALUE"""),4.0)</f>
        <v>4</v>
      </c>
      <c r="Y374" s="35">
        <f>IFERROR(__xludf.DUMMYFUNCTION("""COMPUTED_VALUE"""),3.0)</f>
        <v>3</v>
      </c>
      <c r="Z374" s="35">
        <f>IFERROR(__xludf.DUMMYFUNCTION("""COMPUTED_VALUE"""),4.0)</f>
        <v>4</v>
      </c>
    </row>
    <row r="375" ht="15.75" customHeight="1">
      <c r="C375" s="34">
        <v>5242.0</v>
      </c>
      <c r="D375" s="70" t="s">
        <v>526</v>
      </c>
      <c r="E375" s="71" t="str">
        <f>vlookup(C375,'NOC-List'!B$2:C$502,2,False)</f>
        <v>Interior designers and interior decorators</v>
      </c>
      <c r="F375" s="72">
        <v>2.0</v>
      </c>
      <c r="G375" s="72">
        <v>3.0</v>
      </c>
      <c r="H375" s="72">
        <v>3.0</v>
      </c>
      <c r="I375" s="72">
        <v>2.0</v>
      </c>
      <c r="J375" s="72">
        <v>2.0</v>
      </c>
      <c r="K375" s="72">
        <v>3.0</v>
      </c>
      <c r="L375" s="72">
        <v>3.0</v>
      </c>
      <c r="M375" s="72">
        <v>3.0</v>
      </c>
      <c r="N375" s="72">
        <v>4.0</v>
      </c>
      <c r="O375" s="73"/>
      <c r="P375" s="35">
        <f>IFERROR(__xludf.DUMMYFUNCTION("""COMPUTED_VALUE"""),1225.0)</f>
        <v>1225</v>
      </c>
      <c r="Q375" s="35" t="str">
        <f>IFERROR(__xludf.DUMMYFUNCTION("query(C375:N1368,""Select D,E,F,G,H,I,J,K,L,M WHERE ""&amp;P375&amp;"" =C Limit 1"")"),"Purchasing Agents and Officers")</f>
        <v>Purchasing Agents and Officers</v>
      </c>
      <c r="R375" s="35" t="str">
        <f>IFERROR(__xludf.DUMMYFUNCTION("""COMPUTED_VALUE"""),"Purchasing agents and officers")</f>
        <v>Purchasing agents and officers</v>
      </c>
      <c r="S375" s="35">
        <f>IFERROR(__xludf.DUMMYFUNCTION("""COMPUTED_VALUE"""),2.0)</f>
        <v>2</v>
      </c>
      <c r="T375" s="35">
        <f>IFERROR(__xludf.DUMMYFUNCTION("""COMPUTED_VALUE"""),2.0)</f>
        <v>2</v>
      </c>
      <c r="U375" s="35">
        <f>IFERROR(__xludf.DUMMYFUNCTION("""COMPUTED_VALUE"""),3.0)</f>
        <v>3</v>
      </c>
      <c r="V375" s="35">
        <f>IFERROR(__xludf.DUMMYFUNCTION("""COMPUTED_VALUE"""),3.0)</f>
        <v>3</v>
      </c>
      <c r="W375" s="35">
        <f>IFERROR(__xludf.DUMMYFUNCTION("""COMPUTED_VALUE"""),3.0)</f>
        <v>3</v>
      </c>
      <c r="X375" s="35">
        <f>IFERROR(__xludf.DUMMYFUNCTION("""COMPUTED_VALUE"""),3.0)</f>
        <v>3</v>
      </c>
      <c r="Y375" s="35">
        <f>IFERROR(__xludf.DUMMYFUNCTION("""COMPUTED_VALUE"""),4.0)</f>
        <v>4</v>
      </c>
      <c r="Z375" s="35">
        <f>IFERROR(__xludf.DUMMYFUNCTION("""COMPUTED_VALUE"""),4.0)</f>
        <v>4</v>
      </c>
    </row>
    <row r="376" ht="15.75" customHeight="1">
      <c r="C376" s="34">
        <v>7318.0</v>
      </c>
      <c r="D376" s="70" t="s">
        <v>527</v>
      </c>
      <c r="E376" s="71" t="str">
        <f>vlookup(C376,'NOC-List'!B$2:C$502,2,False)</f>
        <v>Elevator constructors and mechanics</v>
      </c>
      <c r="F376" s="72">
        <v>3.0</v>
      </c>
      <c r="G376" s="72">
        <v>4.0</v>
      </c>
      <c r="H376" s="72">
        <v>3.0</v>
      </c>
      <c r="I376" s="72">
        <v>3.0</v>
      </c>
      <c r="J376" s="72">
        <v>3.0</v>
      </c>
      <c r="K376" s="72">
        <v>4.0</v>
      </c>
      <c r="L376" s="72">
        <v>3.0</v>
      </c>
      <c r="M376" s="72">
        <v>3.0</v>
      </c>
      <c r="N376" s="72">
        <v>3.0</v>
      </c>
      <c r="O376" s="73"/>
      <c r="P376" s="35">
        <f>IFERROR(__xludf.DUMMYFUNCTION("""COMPUTED_VALUE"""),9432.0)</f>
        <v>9432</v>
      </c>
      <c r="Q376" s="35" t="str">
        <f>IFERROR(__xludf.DUMMYFUNCTION("query(C376:N1369,""Select D,E,F,G,H,I,J,K,L,M WHERE ""&amp;P376&amp;"" =C Limit 1"")"),"Pulp Mill Machine Operators")</f>
        <v>Pulp Mill Machine Operators</v>
      </c>
      <c r="R376" s="35" t="str">
        <f>IFERROR(__xludf.DUMMYFUNCTION("""COMPUTED_VALUE"""),"Pulp mill machine operators")</f>
        <v>Pulp mill machine operators</v>
      </c>
      <c r="S376" s="35">
        <f>IFERROR(__xludf.DUMMYFUNCTION("""COMPUTED_VALUE"""),3.0)</f>
        <v>3</v>
      </c>
      <c r="T376" s="35">
        <f>IFERROR(__xludf.DUMMYFUNCTION("""COMPUTED_VALUE"""),4.0)</f>
        <v>4</v>
      </c>
      <c r="U376" s="35">
        <f>IFERROR(__xludf.DUMMYFUNCTION("""COMPUTED_VALUE"""),4.0)</f>
        <v>4</v>
      </c>
      <c r="V376" s="35">
        <f>IFERROR(__xludf.DUMMYFUNCTION("""COMPUTED_VALUE"""),4.0)</f>
        <v>4</v>
      </c>
      <c r="W376" s="35">
        <f>IFERROR(__xludf.DUMMYFUNCTION("""COMPUTED_VALUE"""),4.0)</f>
        <v>4</v>
      </c>
      <c r="X376" s="35">
        <f>IFERROR(__xludf.DUMMYFUNCTION("""COMPUTED_VALUE"""),4.0)</f>
        <v>4</v>
      </c>
      <c r="Y376" s="35">
        <f>IFERROR(__xludf.DUMMYFUNCTION("""COMPUTED_VALUE"""),4.0)</f>
        <v>4</v>
      </c>
      <c r="Z376" s="35">
        <f>IFERROR(__xludf.DUMMYFUNCTION("""COMPUTED_VALUE"""),4.0)</f>
        <v>4</v>
      </c>
    </row>
    <row r="377" ht="15.75" customHeight="1">
      <c r="C377" s="34">
        <v>6344.0</v>
      </c>
      <c r="D377" s="70" t="s">
        <v>528</v>
      </c>
      <c r="E377" s="71" t="str">
        <f>vlookup(C377,'NOC-List'!B$2:C$502,2,False)</f>
        <v>Jewellers, jewellery and watch repairers and related occupations</v>
      </c>
      <c r="F377" s="72">
        <v>3.0</v>
      </c>
      <c r="G377" s="72">
        <v>3.0</v>
      </c>
      <c r="H377" s="72">
        <v>3.0</v>
      </c>
      <c r="I377" s="72">
        <v>2.0</v>
      </c>
      <c r="J377" s="72">
        <v>2.0</v>
      </c>
      <c r="K377" s="72">
        <v>4.0</v>
      </c>
      <c r="L377" s="72">
        <v>1.0</v>
      </c>
      <c r="M377" s="72">
        <v>1.0</v>
      </c>
      <c r="N377" s="72">
        <v>2.0</v>
      </c>
      <c r="O377" s="73"/>
      <c r="P377" s="35">
        <f>IFERROR(__xludf.DUMMYFUNCTION("""COMPUTED_VALUE"""),1253.0)</f>
        <v>1253</v>
      </c>
      <c r="Q377" s="35" t="str">
        <f>IFERROR(__xludf.DUMMYFUNCTION("query(C377:N1370,""Select D,E,F,G,H,I,J,K,L,M WHERE ""&amp;P377&amp;"" =C Limit 1"")"),"Records Management Clerks")</f>
        <v>Records Management Clerks</v>
      </c>
      <c r="R377" s="35" t="str">
        <f>IFERROR(__xludf.DUMMYFUNCTION("""COMPUTED_VALUE"""),"Records management technicians")</f>
        <v>Records management technicians</v>
      </c>
      <c r="S377" s="35">
        <f>IFERROR(__xludf.DUMMYFUNCTION("""COMPUTED_VALUE"""),3.0)</f>
        <v>3</v>
      </c>
      <c r="T377" s="35">
        <f>IFERROR(__xludf.DUMMYFUNCTION("""COMPUTED_VALUE"""),3.0)</f>
        <v>3</v>
      </c>
      <c r="U377" s="35">
        <f>IFERROR(__xludf.DUMMYFUNCTION("""COMPUTED_VALUE"""),3.0)</f>
        <v>3</v>
      </c>
      <c r="V377" s="35">
        <f>IFERROR(__xludf.DUMMYFUNCTION("""COMPUTED_VALUE"""),4.0)</f>
        <v>4</v>
      </c>
      <c r="W377" s="35">
        <f>IFERROR(__xludf.DUMMYFUNCTION("""COMPUTED_VALUE"""),4.0)</f>
        <v>4</v>
      </c>
      <c r="X377" s="35">
        <f>IFERROR(__xludf.DUMMYFUNCTION("""COMPUTED_VALUE"""),3.0)</f>
        <v>3</v>
      </c>
      <c r="Y377" s="35">
        <f>IFERROR(__xludf.DUMMYFUNCTION("""COMPUTED_VALUE"""),3.0)</f>
        <v>3</v>
      </c>
      <c r="Z377" s="35">
        <f>IFERROR(__xludf.DUMMYFUNCTION("""COMPUTED_VALUE"""),3.0)</f>
        <v>3</v>
      </c>
    </row>
    <row r="378" ht="15.75" customHeight="1">
      <c r="C378" s="34">
        <v>2254.0</v>
      </c>
      <c r="D378" s="70" t="s">
        <v>529</v>
      </c>
      <c r="E378" s="71" t="str">
        <f>vlookup(C378,'NOC-List'!B$2:C$502,2,False)</f>
        <v>Land survey technologists and technicians</v>
      </c>
      <c r="F378" s="72">
        <v>3.0</v>
      </c>
      <c r="G378" s="72">
        <v>3.0</v>
      </c>
      <c r="H378" s="72">
        <v>3.0</v>
      </c>
      <c r="I378" s="72">
        <v>3.0</v>
      </c>
      <c r="J378" s="72">
        <v>3.0</v>
      </c>
      <c r="K378" s="72">
        <v>3.0</v>
      </c>
      <c r="L378" s="72">
        <v>3.0</v>
      </c>
      <c r="M378" s="72">
        <v>3.0</v>
      </c>
      <c r="N378" s="72">
        <v>3.0</v>
      </c>
      <c r="O378" s="73"/>
      <c r="P378" s="35">
        <f>IFERROR(__xludf.DUMMYFUNCTION("""COMPUTED_VALUE"""),6222.0)</f>
        <v>6222</v>
      </c>
      <c r="Q378" s="35" t="str">
        <f>IFERROR(__xludf.DUMMYFUNCTION("query(C378:N1371,""Select D,E,F,G,H,I,J,K,L,M WHERE ""&amp;P378&amp;"" =C Limit 1"")"),"Retail and Wholesale Buyers")</f>
        <v>Retail and Wholesale Buyers</v>
      </c>
      <c r="R378" s="35" t="str">
        <f>IFERROR(__xludf.DUMMYFUNCTION("""COMPUTED_VALUE"""),"Retail and wholesale buyers")</f>
        <v>Retail and wholesale buyers</v>
      </c>
      <c r="S378" s="35">
        <f>IFERROR(__xludf.DUMMYFUNCTION("""COMPUTED_VALUE"""),3.0)</f>
        <v>3</v>
      </c>
      <c r="T378" s="35">
        <f>IFERROR(__xludf.DUMMYFUNCTION("""COMPUTED_VALUE"""),3.0)</f>
        <v>3</v>
      </c>
      <c r="U378" s="35">
        <f>IFERROR(__xludf.DUMMYFUNCTION("""COMPUTED_VALUE"""),3.0)</f>
        <v>3</v>
      </c>
      <c r="V378" s="35">
        <f>IFERROR(__xludf.DUMMYFUNCTION("""COMPUTED_VALUE"""),3.0)</f>
        <v>3</v>
      </c>
      <c r="W378" s="35">
        <f>IFERROR(__xludf.DUMMYFUNCTION("""COMPUTED_VALUE"""),3.0)</f>
        <v>3</v>
      </c>
      <c r="X378" s="35">
        <f>IFERROR(__xludf.DUMMYFUNCTION("""COMPUTED_VALUE"""),3.0)</f>
        <v>3</v>
      </c>
      <c r="Y378" s="35">
        <f>IFERROR(__xludf.DUMMYFUNCTION("""COMPUTED_VALUE"""),4.0)</f>
        <v>4</v>
      </c>
      <c r="Z378" s="35">
        <f>IFERROR(__xludf.DUMMYFUNCTION("""COMPUTED_VALUE"""),4.0)</f>
        <v>4</v>
      </c>
    </row>
    <row r="379" ht="15.75" customHeight="1">
      <c r="C379" s="34">
        <v>2254.0</v>
      </c>
      <c r="D379" s="70" t="s">
        <v>530</v>
      </c>
      <c r="E379" s="71" t="str">
        <f>vlookup(C379,'NOC-List'!B$2:C$502,2,False)</f>
        <v>Land survey technologists and technicians</v>
      </c>
      <c r="F379" s="72">
        <v>2.0</v>
      </c>
      <c r="G379" s="72">
        <v>3.0</v>
      </c>
      <c r="H379" s="72">
        <v>2.0</v>
      </c>
      <c r="I379" s="72">
        <v>2.0</v>
      </c>
      <c r="J379" s="72">
        <v>2.0</v>
      </c>
      <c r="K379" s="72">
        <v>3.0</v>
      </c>
      <c r="L379" s="72">
        <v>3.0</v>
      </c>
      <c r="M379" s="72">
        <v>3.0</v>
      </c>
      <c r="N379" s="72">
        <v>3.0</v>
      </c>
      <c r="O379" s="73"/>
      <c r="P379" s="35">
        <f>IFERROR(__xludf.DUMMYFUNCTION("""COMPUTED_VALUE"""),7531.0)</f>
        <v>7531</v>
      </c>
      <c r="Q379" s="35" t="str">
        <f>IFERROR(__xludf.DUMMYFUNCTION("query(C379:N1372,""Select D,E,F,G,H,I,J,K,L,M WHERE ""&amp;P379&amp;"" =C Limit 1"")"),"Railway Track Maintenance Workers")</f>
        <v>Railway Track Maintenance Workers</v>
      </c>
      <c r="R379" s="35" t="str">
        <f>IFERROR(__xludf.DUMMYFUNCTION("""COMPUTED_VALUE"""),"Railway yard and track maintenance workers")</f>
        <v>Railway yard and track maintenance workers</v>
      </c>
      <c r="S379" s="35">
        <f>IFERROR(__xludf.DUMMYFUNCTION("""COMPUTED_VALUE"""),3.0)</f>
        <v>3</v>
      </c>
      <c r="T379" s="35">
        <f>IFERROR(__xludf.DUMMYFUNCTION("""COMPUTED_VALUE"""),4.0)</f>
        <v>4</v>
      </c>
      <c r="U379" s="35">
        <f>IFERROR(__xludf.DUMMYFUNCTION("""COMPUTED_VALUE"""),5.0)</f>
        <v>5</v>
      </c>
      <c r="V379" s="35">
        <f>IFERROR(__xludf.DUMMYFUNCTION("""COMPUTED_VALUE"""),3.0)</f>
        <v>3</v>
      </c>
      <c r="W379" s="35">
        <f>IFERROR(__xludf.DUMMYFUNCTION("""COMPUTED_VALUE"""),4.0)</f>
        <v>4</v>
      </c>
      <c r="X379" s="35">
        <f>IFERROR(__xludf.DUMMYFUNCTION("""COMPUTED_VALUE"""),5.0)</f>
        <v>5</v>
      </c>
      <c r="Y379" s="35">
        <f>IFERROR(__xludf.DUMMYFUNCTION("""COMPUTED_VALUE"""),3.0)</f>
        <v>3</v>
      </c>
      <c r="Z379" s="35">
        <f>IFERROR(__xludf.DUMMYFUNCTION("""COMPUTED_VALUE"""),4.0)</f>
        <v>4</v>
      </c>
    </row>
    <row r="380" ht="15.75" customHeight="1">
      <c r="C380" s="34">
        <v>7384.0</v>
      </c>
      <c r="D380" s="70" t="s">
        <v>531</v>
      </c>
      <c r="E380" s="71" t="str">
        <f>vlookup(C380,'NOC-List'!B$2:C$502,2,False)</f>
        <v>Other trades and related occupations, n.e.c.</v>
      </c>
      <c r="F380" s="72">
        <v>3.0</v>
      </c>
      <c r="G380" s="72">
        <v>3.0</v>
      </c>
      <c r="H380" s="72">
        <v>4.0</v>
      </c>
      <c r="I380" s="72">
        <v>3.0</v>
      </c>
      <c r="J380" s="72">
        <v>3.0</v>
      </c>
      <c r="K380" s="72">
        <v>4.0</v>
      </c>
      <c r="L380" s="72">
        <v>3.0</v>
      </c>
      <c r="M380" s="72">
        <v>3.0</v>
      </c>
      <c r="N380" s="72">
        <v>3.0</v>
      </c>
      <c r="O380" s="73"/>
      <c r="P380" s="35">
        <f>IFERROR(__xludf.DUMMYFUNCTION("""COMPUTED_VALUE"""),1521.0)</f>
        <v>1521</v>
      </c>
      <c r="Q380" s="35" t="str">
        <f>IFERROR(__xludf.DUMMYFUNCTION("query(C380:N1373,""Select D,E,F,G,H,I,J,K,L,M WHERE ""&amp;P380&amp;"" =C Limit 1"")"),"Shippers and Receivers")</f>
        <v>Shippers and Receivers</v>
      </c>
      <c r="R380" s="35" t="str">
        <f>IFERROR(__xludf.DUMMYFUNCTION("""COMPUTED_VALUE"""),"Shippers and receivers")</f>
        <v>Shippers and receivers</v>
      </c>
      <c r="S380" s="35">
        <f>IFERROR(__xludf.DUMMYFUNCTION("""COMPUTED_VALUE"""),3.0)</f>
        <v>3</v>
      </c>
      <c r="T380" s="35">
        <f>IFERROR(__xludf.DUMMYFUNCTION("""COMPUTED_VALUE"""),3.0)</f>
        <v>3</v>
      </c>
      <c r="U380" s="35">
        <f>IFERROR(__xludf.DUMMYFUNCTION("""COMPUTED_VALUE"""),3.0)</f>
        <v>3</v>
      </c>
      <c r="V380" s="35">
        <f>IFERROR(__xludf.DUMMYFUNCTION("""COMPUTED_VALUE"""),4.0)</f>
        <v>4</v>
      </c>
      <c r="W380" s="35">
        <f>IFERROR(__xludf.DUMMYFUNCTION("""COMPUTED_VALUE"""),4.0)</f>
        <v>4</v>
      </c>
      <c r="X380" s="35">
        <f>IFERROR(__xludf.DUMMYFUNCTION("""COMPUTED_VALUE"""),3.0)</f>
        <v>3</v>
      </c>
      <c r="Y380" s="35">
        <f>IFERROR(__xludf.DUMMYFUNCTION("""COMPUTED_VALUE"""),3.0)</f>
        <v>3</v>
      </c>
      <c r="Z380" s="35">
        <f>IFERROR(__xludf.DUMMYFUNCTION("""COMPUTED_VALUE"""),3.0)</f>
        <v>3</v>
      </c>
    </row>
    <row r="381" ht="15.75" customHeight="1">
      <c r="C381" s="34">
        <v>5232.0</v>
      </c>
      <c r="D381" s="70" t="s">
        <v>532</v>
      </c>
      <c r="E381" s="71" t="str">
        <f>vlookup(C381,'NOC-List'!B$2:C$502,2,False)</f>
        <v>Other performers, n.e.c.</v>
      </c>
      <c r="F381" s="72">
        <v>3.0</v>
      </c>
      <c r="G381" s="72">
        <v>3.0</v>
      </c>
      <c r="H381" s="72">
        <v>4.0</v>
      </c>
      <c r="I381" s="72">
        <v>3.0</v>
      </c>
      <c r="J381" s="72">
        <v>3.0</v>
      </c>
      <c r="K381" s="72">
        <v>5.0</v>
      </c>
      <c r="L381" s="72">
        <v>2.0</v>
      </c>
      <c r="M381" s="72">
        <v>2.0</v>
      </c>
      <c r="N381" s="72">
        <v>2.0</v>
      </c>
      <c r="O381" s="73"/>
      <c r="P381" s="35">
        <f>IFERROR(__xludf.DUMMYFUNCTION("""COMPUTED_VALUE"""),3111.0)</f>
        <v>3111</v>
      </c>
      <c r="Q381" s="35" t="str">
        <f>IFERROR(__xludf.DUMMYFUNCTION("query(C381:N1374,""Select D,E,F,G,H,I,J,K,L,M WHERE ""&amp;P381&amp;"" =C Limit 1"")"),"Specialists in Clinical Medicine")</f>
        <v>Specialists in Clinical Medicine</v>
      </c>
      <c r="R381" s="35" t="str">
        <f>IFERROR(__xludf.DUMMYFUNCTION("""COMPUTED_VALUE"""),"Specialist physicians")</f>
        <v>Specialist physicians</v>
      </c>
      <c r="S381" s="35">
        <f>IFERROR(__xludf.DUMMYFUNCTION("""COMPUTED_VALUE"""),1.0)</f>
        <v>1</v>
      </c>
      <c r="T381" s="35">
        <f>IFERROR(__xludf.DUMMYFUNCTION("""COMPUTED_VALUE"""),1.0)</f>
        <v>1</v>
      </c>
      <c r="U381" s="35">
        <f>IFERROR(__xludf.DUMMYFUNCTION("""COMPUTED_VALUE"""),2.0)</f>
        <v>2</v>
      </c>
      <c r="V381" s="35">
        <f>IFERROR(__xludf.DUMMYFUNCTION("""COMPUTED_VALUE"""),2.0)</f>
        <v>2</v>
      </c>
      <c r="W381" s="35">
        <f>IFERROR(__xludf.DUMMYFUNCTION("""COMPUTED_VALUE"""),2.0)</f>
        <v>2</v>
      </c>
      <c r="X381" s="35">
        <f>IFERROR(__xludf.DUMMYFUNCTION("""COMPUTED_VALUE"""),3.0)</f>
        <v>3</v>
      </c>
      <c r="Y381" s="35">
        <f>IFERROR(__xludf.DUMMYFUNCTION("""COMPUTED_VALUE"""),3.0)</f>
        <v>3</v>
      </c>
      <c r="Z381" s="35">
        <f>IFERROR(__xludf.DUMMYFUNCTION("""COMPUTED_VALUE"""),2.0)</f>
        <v>2</v>
      </c>
    </row>
    <row r="382" ht="15.75" customHeight="1">
      <c r="C382" s="34">
        <v>7321.0</v>
      </c>
      <c r="D382" s="70" t="s">
        <v>533</v>
      </c>
      <c r="E382" s="71" t="str">
        <f>vlookup(C382,'NOC-List'!B$2:C$502,2,False)</f>
        <v>Automotive service technicians, truck and bus mechanics and mechanical repairers</v>
      </c>
      <c r="F382" s="72">
        <v>3.0</v>
      </c>
      <c r="G382" s="72">
        <v>3.0</v>
      </c>
      <c r="H382" s="72">
        <v>4.0</v>
      </c>
      <c r="I382" s="72">
        <v>3.0</v>
      </c>
      <c r="J382" s="72">
        <v>3.0</v>
      </c>
      <c r="K382" s="72">
        <v>4.0</v>
      </c>
      <c r="L382" s="72">
        <v>3.0</v>
      </c>
      <c r="M382" s="72">
        <v>3.0</v>
      </c>
      <c r="N382" s="72">
        <v>3.0</v>
      </c>
      <c r="O382" s="73"/>
      <c r="P382" s="35">
        <f>IFERROR(__xludf.DUMMYFUNCTION("""COMPUTED_VALUE"""),1454.0)</f>
        <v>1454</v>
      </c>
      <c r="Q382" s="35" t="str">
        <f>IFERROR(__xludf.DUMMYFUNCTION("query(C382:N1375,""Select D,E,F,G,H,I,J,K,L,M WHERE ""&amp;P382&amp;"" =C Limit 1"")"),"Statistical Clerks")</f>
        <v>Statistical Clerks</v>
      </c>
      <c r="R382" s="35" t="str">
        <f>IFERROR(__xludf.DUMMYFUNCTION("""COMPUTED_VALUE"""),"Survey interviewers and statistical clerks")</f>
        <v>Survey interviewers and statistical clerks</v>
      </c>
      <c r="S382" s="35">
        <f>IFERROR(__xludf.DUMMYFUNCTION("""COMPUTED_VALUE"""),3.0)</f>
        <v>3</v>
      </c>
      <c r="T382" s="35">
        <f>IFERROR(__xludf.DUMMYFUNCTION("""COMPUTED_VALUE"""),3.0)</f>
        <v>3</v>
      </c>
      <c r="U382" s="35">
        <f>IFERROR(__xludf.DUMMYFUNCTION("""COMPUTED_VALUE"""),3.0)</f>
        <v>3</v>
      </c>
      <c r="V382" s="35">
        <f>IFERROR(__xludf.DUMMYFUNCTION("""COMPUTED_VALUE"""),4.0)</f>
        <v>4</v>
      </c>
      <c r="W382" s="35">
        <f>IFERROR(__xludf.DUMMYFUNCTION("""COMPUTED_VALUE"""),4.0)</f>
        <v>4</v>
      </c>
      <c r="X382" s="35">
        <f>IFERROR(__xludf.DUMMYFUNCTION("""COMPUTED_VALUE"""),3.0)</f>
        <v>3</v>
      </c>
      <c r="Y382" s="35">
        <f>IFERROR(__xludf.DUMMYFUNCTION("""COMPUTED_VALUE"""),3.0)</f>
        <v>3</v>
      </c>
      <c r="Z382" s="35">
        <f>IFERROR(__xludf.DUMMYFUNCTION("""COMPUTED_VALUE"""),3.0)</f>
        <v>3</v>
      </c>
    </row>
    <row r="383" ht="15.75" customHeight="1">
      <c r="C383" s="34">
        <v>1251.0</v>
      </c>
      <c r="D383" s="70" t="s">
        <v>534</v>
      </c>
      <c r="E383" s="71" t="str">
        <f>vlookup(C383,'NOC-List'!B$2:C$502,2,False)</f>
        <v>Court reporters, medical transcriptionists and related occupations</v>
      </c>
      <c r="F383" s="72">
        <v>3.0</v>
      </c>
      <c r="G383" s="72">
        <v>3.0</v>
      </c>
      <c r="H383" s="72">
        <v>4.0</v>
      </c>
      <c r="I383" s="72">
        <v>4.0</v>
      </c>
      <c r="J383" s="72">
        <v>3.0</v>
      </c>
      <c r="K383" s="72">
        <v>3.0</v>
      </c>
      <c r="L383" s="72">
        <v>3.0</v>
      </c>
      <c r="M383" s="72">
        <v>3.0</v>
      </c>
      <c r="N383" s="72">
        <v>3.0</v>
      </c>
      <c r="O383" s="73"/>
      <c r="P383" s="35">
        <f>IFERROR(__xludf.DUMMYFUNCTION("""COMPUTED_VALUE"""),8221.0)</f>
        <v>8221</v>
      </c>
      <c r="Q383" s="35" t="str">
        <f>IFERROR(__xludf.DUMMYFUNCTION("query(C383:N1376,""Select D,E,F,G,H,I,J,K,L,M WHERE ""&amp;P383&amp;"" =C Limit 1"")"),"Supervisors, Mining and Quarrying")</f>
        <v>Supervisors, Mining and Quarrying</v>
      </c>
      <c r="R383" s="35" t="str">
        <f>IFERROR(__xludf.DUMMYFUNCTION("""COMPUTED_VALUE"""),"Supervisors, mining and quarrying")</f>
        <v>Supervisors, mining and quarrying</v>
      </c>
      <c r="S383" s="35">
        <f>IFERROR(__xludf.DUMMYFUNCTION("""COMPUTED_VALUE"""),3.0)</f>
        <v>3</v>
      </c>
      <c r="T383" s="35">
        <f>IFERROR(__xludf.DUMMYFUNCTION("""COMPUTED_VALUE"""),3.0)</f>
        <v>3</v>
      </c>
      <c r="U383" s="35">
        <f>IFERROR(__xludf.DUMMYFUNCTION("""COMPUTED_VALUE"""),4.0)</f>
        <v>4</v>
      </c>
      <c r="V383" s="35">
        <f>IFERROR(__xludf.DUMMYFUNCTION("""COMPUTED_VALUE"""),3.0)</f>
        <v>3</v>
      </c>
      <c r="W383" s="35">
        <f>IFERROR(__xludf.DUMMYFUNCTION("""COMPUTED_VALUE"""),3.0)</f>
        <v>3</v>
      </c>
      <c r="X383" s="35">
        <f>IFERROR(__xludf.DUMMYFUNCTION("""COMPUTED_VALUE"""),4.0)</f>
        <v>4</v>
      </c>
      <c r="Y383" s="35">
        <f>IFERROR(__xludf.DUMMYFUNCTION("""COMPUTED_VALUE"""),4.0)</f>
        <v>4</v>
      </c>
      <c r="Z383" s="35">
        <f>IFERROR(__xludf.DUMMYFUNCTION("""COMPUTED_VALUE"""),4.0)</f>
        <v>4</v>
      </c>
    </row>
    <row r="384" ht="15.75" customHeight="1">
      <c r="C384" s="34">
        <v>8252.0</v>
      </c>
      <c r="D384" s="70" t="s">
        <v>535</v>
      </c>
      <c r="E384" s="71" t="str">
        <f>vlookup(C384,'NOC-List'!B$2:C$502,2,False)</f>
        <v>Agricultural service contractors, farm supervisors and specialized livestock workers</v>
      </c>
      <c r="F384" s="72">
        <v>3.0</v>
      </c>
      <c r="G384" s="72">
        <v>4.0</v>
      </c>
      <c r="H384" s="72">
        <v>4.0</v>
      </c>
      <c r="I384" s="72">
        <v>4.0</v>
      </c>
      <c r="J384" s="72">
        <v>3.0</v>
      </c>
      <c r="K384" s="72">
        <v>4.0</v>
      </c>
      <c r="L384" s="72">
        <v>3.0</v>
      </c>
      <c r="M384" s="72">
        <v>3.0</v>
      </c>
      <c r="N384" s="72">
        <v>3.0</v>
      </c>
      <c r="O384" s="73"/>
      <c r="P384" s="35">
        <f>IFERROR(__xludf.DUMMYFUNCTION("""COMPUTED_VALUE"""),8222.0)</f>
        <v>8222</v>
      </c>
      <c r="Q384" s="35" t="str">
        <f>IFERROR(__xludf.DUMMYFUNCTION("query(C384:N1377,""Select D,E,F,G,H,I,J,K,L,M WHERE ""&amp;P384&amp;"" =C Limit 1"")"),"Supervisors, Oil and Gas Drilling and Service")</f>
        <v>Supervisors, Oil and Gas Drilling and Service</v>
      </c>
      <c r="R384" s="35" t="str">
        <f>IFERROR(__xludf.DUMMYFUNCTION("""COMPUTED_VALUE"""),"Contractors and supervisors, oil and gas drilling and services")</f>
        <v>Contractors and supervisors, oil and gas drilling and services</v>
      </c>
      <c r="S384" s="35">
        <f>IFERROR(__xludf.DUMMYFUNCTION("""COMPUTED_VALUE"""),3.0)</f>
        <v>3</v>
      </c>
      <c r="T384" s="35">
        <f>IFERROR(__xludf.DUMMYFUNCTION("""COMPUTED_VALUE"""),3.0)</f>
        <v>3</v>
      </c>
      <c r="U384" s="35">
        <f>IFERROR(__xludf.DUMMYFUNCTION("""COMPUTED_VALUE"""),3.0)</f>
        <v>3</v>
      </c>
      <c r="V384" s="35">
        <f>IFERROR(__xludf.DUMMYFUNCTION("""COMPUTED_VALUE"""),3.0)</f>
        <v>3</v>
      </c>
      <c r="W384" s="35">
        <f>IFERROR(__xludf.DUMMYFUNCTION("""COMPUTED_VALUE"""),4.0)</f>
        <v>4</v>
      </c>
      <c r="X384" s="35">
        <f>IFERROR(__xludf.DUMMYFUNCTION("""COMPUTED_VALUE"""),4.0)</f>
        <v>4</v>
      </c>
      <c r="Y384" s="35">
        <f>IFERROR(__xludf.DUMMYFUNCTION("""COMPUTED_VALUE"""),3.0)</f>
        <v>3</v>
      </c>
      <c r="Z384" s="35">
        <f>IFERROR(__xludf.DUMMYFUNCTION("""COMPUTED_VALUE"""),4.0)</f>
        <v>4</v>
      </c>
    </row>
    <row r="385" ht="15.75" customHeight="1">
      <c r="C385" s="81">
        <v>3124.0</v>
      </c>
      <c r="D385" s="70" t="s">
        <v>536</v>
      </c>
      <c r="E385" s="71" t="str">
        <f>vlookup(C385,'NOC-List'!B$2:C$502,2,False)</f>
        <v>Allied primary health practitioners</v>
      </c>
      <c r="F385" s="72">
        <v>2.0</v>
      </c>
      <c r="G385" s="72">
        <v>2.0</v>
      </c>
      <c r="H385" s="72">
        <v>3.0</v>
      </c>
      <c r="I385" s="72">
        <v>3.0</v>
      </c>
      <c r="J385" s="72">
        <v>3.0</v>
      </c>
      <c r="K385" s="72">
        <v>4.0</v>
      </c>
      <c r="L385" s="72">
        <v>2.0</v>
      </c>
      <c r="M385" s="72">
        <v>2.0</v>
      </c>
      <c r="N385" s="72">
        <v>2.0</v>
      </c>
      <c r="O385" s="73"/>
      <c r="P385" s="35">
        <f>IFERROR(__xludf.DUMMYFUNCTION("""COMPUTED_VALUE"""),9226.0)</f>
        <v>9226</v>
      </c>
      <c r="Q385" s="35" t="str">
        <f>IFERROR(__xludf.DUMMYFUNCTION("query(C385:N1378,""Select D,E,F,G,H,I,J,K,L,M WHERE ""&amp;P385&amp;"" =C Limit 1"")"),"Supervisors, Other Mechanical and Metal Products Manufacturing")</f>
        <v>Supervisors, Other Mechanical and Metal Products Manufacturing</v>
      </c>
      <c r="R385" s="35" t="str">
        <f>IFERROR(__xludf.DUMMYFUNCTION("""COMPUTED_VALUE"""),"Supervisors, other mechanical and metal products manufacturing")</f>
        <v>Supervisors, other mechanical and metal products manufacturing</v>
      </c>
      <c r="S385" s="35">
        <f>IFERROR(__xludf.DUMMYFUNCTION("""COMPUTED_VALUE"""),3.0)</f>
        <v>3</v>
      </c>
      <c r="T385" s="35">
        <f>IFERROR(__xludf.DUMMYFUNCTION("""COMPUTED_VALUE"""),3.0)</f>
        <v>3</v>
      </c>
      <c r="U385" s="35">
        <f>IFERROR(__xludf.DUMMYFUNCTION("""COMPUTED_VALUE"""),3.0)</f>
        <v>3</v>
      </c>
      <c r="V385" s="35">
        <f>IFERROR(__xludf.DUMMYFUNCTION("""COMPUTED_VALUE"""),4.0)</f>
        <v>4</v>
      </c>
      <c r="W385" s="35">
        <f>IFERROR(__xludf.DUMMYFUNCTION("""COMPUTED_VALUE"""),3.0)</f>
        <v>3</v>
      </c>
      <c r="X385" s="35">
        <f>IFERROR(__xludf.DUMMYFUNCTION("""COMPUTED_VALUE"""),3.0)</f>
        <v>3</v>
      </c>
      <c r="Y385" s="35">
        <f>IFERROR(__xludf.DUMMYFUNCTION("""COMPUTED_VALUE"""),4.0)</f>
        <v>4</v>
      </c>
      <c r="Z385" s="35">
        <f>IFERROR(__xludf.DUMMYFUNCTION("""COMPUTED_VALUE"""),4.0)</f>
        <v>4</v>
      </c>
    </row>
    <row r="386" ht="15.75" customHeight="1">
      <c r="C386" s="81">
        <v>4313.0</v>
      </c>
      <c r="D386" s="70" t="s">
        <v>537</v>
      </c>
      <c r="E386" s="71" t="str">
        <f>vlookup(C386,'NOC-List'!B$2:C$502,2,False)</f>
        <v>Non-commissioned ranks of the Canadian Forces</v>
      </c>
      <c r="F386" s="72">
        <v>3.0</v>
      </c>
      <c r="G386" s="72">
        <v>3.0</v>
      </c>
      <c r="H386" s="72">
        <v>4.0</v>
      </c>
      <c r="I386" s="72">
        <v>3.0</v>
      </c>
      <c r="J386" s="72">
        <v>3.0</v>
      </c>
      <c r="K386" s="72">
        <v>4.0</v>
      </c>
      <c r="L386" s="72">
        <v>3.0</v>
      </c>
      <c r="M386" s="72">
        <v>3.0</v>
      </c>
      <c r="N386" s="72">
        <v>3.0</v>
      </c>
      <c r="O386" s="73"/>
      <c r="P386" s="35">
        <f>IFERROR(__xludf.DUMMYFUNCTION("""COMPUTED_VALUE"""),9214.0)</f>
        <v>9214</v>
      </c>
      <c r="Q386" s="35" t="str">
        <f>IFERROR(__xludf.DUMMYFUNCTION("query(C386:N1379,""Select D,E,F,G,H,I,J,K,L,M WHERE ""&amp;P386&amp;"" =C Limit 1"")"),"Supervisors, Plastic and Rubber Products Manufacturing")</f>
        <v>Supervisors, Plastic and Rubber Products Manufacturing</v>
      </c>
      <c r="R386" s="35" t="str">
        <f>IFERROR(__xludf.DUMMYFUNCTION("""COMPUTED_VALUE"""),"Supervisors, plastic and rubber products manufacturing")</f>
        <v>Supervisors, plastic and rubber products manufacturing</v>
      </c>
      <c r="S386" s="35">
        <f>IFERROR(__xludf.DUMMYFUNCTION("""COMPUTED_VALUE"""),3.0)</f>
        <v>3</v>
      </c>
      <c r="T386" s="35">
        <f>IFERROR(__xludf.DUMMYFUNCTION("""COMPUTED_VALUE"""),3.0)</f>
        <v>3</v>
      </c>
      <c r="U386" s="35">
        <f>IFERROR(__xludf.DUMMYFUNCTION("""COMPUTED_VALUE"""),3.0)</f>
        <v>3</v>
      </c>
      <c r="V386" s="35">
        <f>IFERROR(__xludf.DUMMYFUNCTION("""COMPUTED_VALUE"""),4.0)</f>
        <v>4</v>
      </c>
      <c r="W386" s="35">
        <f>IFERROR(__xludf.DUMMYFUNCTION("""COMPUTED_VALUE"""),4.0)</f>
        <v>4</v>
      </c>
      <c r="X386" s="35">
        <f>IFERROR(__xludf.DUMMYFUNCTION("""COMPUTED_VALUE"""),3.0)</f>
        <v>3</v>
      </c>
      <c r="Y386" s="35">
        <f>IFERROR(__xludf.DUMMYFUNCTION("""COMPUTED_VALUE"""),3.0)</f>
        <v>3</v>
      </c>
      <c r="Z386" s="35">
        <f>IFERROR(__xludf.DUMMYFUNCTION("""COMPUTED_VALUE"""),4.0)</f>
        <v>4</v>
      </c>
    </row>
    <row r="387" ht="15.75" customHeight="1">
      <c r="C387" s="34">
        <v>5136.0</v>
      </c>
      <c r="D387" s="70" t="s">
        <v>538</v>
      </c>
      <c r="E387" s="71" t="str">
        <f>vlookup(C387,'NOC-List'!B$2:C$502,2,False)</f>
        <v>Painters, sculptors and other visual artists</v>
      </c>
      <c r="F387" s="72">
        <v>2.0</v>
      </c>
      <c r="G387" s="72">
        <v>3.0</v>
      </c>
      <c r="H387" s="72">
        <v>4.0</v>
      </c>
      <c r="I387" s="72">
        <v>2.0</v>
      </c>
      <c r="J387" s="72">
        <v>2.0</v>
      </c>
      <c r="K387" s="72">
        <v>5.0</v>
      </c>
      <c r="L387" s="72">
        <v>2.0</v>
      </c>
      <c r="M387" s="72">
        <v>2.0</v>
      </c>
      <c r="N387" s="72">
        <v>3.0</v>
      </c>
      <c r="O387" s="73"/>
      <c r="P387" s="35">
        <f>IFERROR(__xludf.DUMMYFUNCTION("""COMPUTED_VALUE"""),9465.0)</f>
        <v>9465</v>
      </c>
      <c r="Q387" s="35" t="str">
        <f>IFERROR(__xludf.DUMMYFUNCTION("query(C387:N1380,""Select D,E,F,G,H,I,J,K,L,M WHERE ""&amp;P387&amp;"" =C Limit 1"")"),"Testers and Graders, Food and Beverage Processing")</f>
        <v>Testers and Graders, Food and Beverage Processing</v>
      </c>
      <c r="R387" s="35" t="str">
        <f>IFERROR(__xludf.DUMMYFUNCTION("""COMPUTED_VALUE"""),"Testers and graders, food, beverage and associated products processing")</f>
        <v>Testers and graders, food, beverage and associated products processing</v>
      </c>
      <c r="S387" s="35">
        <f>IFERROR(__xludf.DUMMYFUNCTION("""COMPUTED_VALUE"""),3.0)</f>
        <v>3</v>
      </c>
      <c r="T387" s="35">
        <f>IFERROR(__xludf.DUMMYFUNCTION("""COMPUTED_VALUE"""),4.0)</f>
        <v>4</v>
      </c>
      <c r="U387" s="35">
        <f>IFERROR(__xludf.DUMMYFUNCTION("""COMPUTED_VALUE"""),4.0)</f>
        <v>4</v>
      </c>
      <c r="V387" s="35">
        <f>IFERROR(__xludf.DUMMYFUNCTION("""COMPUTED_VALUE"""),4.0)</f>
        <v>4</v>
      </c>
      <c r="W387" s="35">
        <f>IFERROR(__xludf.DUMMYFUNCTION("""COMPUTED_VALUE"""),3.0)</f>
        <v>3</v>
      </c>
      <c r="X387" s="35">
        <f>IFERROR(__xludf.DUMMYFUNCTION("""COMPUTED_VALUE"""),4.0)</f>
        <v>4</v>
      </c>
      <c r="Y387" s="35">
        <f>IFERROR(__xludf.DUMMYFUNCTION("""COMPUTED_VALUE"""),4.0)</f>
        <v>4</v>
      </c>
      <c r="Z387" s="35">
        <f>IFERROR(__xludf.DUMMYFUNCTION("""COMPUTED_VALUE"""),4.0)</f>
        <v>4</v>
      </c>
    </row>
    <row r="388" ht="15.75" customHeight="1">
      <c r="C388" s="81">
        <v>5245.0</v>
      </c>
      <c r="D388" s="70" t="s">
        <v>539</v>
      </c>
      <c r="E388" s="71" t="str">
        <f>vlookup(C388,'NOC-List'!B$2:C$502,2,False)</f>
        <v>Patternmakers - textile, leather and fur products</v>
      </c>
      <c r="F388" s="72">
        <v>3.0</v>
      </c>
      <c r="G388" s="72">
        <v>3.0</v>
      </c>
      <c r="H388" s="72">
        <v>3.0</v>
      </c>
      <c r="I388" s="72">
        <v>2.0</v>
      </c>
      <c r="J388" s="72">
        <v>2.0</v>
      </c>
      <c r="K388" s="72">
        <v>4.0</v>
      </c>
      <c r="L388" s="72">
        <v>2.0</v>
      </c>
      <c r="M388" s="72">
        <v>2.0</v>
      </c>
      <c r="N388" s="72">
        <v>2.0</v>
      </c>
      <c r="O388" s="73"/>
      <c r="P388" s="35">
        <f>IFERROR(__xludf.DUMMYFUNCTION("""COMPUTED_VALUE"""),2282.0)</f>
        <v>2282</v>
      </c>
      <c r="Q388" s="35" t="str">
        <f>IFERROR(__xludf.DUMMYFUNCTION("query(C388:N1381,""Select D,E,F,G,H,I,J,K,L,M WHERE ""&amp;P388&amp;"" =C Limit 1"")"),"User Support Technicians")</f>
        <v>User Support Technicians</v>
      </c>
      <c r="R388" s="35" t="str">
        <f>IFERROR(__xludf.DUMMYFUNCTION("""COMPUTED_VALUE"""),"User support technicians")</f>
        <v>User support technicians</v>
      </c>
      <c r="S388" s="35">
        <f>IFERROR(__xludf.DUMMYFUNCTION("""COMPUTED_VALUE"""),2.0)</f>
        <v>2</v>
      </c>
      <c r="T388" s="35">
        <f>IFERROR(__xludf.DUMMYFUNCTION("""COMPUTED_VALUE"""),2.0)</f>
        <v>2</v>
      </c>
      <c r="U388" s="35">
        <f>IFERROR(__xludf.DUMMYFUNCTION("""COMPUTED_VALUE"""),3.0)</f>
        <v>3</v>
      </c>
      <c r="V388" s="35">
        <f>IFERROR(__xludf.DUMMYFUNCTION("""COMPUTED_VALUE"""),3.0)</f>
        <v>3</v>
      </c>
      <c r="W388" s="35">
        <f>IFERROR(__xludf.DUMMYFUNCTION("""COMPUTED_VALUE"""),3.0)</f>
        <v>3</v>
      </c>
      <c r="X388" s="35">
        <f>IFERROR(__xludf.DUMMYFUNCTION("""COMPUTED_VALUE"""),3.0)</f>
        <v>3</v>
      </c>
      <c r="Y388" s="35">
        <f>IFERROR(__xludf.DUMMYFUNCTION("""COMPUTED_VALUE"""),4.0)</f>
        <v>4</v>
      </c>
      <c r="Z388" s="35">
        <f>IFERROR(__xludf.DUMMYFUNCTION("""COMPUTED_VALUE"""),4.0)</f>
        <v>4</v>
      </c>
    </row>
    <row r="389" ht="15.75" customHeight="1">
      <c r="C389" s="34">
        <v>7236.0</v>
      </c>
      <c r="D389" s="70" t="s">
        <v>540</v>
      </c>
      <c r="E389" s="71" t="str">
        <f>vlookup(C389,'NOC-List'!B$2:C$502,2,False)</f>
        <v>Ironworkers</v>
      </c>
      <c r="F389" s="72">
        <v>3.0</v>
      </c>
      <c r="G389" s="72">
        <v>4.0</v>
      </c>
      <c r="H389" s="72">
        <v>4.0</v>
      </c>
      <c r="I389" s="72">
        <v>2.0</v>
      </c>
      <c r="J389" s="72">
        <v>3.0</v>
      </c>
      <c r="K389" s="72">
        <v>5.0</v>
      </c>
      <c r="L389" s="72">
        <v>3.0</v>
      </c>
      <c r="M389" s="72">
        <v>4.0</v>
      </c>
      <c r="N389" s="72">
        <v>3.0</v>
      </c>
      <c r="O389" s="73"/>
      <c r="P389" s="35">
        <f>IFERROR(__xludf.DUMMYFUNCTION("""COMPUTED_VALUE"""),2123.0)</f>
        <v>2123</v>
      </c>
      <c r="Q389" s="35" t="str">
        <f>IFERROR(__xludf.DUMMYFUNCTION("query(C389:N1382,""Select D,E,F,G,H,I,J,K,L,M WHERE ""&amp;P389&amp;"" =C Limit 1"")"),"Agricultural Representatives, Consultants and Specialists")</f>
        <v>Agricultural Representatives, Consultants and Specialists</v>
      </c>
      <c r="R389" s="35" t="str">
        <f>IFERROR(__xludf.DUMMYFUNCTION("""COMPUTED_VALUE"""),"Agricultural representatives, consultants and specialists")</f>
        <v>Agricultural representatives, consultants and specialists</v>
      </c>
      <c r="S389" s="35">
        <f>IFERROR(__xludf.DUMMYFUNCTION("""COMPUTED_VALUE"""),1.0)</f>
        <v>1</v>
      </c>
      <c r="T389" s="35">
        <f>IFERROR(__xludf.DUMMYFUNCTION("""COMPUTED_VALUE"""),2.0)</f>
        <v>2</v>
      </c>
      <c r="U389" s="35">
        <f>IFERROR(__xludf.DUMMYFUNCTION("""COMPUTED_VALUE"""),2.0)</f>
        <v>2</v>
      </c>
      <c r="V389" s="35">
        <f>IFERROR(__xludf.DUMMYFUNCTION("""COMPUTED_VALUE"""),4.0)</f>
        <v>4</v>
      </c>
      <c r="W389" s="35">
        <f>IFERROR(__xludf.DUMMYFUNCTION("""COMPUTED_VALUE"""),3.0)</f>
        <v>3</v>
      </c>
      <c r="X389" s="35">
        <f>IFERROR(__xludf.DUMMYFUNCTION("""COMPUTED_VALUE"""),3.0)</f>
        <v>3</v>
      </c>
      <c r="Y389" s="35">
        <f>IFERROR(__xludf.DUMMYFUNCTION("""COMPUTED_VALUE"""),4.0)</f>
        <v>4</v>
      </c>
      <c r="Z389" s="35">
        <f>IFERROR(__xludf.DUMMYFUNCTION("""COMPUTED_VALUE"""),3.0)</f>
        <v>3</v>
      </c>
    </row>
    <row r="390" ht="15.75" customHeight="1">
      <c r="C390" s="34">
        <v>5212.0</v>
      </c>
      <c r="D390" s="70" t="s">
        <v>541</v>
      </c>
      <c r="E390" s="71" t="str">
        <f>vlookup(C390,'NOC-List'!B$2:C$502,2,False)</f>
        <v>Technical occupations related to museums and art galleries</v>
      </c>
      <c r="F390" s="72">
        <v>3.0</v>
      </c>
      <c r="G390" s="72">
        <v>3.0</v>
      </c>
      <c r="H390" s="72">
        <v>3.0</v>
      </c>
      <c r="I390" s="72">
        <v>2.0</v>
      </c>
      <c r="J390" s="72">
        <v>3.0</v>
      </c>
      <c r="K390" s="72">
        <v>4.0</v>
      </c>
      <c r="L390" s="72">
        <v>3.0</v>
      </c>
      <c r="M390" s="72">
        <v>3.0</v>
      </c>
      <c r="N390" s="72">
        <v>3.0</v>
      </c>
      <c r="O390" s="73"/>
      <c r="P390" s="35">
        <f>IFERROR(__xludf.DUMMYFUNCTION("""COMPUTED_VALUE"""),6512.0)</f>
        <v>6512</v>
      </c>
      <c r="Q390" s="35" t="str">
        <f>IFERROR(__xludf.DUMMYFUNCTION("query(C390:N1383,""Select D,E,F,G,H,I,J,K,L,M WHERE ""&amp;P390&amp;"" =C Limit 1"")"),"Bartenders")</f>
        <v>Bartenders</v>
      </c>
      <c r="R390" s="35" t="str">
        <f>IFERROR(__xludf.DUMMYFUNCTION("""COMPUTED_VALUE"""),"Bartenders")</f>
        <v>Bartenders</v>
      </c>
      <c r="S390" s="35">
        <f>IFERROR(__xludf.DUMMYFUNCTION("""COMPUTED_VALUE"""),4.0)</f>
        <v>4</v>
      </c>
      <c r="T390" s="35">
        <f>IFERROR(__xludf.DUMMYFUNCTION("""COMPUTED_VALUE"""),4.0)</f>
        <v>4</v>
      </c>
      <c r="U390" s="35">
        <f>IFERROR(__xludf.DUMMYFUNCTION("""COMPUTED_VALUE"""),3.0)</f>
        <v>3</v>
      </c>
      <c r="V390" s="35">
        <f>IFERROR(__xludf.DUMMYFUNCTION("""COMPUTED_VALUE"""),4.0)</f>
        <v>4</v>
      </c>
      <c r="W390" s="35">
        <f>IFERROR(__xludf.DUMMYFUNCTION("""COMPUTED_VALUE"""),4.0)</f>
        <v>4</v>
      </c>
      <c r="X390" s="35">
        <f>IFERROR(__xludf.DUMMYFUNCTION("""COMPUTED_VALUE"""),4.0)</f>
        <v>4</v>
      </c>
      <c r="Y390" s="35">
        <f>IFERROR(__xludf.DUMMYFUNCTION("""COMPUTED_VALUE"""),3.0)</f>
        <v>3</v>
      </c>
      <c r="Z390" s="35">
        <f>IFERROR(__xludf.DUMMYFUNCTION("""COMPUTED_VALUE"""),4.0)</f>
        <v>4</v>
      </c>
    </row>
    <row r="391" ht="15.75" customHeight="1">
      <c r="C391" s="81">
        <v>5254.0</v>
      </c>
      <c r="D391" s="70" t="s">
        <v>542</v>
      </c>
      <c r="E391" s="71" t="str">
        <f>vlookup(C391,'NOC-List'!B$2:C$502,2,False)</f>
        <v>Program leaders and instructors in recreation, sport and fitness</v>
      </c>
      <c r="F391" s="72">
        <v>3.0</v>
      </c>
      <c r="G391" s="72">
        <v>3.0</v>
      </c>
      <c r="H391" s="72">
        <v>4.0</v>
      </c>
      <c r="I391" s="72">
        <v>3.0</v>
      </c>
      <c r="J391" s="72">
        <v>3.0</v>
      </c>
      <c r="K391" s="72">
        <v>4.0</v>
      </c>
      <c r="L391" s="72">
        <v>3.0</v>
      </c>
      <c r="M391" s="72">
        <v>3.0</v>
      </c>
      <c r="N391" s="72">
        <v>3.0</v>
      </c>
      <c r="O391" s="73"/>
      <c r="P391" s="35">
        <f>IFERROR(__xludf.DUMMYFUNCTION("""COMPUTED_VALUE"""),8421.0)</f>
        <v>8421</v>
      </c>
      <c r="Q391" s="35" t="str">
        <f>IFERROR(__xludf.DUMMYFUNCTION("query(C391:N1384,""Select D,E,F,G,H,I,J,K,L,M WHERE ""&amp;P391&amp;"" =C Limit 1"")"),"Chainsaw and Skidder Operators")</f>
        <v>Chainsaw and Skidder Operators</v>
      </c>
      <c r="R391" s="35" t="str">
        <f>IFERROR(__xludf.DUMMYFUNCTION("""COMPUTED_VALUE"""),"Chain saw and skidder operators")</f>
        <v>Chain saw and skidder operators</v>
      </c>
      <c r="S391" s="35">
        <f>IFERROR(__xludf.DUMMYFUNCTION("""COMPUTED_VALUE"""),4.0)</f>
        <v>4</v>
      </c>
      <c r="T391" s="35">
        <f>IFERROR(__xludf.DUMMYFUNCTION("""COMPUTED_VALUE"""),4.0)</f>
        <v>4</v>
      </c>
      <c r="U391" s="35">
        <f>IFERROR(__xludf.DUMMYFUNCTION("""COMPUTED_VALUE"""),5.0)</f>
        <v>5</v>
      </c>
      <c r="V391" s="35">
        <f>IFERROR(__xludf.DUMMYFUNCTION("""COMPUTED_VALUE"""),3.0)</f>
        <v>3</v>
      </c>
      <c r="W391" s="35">
        <f>IFERROR(__xludf.DUMMYFUNCTION("""COMPUTED_VALUE"""),4.0)</f>
        <v>4</v>
      </c>
      <c r="X391" s="35">
        <f>IFERROR(__xludf.DUMMYFUNCTION("""COMPUTED_VALUE"""),5.0)</f>
        <v>5</v>
      </c>
      <c r="Y391" s="35">
        <f>IFERROR(__xludf.DUMMYFUNCTION("""COMPUTED_VALUE"""),3.0)</f>
        <v>3</v>
      </c>
      <c r="Z391" s="35">
        <f>IFERROR(__xludf.DUMMYFUNCTION("""COMPUTED_VALUE"""),4.0)</f>
        <v>4</v>
      </c>
    </row>
    <row r="392" ht="15.75" customHeight="1">
      <c r="C392" s="34">
        <v>5227.0</v>
      </c>
      <c r="D392" s="70" t="s">
        <v>543</v>
      </c>
      <c r="E392" s="71" t="str">
        <f>vlookup(C392,'NOC-List'!B$2:C$502,2,False)</f>
        <v>Support occupations in motion pictures, broadcasting, photography and the performing arts</v>
      </c>
      <c r="F392" s="72">
        <v>3.0</v>
      </c>
      <c r="G392" s="72">
        <v>3.0</v>
      </c>
      <c r="H392" s="72">
        <v>4.0</v>
      </c>
      <c r="I392" s="72">
        <v>3.0</v>
      </c>
      <c r="J392" s="72">
        <v>3.0</v>
      </c>
      <c r="K392" s="72">
        <v>4.0</v>
      </c>
      <c r="L392" s="72">
        <v>3.0</v>
      </c>
      <c r="M392" s="72">
        <v>3.0</v>
      </c>
      <c r="N392" s="72">
        <v>3.0</v>
      </c>
      <c r="O392" s="73"/>
      <c r="P392" s="35">
        <f>IFERROR(__xludf.DUMMYFUNCTION("""COMPUTED_VALUE"""),1226.0)</f>
        <v>1226</v>
      </c>
      <c r="Q392" s="35" t="str">
        <f>IFERROR(__xludf.DUMMYFUNCTION("query(C392:N1385,""Select D,E,F,G,H,I,J,K,L,M WHERE ""&amp;P392&amp;"" =C Limit 1"")"),"Conference and Event Planners")</f>
        <v>Conference and Event Planners</v>
      </c>
      <c r="R392" s="35" t="str">
        <f>IFERROR(__xludf.DUMMYFUNCTION("""COMPUTED_VALUE"""),"Conference and event planners")</f>
        <v>Conference and event planners</v>
      </c>
      <c r="S392" s="35">
        <f>IFERROR(__xludf.DUMMYFUNCTION("""COMPUTED_VALUE"""),2.0)</f>
        <v>2</v>
      </c>
      <c r="T392" s="35">
        <f>IFERROR(__xludf.DUMMYFUNCTION("""COMPUTED_VALUE"""),2.0)</f>
        <v>2</v>
      </c>
      <c r="U392" s="35">
        <f>IFERROR(__xludf.DUMMYFUNCTION("""COMPUTED_VALUE"""),3.0)</f>
        <v>3</v>
      </c>
      <c r="V392" s="35">
        <f>IFERROR(__xludf.DUMMYFUNCTION("""COMPUTED_VALUE"""),3.0)</f>
        <v>3</v>
      </c>
      <c r="W392" s="35">
        <f>IFERROR(__xludf.DUMMYFUNCTION("""COMPUTED_VALUE"""),4.0)</f>
        <v>4</v>
      </c>
      <c r="X392" s="35">
        <f>IFERROR(__xludf.DUMMYFUNCTION("""COMPUTED_VALUE"""),3.0)</f>
        <v>3</v>
      </c>
      <c r="Y392" s="35">
        <f>IFERROR(__xludf.DUMMYFUNCTION("""COMPUTED_VALUE"""),4.0)</f>
        <v>4</v>
      </c>
      <c r="Z392" s="35">
        <f>IFERROR(__xludf.DUMMYFUNCTION("""COMPUTED_VALUE"""),4.0)</f>
        <v>4</v>
      </c>
    </row>
    <row r="393" ht="15.75" customHeight="1">
      <c r="C393" s="34">
        <v>5227.0</v>
      </c>
      <c r="D393" s="70" t="s">
        <v>544</v>
      </c>
      <c r="E393" s="71" t="str">
        <f>vlookup(C393,'NOC-List'!B$2:C$502,2,False)</f>
        <v>Support occupations in motion pictures, broadcasting, photography and the performing arts</v>
      </c>
      <c r="F393" s="72">
        <v>3.0</v>
      </c>
      <c r="G393" s="72">
        <v>3.0</v>
      </c>
      <c r="H393" s="72">
        <v>3.0</v>
      </c>
      <c r="I393" s="72">
        <v>2.0</v>
      </c>
      <c r="J393" s="72">
        <v>3.0</v>
      </c>
      <c r="K393" s="72">
        <v>4.0</v>
      </c>
      <c r="L393" s="72">
        <v>3.0</v>
      </c>
      <c r="M393" s="72">
        <v>3.0</v>
      </c>
      <c r="N393" s="72">
        <v>3.0</v>
      </c>
      <c r="O393" s="73"/>
      <c r="P393" s="35">
        <f>IFERROR(__xludf.DUMMYFUNCTION("""COMPUTED_VALUE"""),2234.0)</f>
        <v>2234</v>
      </c>
      <c r="Q393" s="35" t="str">
        <f>IFERROR(__xludf.DUMMYFUNCTION("query(C393:N1386,""Select D,E,F,G,H,I,J,K,L,M WHERE ""&amp;P393&amp;"" =C Limit 1"")"),"Construction Estimators")</f>
        <v>Construction Estimators</v>
      </c>
      <c r="R393" s="35" t="str">
        <f>IFERROR(__xludf.DUMMYFUNCTION("""COMPUTED_VALUE"""),"Construction estimators")</f>
        <v>Construction estimators</v>
      </c>
      <c r="S393" s="35">
        <f>IFERROR(__xludf.DUMMYFUNCTION("""COMPUTED_VALUE"""),2.0)</f>
        <v>2</v>
      </c>
      <c r="T393" s="35">
        <f>IFERROR(__xludf.DUMMYFUNCTION("""COMPUTED_VALUE"""),2.0)</f>
        <v>2</v>
      </c>
      <c r="U393" s="35">
        <f>IFERROR(__xludf.DUMMYFUNCTION("""COMPUTED_VALUE"""),2.0)</f>
        <v>2</v>
      </c>
      <c r="V393" s="35">
        <f>IFERROR(__xludf.DUMMYFUNCTION("""COMPUTED_VALUE"""),3.0)</f>
        <v>3</v>
      </c>
      <c r="W393" s="35">
        <f>IFERROR(__xludf.DUMMYFUNCTION("""COMPUTED_VALUE"""),3.0)</f>
        <v>3</v>
      </c>
      <c r="X393" s="35">
        <f>IFERROR(__xludf.DUMMYFUNCTION("""COMPUTED_VALUE"""),3.0)</f>
        <v>3</v>
      </c>
      <c r="Y393" s="35">
        <f>IFERROR(__xludf.DUMMYFUNCTION("""COMPUTED_VALUE"""),4.0)</f>
        <v>4</v>
      </c>
      <c r="Z393" s="35">
        <f>IFERROR(__xludf.DUMMYFUNCTION("""COMPUTED_VALUE"""),4.0)</f>
        <v>4</v>
      </c>
    </row>
    <row r="394" ht="15.75" customHeight="1">
      <c r="C394" s="81">
        <v>3219.0</v>
      </c>
      <c r="D394" s="70" t="s">
        <v>545</v>
      </c>
      <c r="E394" s="71" t="str">
        <f>vlookup(C394,'NOC-List'!B$2:C$502,2,False)</f>
        <v>Other medical technologists and technicians (except dental health)</v>
      </c>
      <c r="F394" s="72">
        <v>3.0</v>
      </c>
      <c r="G394" s="72">
        <v>3.0</v>
      </c>
      <c r="H394" s="72">
        <v>3.0</v>
      </c>
      <c r="I394" s="72">
        <v>2.0</v>
      </c>
      <c r="J394" s="72">
        <v>3.0</v>
      </c>
      <c r="K394" s="72">
        <v>4.0</v>
      </c>
      <c r="L394" s="72">
        <v>3.0</v>
      </c>
      <c r="M394" s="72">
        <v>3.0</v>
      </c>
      <c r="N394" s="72">
        <v>3.0</v>
      </c>
      <c r="O394" s="73"/>
      <c r="P394" s="35">
        <f>IFERROR(__xludf.DUMMYFUNCTION("""COMPUTED_VALUE"""),711.0)</f>
        <v>711</v>
      </c>
      <c r="Q394" s="35" t="str">
        <f>IFERROR(__xludf.DUMMYFUNCTION("query(C394:N1387,""Select D,E,F,G,H,I,J,K,L,M WHERE ""&amp;P394&amp;"" =C Limit 1"")"),"Construction Managers")</f>
        <v>Construction Managers</v>
      </c>
      <c r="R394" s="35" t="str">
        <f>IFERROR(__xludf.DUMMYFUNCTION("""COMPUTED_VALUE"""),"Construction managers")</f>
        <v>Construction managers</v>
      </c>
      <c r="S394" s="35">
        <f>IFERROR(__xludf.DUMMYFUNCTION("""COMPUTED_VALUE"""),2.0)</f>
        <v>2</v>
      </c>
      <c r="T394" s="35">
        <f>IFERROR(__xludf.DUMMYFUNCTION("""COMPUTED_VALUE"""),2.0)</f>
        <v>2</v>
      </c>
      <c r="U394" s="35">
        <f>IFERROR(__xludf.DUMMYFUNCTION("""COMPUTED_VALUE"""),2.0)</f>
        <v>2</v>
      </c>
      <c r="V394" s="35">
        <f>IFERROR(__xludf.DUMMYFUNCTION("""COMPUTED_VALUE"""),3.0)</f>
        <v>3</v>
      </c>
      <c r="W394" s="35">
        <f>IFERROR(__xludf.DUMMYFUNCTION("""COMPUTED_VALUE"""),3.0)</f>
        <v>3</v>
      </c>
      <c r="X394" s="35">
        <f>IFERROR(__xludf.DUMMYFUNCTION("""COMPUTED_VALUE"""),3.0)</f>
        <v>3</v>
      </c>
      <c r="Y394" s="35">
        <f>IFERROR(__xludf.DUMMYFUNCTION("""COMPUTED_VALUE"""),4.0)</f>
        <v>4</v>
      </c>
      <c r="Z394" s="35">
        <f>IFERROR(__xludf.DUMMYFUNCTION("""COMPUTED_VALUE"""),4.0)</f>
        <v>4</v>
      </c>
    </row>
    <row r="395" ht="15.75" customHeight="1">
      <c r="C395" s="34">
        <v>7384.0</v>
      </c>
      <c r="D395" s="70" t="s">
        <v>546</v>
      </c>
      <c r="E395" s="71" t="str">
        <f>vlookup(C395,'NOC-List'!B$2:C$502,2,False)</f>
        <v>Other trades and related occupations, n.e.c.</v>
      </c>
      <c r="F395" s="72">
        <v>3.0</v>
      </c>
      <c r="G395" s="72">
        <v>3.0</v>
      </c>
      <c r="H395" s="72">
        <v>4.0</v>
      </c>
      <c r="I395" s="72">
        <v>3.0</v>
      </c>
      <c r="J395" s="72">
        <v>3.0</v>
      </c>
      <c r="K395" s="72">
        <v>4.0</v>
      </c>
      <c r="L395" s="72">
        <v>3.0</v>
      </c>
      <c r="M395" s="72">
        <v>3.0</v>
      </c>
      <c r="N395" s="72">
        <v>3.0</v>
      </c>
      <c r="O395" s="73"/>
      <c r="P395" s="35">
        <f>IFERROR(__xludf.DUMMYFUNCTION("""COMPUTED_VALUE"""),1513.0)</f>
        <v>1513</v>
      </c>
      <c r="Q395" s="35" t="str">
        <f>IFERROR(__xludf.DUMMYFUNCTION("query(C395:N1388,""Select D,E,F,G,H,I,J,K,L,M WHERE ""&amp;P395&amp;"" =C Limit 1"")"),"Couriers, Messengers and Door-to-Door Distributors")</f>
        <v>Couriers, Messengers and Door-to-Door Distributors</v>
      </c>
      <c r="R395" s="35" t="str">
        <f>IFERROR(__xludf.DUMMYFUNCTION("""COMPUTED_VALUE"""),"Couriers, messengers and door-to-door distributors")</f>
        <v>Couriers, messengers and door-to-door distributors</v>
      </c>
      <c r="S395" s="35">
        <f>IFERROR(__xludf.DUMMYFUNCTION("""COMPUTED_VALUE"""),4.0)</f>
        <v>4</v>
      </c>
      <c r="T395" s="35">
        <f>IFERROR(__xludf.DUMMYFUNCTION("""COMPUTED_VALUE"""),4.0)</f>
        <v>4</v>
      </c>
      <c r="U395" s="35">
        <f>IFERROR(__xludf.DUMMYFUNCTION("""COMPUTED_VALUE"""),4.0)</f>
        <v>4</v>
      </c>
      <c r="V395" s="35">
        <f>IFERROR(__xludf.DUMMYFUNCTION("""COMPUTED_VALUE"""),4.0)</f>
        <v>4</v>
      </c>
      <c r="W395" s="35">
        <f>IFERROR(__xludf.DUMMYFUNCTION("""COMPUTED_VALUE"""),4.0)</f>
        <v>4</v>
      </c>
      <c r="X395" s="35">
        <f>IFERROR(__xludf.DUMMYFUNCTION("""COMPUTED_VALUE"""),3.0)</f>
        <v>3</v>
      </c>
      <c r="Y395" s="35">
        <f>IFERROR(__xludf.DUMMYFUNCTION("""COMPUTED_VALUE"""),4.0)</f>
        <v>4</v>
      </c>
      <c r="Z395" s="35">
        <f>IFERROR(__xludf.DUMMYFUNCTION("""COMPUTED_VALUE"""),4.0)</f>
        <v>4</v>
      </c>
    </row>
    <row r="396" ht="15.75" customHeight="1">
      <c r="C396" s="34">
        <v>2255.0</v>
      </c>
      <c r="D396" s="70" t="s">
        <v>547</v>
      </c>
      <c r="E396" s="71" t="str">
        <f>vlookup(C396,'NOC-List'!B$2:C$502,2,False)</f>
        <v>Technical occupations in geomatics and meteorology</v>
      </c>
      <c r="F396" s="72">
        <v>2.0</v>
      </c>
      <c r="G396" s="72">
        <v>3.0</v>
      </c>
      <c r="H396" s="72">
        <v>2.0</v>
      </c>
      <c r="I396" s="72">
        <v>2.0</v>
      </c>
      <c r="J396" s="72">
        <v>2.0</v>
      </c>
      <c r="K396" s="72">
        <v>3.0</v>
      </c>
      <c r="L396" s="72">
        <v>3.0</v>
      </c>
      <c r="M396" s="72">
        <v>3.0</v>
      </c>
      <c r="N396" s="72">
        <v>3.0</v>
      </c>
      <c r="O396" s="73"/>
      <c r="P396" s="35">
        <f>IFERROR(__xludf.DUMMYFUNCTION("""COMPUTED_VALUE"""),2172.0)</f>
        <v>2172</v>
      </c>
      <c r="Q396" s="35" t="str">
        <f>IFERROR(__xludf.DUMMYFUNCTION("query(C396:N1389,""Select D,E,F,G,H,I,J,K,L,M WHERE ""&amp;P396&amp;"" =C Limit 1"")"),"Data Administrators")</f>
        <v>Data Administrators</v>
      </c>
      <c r="R396" s="35" t="str">
        <f>IFERROR(__xludf.DUMMYFUNCTION("""COMPUTED_VALUE"""),"Database analysts and data administrators")</f>
        <v>Database analysts and data administrators</v>
      </c>
      <c r="S396" s="35">
        <f>IFERROR(__xludf.DUMMYFUNCTION("""COMPUTED_VALUE"""),2.0)</f>
        <v>2</v>
      </c>
      <c r="T396" s="35">
        <f>IFERROR(__xludf.DUMMYFUNCTION("""COMPUTED_VALUE"""),2.0)</f>
        <v>2</v>
      </c>
      <c r="U396" s="35">
        <f>IFERROR(__xludf.DUMMYFUNCTION("""COMPUTED_VALUE"""),2.0)</f>
        <v>2</v>
      </c>
      <c r="V396" s="35">
        <f>IFERROR(__xludf.DUMMYFUNCTION("""COMPUTED_VALUE"""),2.0)</f>
        <v>2</v>
      </c>
      <c r="W396" s="35">
        <f>IFERROR(__xludf.DUMMYFUNCTION("""COMPUTED_VALUE"""),3.0)</f>
        <v>3</v>
      </c>
      <c r="X396" s="35">
        <f>IFERROR(__xludf.DUMMYFUNCTION("""COMPUTED_VALUE"""),2.0)</f>
        <v>2</v>
      </c>
      <c r="Y396" s="35">
        <f>IFERROR(__xludf.DUMMYFUNCTION("""COMPUTED_VALUE"""),4.0)</f>
        <v>4</v>
      </c>
      <c r="Z396" s="35">
        <f>IFERROR(__xludf.DUMMYFUNCTION("""COMPUTED_VALUE"""),4.0)</f>
        <v>4</v>
      </c>
    </row>
    <row r="397" ht="15.75" customHeight="1">
      <c r="C397" s="34">
        <v>9416.0</v>
      </c>
      <c r="D397" s="70" t="s">
        <v>548</v>
      </c>
      <c r="E397" s="71" t="str">
        <f>vlookup(C397,'NOC-List'!B$2:C$502,2,False)</f>
        <v>Metalworking and forging machine operators</v>
      </c>
      <c r="F397" s="72">
        <v>3.0</v>
      </c>
      <c r="G397" s="72">
        <v>4.0</v>
      </c>
      <c r="H397" s="72">
        <v>4.0</v>
      </c>
      <c r="I397" s="72">
        <v>3.0</v>
      </c>
      <c r="J397" s="72">
        <v>3.0</v>
      </c>
      <c r="K397" s="72">
        <v>4.0</v>
      </c>
      <c r="L397" s="72">
        <v>3.0</v>
      </c>
      <c r="M397" s="72">
        <v>4.0</v>
      </c>
      <c r="N397" s="72">
        <v>3.0</v>
      </c>
      <c r="O397" s="73"/>
      <c r="P397" s="35">
        <f>IFERROR(__xludf.DUMMYFUNCTION("""COMPUTED_VALUE"""),432.0)</f>
        <v>432</v>
      </c>
      <c r="Q397" s="35" t="str">
        <f>IFERROR(__xludf.DUMMYFUNCTION("query(C397:N1390,""Select D,E,F,G,H,I,J,K,L,M WHERE ""&amp;P397&amp;"" =C Limit 1"")"),"Fire Chiefs and Senior Firefighting Officers")</f>
        <v>Fire Chiefs and Senior Firefighting Officers</v>
      </c>
      <c r="R397" s="35" t="str">
        <f>IFERROR(__xludf.DUMMYFUNCTION("""COMPUTED_VALUE"""),"Fire chiefs and senior firefighting officers")</f>
        <v>Fire chiefs and senior firefighting officers</v>
      </c>
      <c r="S397" s="35">
        <f>IFERROR(__xludf.DUMMYFUNCTION("""COMPUTED_VALUE"""),2.0)</f>
        <v>2</v>
      </c>
      <c r="T397" s="35">
        <f>IFERROR(__xludf.DUMMYFUNCTION("""COMPUTED_VALUE"""),2.0)</f>
        <v>2</v>
      </c>
      <c r="U397" s="35">
        <f>IFERROR(__xludf.DUMMYFUNCTION("""COMPUTED_VALUE"""),3.0)</f>
        <v>3</v>
      </c>
      <c r="V397" s="35">
        <f>IFERROR(__xludf.DUMMYFUNCTION("""COMPUTED_VALUE"""),3.0)</f>
        <v>3</v>
      </c>
      <c r="W397" s="35">
        <f>IFERROR(__xludf.DUMMYFUNCTION("""COMPUTED_VALUE"""),3.0)</f>
        <v>3</v>
      </c>
      <c r="X397" s="35">
        <f>IFERROR(__xludf.DUMMYFUNCTION("""COMPUTED_VALUE"""),4.0)</f>
        <v>4</v>
      </c>
      <c r="Y397" s="35">
        <f>IFERROR(__xludf.DUMMYFUNCTION("""COMPUTED_VALUE"""),4.0)</f>
        <v>4</v>
      </c>
      <c r="Z397" s="35">
        <f>IFERROR(__xludf.DUMMYFUNCTION("""COMPUTED_VALUE"""),4.0)</f>
        <v>4</v>
      </c>
    </row>
    <row r="398" ht="15.75" customHeight="1">
      <c r="C398" s="34">
        <v>7251.0</v>
      </c>
      <c r="D398" s="70" t="s">
        <v>549</v>
      </c>
      <c r="E398" s="71" t="str">
        <f>vlookup(C398,'NOC-List'!B$2:C$502,2,False)</f>
        <v>Plumbers</v>
      </c>
      <c r="F398" s="72">
        <v>3.0</v>
      </c>
      <c r="G398" s="72">
        <v>4.0</v>
      </c>
      <c r="H398" s="72">
        <v>3.0</v>
      </c>
      <c r="I398" s="72">
        <v>3.0</v>
      </c>
      <c r="J398" s="72">
        <v>3.0</v>
      </c>
      <c r="K398" s="72">
        <v>4.0</v>
      </c>
      <c r="L398" s="72">
        <v>3.0</v>
      </c>
      <c r="M398" s="72">
        <v>3.0</v>
      </c>
      <c r="N398" s="72">
        <v>3.0</v>
      </c>
      <c r="O398" s="73"/>
      <c r="P398" s="35">
        <f>IFERROR(__xludf.DUMMYFUNCTION("""COMPUTED_VALUE"""),3112.0)</f>
        <v>3112</v>
      </c>
      <c r="Q398" s="35" t="str">
        <f>IFERROR(__xludf.DUMMYFUNCTION("query(C398:N1391,""Select D,E,F,G,H,I,J,K,L,M WHERE ""&amp;P398&amp;"" =C Limit 1"")"),"General Practitioners and Family Physicians")</f>
        <v>General Practitioners and Family Physicians</v>
      </c>
      <c r="R398" s="35" t="str">
        <f>IFERROR(__xludf.DUMMYFUNCTION("""COMPUTED_VALUE"""),"General practitioners and family physicians")</f>
        <v>General practitioners and family physicians</v>
      </c>
      <c r="S398" s="35">
        <f>IFERROR(__xludf.DUMMYFUNCTION("""COMPUTED_VALUE"""),1.0)</f>
        <v>1</v>
      </c>
      <c r="T398" s="35">
        <f>IFERROR(__xludf.DUMMYFUNCTION("""COMPUTED_VALUE"""),1.0)</f>
        <v>1</v>
      </c>
      <c r="U398" s="35">
        <f>IFERROR(__xludf.DUMMYFUNCTION("""COMPUTED_VALUE"""),2.0)</f>
        <v>2</v>
      </c>
      <c r="V398" s="35">
        <f>IFERROR(__xludf.DUMMYFUNCTION("""COMPUTED_VALUE"""),2.0)</f>
        <v>2</v>
      </c>
      <c r="W398" s="35">
        <f>IFERROR(__xludf.DUMMYFUNCTION("""COMPUTED_VALUE"""),2.0)</f>
        <v>2</v>
      </c>
      <c r="X398" s="35">
        <f>IFERROR(__xludf.DUMMYFUNCTION("""COMPUTED_VALUE"""),2.0)</f>
        <v>2</v>
      </c>
      <c r="Y398" s="35">
        <f>IFERROR(__xludf.DUMMYFUNCTION("""COMPUTED_VALUE"""),3.0)</f>
        <v>3</v>
      </c>
      <c r="Z398" s="35">
        <f>IFERROR(__xludf.DUMMYFUNCTION("""COMPUTED_VALUE"""),2.0)</f>
        <v>2</v>
      </c>
    </row>
    <row r="399" ht="15.75" customHeight="1">
      <c r="C399" s="34">
        <v>7441.0</v>
      </c>
      <c r="D399" s="70" t="s">
        <v>550</v>
      </c>
      <c r="E399" s="71" t="str">
        <f>vlookup(C399,'NOC-List'!B$2:C$502,2,False)</f>
        <v>Residential and commercial installers and servicers</v>
      </c>
      <c r="F399" s="72">
        <v>3.0</v>
      </c>
      <c r="G399" s="72">
        <v>4.0</v>
      </c>
      <c r="H399" s="72">
        <v>4.0</v>
      </c>
      <c r="I399" s="72">
        <v>3.0</v>
      </c>
      <c r="J399" s="72">
        <v>3.0</v>
      </c>
      <c r="K399" s="72">
        <v>4.0</v>
      </c>
      <c r="L399" s="72">
        <v>3.0</v>
      </c>
      <c r="M399" s="72">
        <v>4.0</v>
      </c>
      <c r="N399" s="72">
        <v>3.0</v>
      </c>
      <c r="O399" s="73"/>
      <c r="P399" s="35">
        <f>IFERROR(__xludf.DUMMYFUNCTION("""COMPUTED_VALUE"""),6742.0)</f>
        <v>6742</v>
      </c>
      <c r="Q399" s="35" t="str">
        <f>IFERROR(__xludf.DUMMYFUNCTION("query(C399:N1392,""Select D,E,F,G,H,I,J,K,L,M WHERE ""&amp;P399&amp;"" =C Limit 1"")"),"Laundromat Attendants")</f>
        <v>Laundromat Attendants</v>
      </c>
      <c r="R399" s="35" t="str">
        <f>IFERROR(__xludf.DUMMYFUNCTION("""COMPUTED_VALUE"""),"Other service support occupations, n.e.c.")</f>
        <v>Other service support occupations, n.e.c.</v>
      </c>
      <c r="S399" s="35">
        <f>IFERROR(__xludf.DUMMYFUNCTION("""COMPUTED_VALUE"""),4.0)</f>
        <v>4</v>
      </c>
      <c r="T399" s="35">
        <f>IFERROR(__xludf.DUMMYFUNCTION("""COMPUTED_VALUE"""),4.0)</f>
        <v>4</v>
      </c>
      <c r="U399" s="35">
        <f>IFERROR(__xludf.DUMMYFUNCTION("""COMPUTED_VALUE"""),4.0)</f>
        <v>4</v>
      </c>
      <c r="V399" s="35">
        <f>IFERROR(__xludf.DUMMYFUNCTION("""COMPUTED_VALUE"""),4.0)</f>
        <v>4</v>
      </c>
      <c r="W399" s="35">
        <f>IFERROR(__xludf.DUMMYFUNCTION("""COMPUTED_VALUE"""),4.0)</f>
        <v>4</v>
      </c>
      <c r="X399" s="35">
        <f>IFERROR(__xludf.DUMMYFUNCTION("""COMPUTED_VALUE"""),4.0)</f>
        <v>4</v>
      </c>
      <c r="Y399" s="35">
        <f>IFERROR(__xludf.DUMMYFUNCTION("""COMPUTED_VALUE"""),4.0)</f>
        <v>4</v>
      </c>
      <c r="Z399" s="35">
        <f>IFERROR(__xludf.DUMMYFUNCTION("""COMPUTED_VALUE"""),4.0)</f>
        <v>4</v>
      </c>
    </row>
    <row r="400" ht="15.75" customHeight="1">
      <c r="C400" s="34">
        <v>7291.0</v>
      </c>
      <c r="D400" s="70" t="s">
        <v>551</v>
      </c>
      <c r="E400" s="71" t="str">
        <f>vlookup(C400,'NOC-List'!B$2:C$502,2,False)</f>
        <v>Roofers and shinglers</v>
      </c>
      <c r="F400" s="72">
        <v>3.0</v>
      </c>
      <c r="G400" s="72">
        <v>4.0</v>
      </c>
      <c r="H400" s="72">
        <v>3.0</v>
      </c>
      <c r="I400" s="72">
        <v>3.0</v>
      </c>
      <c r="J400" s="72">
        <v>3.0</v>
      </c>
      <c r="K400" s="72">
        <v>4.0</v>
      </c>
      <c r="L400" s="72">
        <v>3.0</v>
      </c>
      <c r="M400" s="72">
        <v>3.0</v>
      </c>
      <c r="N400" s="72">
        <v>3.0</v>
      </c>
      <c r="O400" s="73"/>
      <c r="P400" s="35">
        <f>IFERROR(__xludf.DUMMYFUNCTION("""COMPUTED_VALUE"""),4211.0)</f>
        <v>4211</v>
      </c>
      <c r="Q400" s="35" t="str">
        <f>IFERROR(__xludf.DUMMYFUNCTION("query(C400:N1393,""Select D,E,F,G,H,I,J,K,L,M WHERE ""&amp;P400&amp;"" =C Limit 1"")"),"Legal Assistants and Paralegals")</f>
        <v>Legal Assistants and Paralegals</v>
      </c>
      <c r="R400" s="35" t="str">
        <f>IFERROR(__xludf.DUMMYFUNCTION("""COMPUTED_VALUE"""),"Paralegal and related occupations")</f>
        <v>Paralegal and related occupations</v>
      </c>
      <c r="S400" s="35">
        <f>IFERROR(__xludf.DUMMYFUNCTION("""COMPUTED_VALUE"""),3.0)</f>
        <v>3</v>
      </c>
      <c r="T400" s="35">
        <f>IFERROR(__xludf.DUMMYFUNCTION("""COMPUTED_VALUE"""),3.0)</f>
        <v>3</v>
      </c>
      <c r="U400" s="35">
        <f>IFERROR(__xludf.DUMMYFUNCTION("""COMPUTED_VALUE"""),3.0)</f>
        <v>3</v>
      </c>
      <c r="V400" s="35">
        <f>IFERROR(__xludf.DUMMYFUNCTION("""COMPUTED_VALUE"""),4.0)</f>
        <v>4</v>
      </c>
      <c r="W400" s="35">
        <f>IFERROR(__xludf.DUMMYFUNCTION("""COMPUTED_VALUE"""),4.0)</f>
        <v>4</v>
      </c>
      <c r="X400" s="35">
        <f>IFERROR(__xludf.DUMMYFUNCTION("""COMPUTED_VALUE"""),3.0)</f>
        <v>3</v>
      </c>
      <c r="Y400" s="35">
        <f>IFERROR(__xludf.DUMMYFUNCTION("""COMPUTED_VALUE"""),4.0)</f>
        <v>4</v>
      </c>
      <c r="Z400" s="35">
        <f>IFERROR(__xludf.DUMMYFUNCTION("""COMPUTED_VALUE"""),4.0)</f>
        <v>4</v>
      </c>
    </row>
    <row r="401" ht="15.75" customHeight="1">
      <c r="C401" s="34">
        <v>5136.0</v>
      </c>
      <c r="D401" s="70" t="s">
        <v>552</v>
      </c>
      <c r="E401" s="71" t="str">
        <f>vlookup(C401,'NOC-List'!B$2:C$502,2,False)</f>
        <v>Painters, sculptors and other visual artists</v>
      </c>
      <c r="F401" s="72">
        <v>2.0</v>
      </c>
      <c r="G401" s="72">
        <v>3.0</v>
      </c>
      <c r="H401" s="72">
        <v>4.0</v>
      </c>
      <c r="I401" s="72">
        <v>2.0</v>
      </c>
      <c r="J401" s="72">
        <v>2.0</v>
      </c>
      <c r="K401" s="72">
        <v>5.0</v>
      </c>
      <c r="L401" s="72">
        <v>2.0</v>
      </c>
      <c r="M401" s="72">
        <v>2.0</v>
      </c>
      <c r="N401" s="72">
        <v>3.0</v>
      </c>
      <c r="O401" s="73"/>
      <c r="P401" s="35">
        <f>IFERROR(__xludf.DUMMYFUNCTION("""COMPUTED_VALUE"""),11.0)</f>
        <v>11</v>
      </c>
      <c r="Q401" s="35" t="str">
        <f>IFERROR(__xludf.DUMMYFUNCTION("query(C401:N1394,""Select D,E,F,G,H,I,J,K,L,M WHERE ""&amp;P401&amp;"" =C Limit 1"")"),"Legislators")</f>
        <v>Legislators</v>
      </c>
      <c r="R401" s="35" t="str">
        <f>IFERROR(__xludf.DUMMYFUNCTION("""COMPUTED_VALUE"""),"Legislators")</f>
        <v>Legislators</v>
      </c>
      <c r="S401" s="35">
        <f>IFERROR(__xludf.DUMMYFUNCTION("""COMPUTED_VALUE"""),2.0)</f>
        <v>2</v>
      </c>
      <c r="T401" s="35">
        <f>IFERROR(__xludf.DUMMYFUNCTION("""COMPUTED_VALUE"""),2.0)</f>
        <v>2</v>
      </c>
      <c r="U401" s="35">
        <f>IFERROR(__xludf.DUMMYFUNCTION("""COMPUTED_VALUE"""),3.0)</f>
        <v>3</v>
      </c>
      <c r="V401" s="35">
        <f>IFERROR(__xludf.DUMMYFUNCTION("""COMPUTED_VALUE"""),4.0)</f>
        <v>4</v>
      </c>
      <c r="W401" s="35">
        <f>IFERROR(__xludf.DUMMYFUNCTION("""COMPUTED_VALUE"""),4.0)</f>
        <v>4</v>
      </c>
      <c r="X401" s="35">
        <f>IFERROR(__xludf.DUMMYFUNCTION("""COMPUTED_VALUE"""),3.0)</f>
        <v>3</v>
      </c>
      <c r="Y401" s="35">
        <f>IFERROR(__xludf.DUMMYFUNCTION("""COMPUTED_VALUE"""),4.0)</f>
        <v>4</v>
      </c>
      <c r="Z401" s="35">
        <f>IFERROR(__xludf.DUMMYFUNCTION("""COMPUTED_VALUE"""),4.0)</f>
        <v>4</v>
      </c>
    </row>
    <row r="402" ht="15.75" customHeight="1">
      <c r="C402" s="34">
        <v>7384.0</v>
      </c>
      <c r="D402" s="70" t="s">
        <v>553</v>
      </c>
      <c r="E402" s="71" t="str">
        <f>vlookup(C402,'NOC-List'!B$2:C$502,2,False)</f>
        <v>Other trades and related occupations, n.e.c.</v>
      </c>
      <c r="F402" s="72">
        <v>3.0</v>
      </c>
      <c r="G402" s="72">
        <v>4.0</v>
      </c>
      <c r="H402" s="72">
        <v>4.0</v>
      </c>
      <c r="I402" s="72">
        <v>3.0</v>
      </c>
      <c r="J402" s="72">
        <v>4.0</v>
      </c>
      <c r="K402" s="72">
        <v>4.0</v>
      </c>
      <c r="L402" s="72">
        <v>3.0</v>
      </c>
      <c r="M402" s="72">
        <v>3.0</v>
      </c>
      <c r="N402" s="72">
        <v>3.0</v>
      </c>
      <c r="O402" s="73"/>
      <c r="P402" s="35">
        <f>IFERROR(__xludf.DUMMYFUNCTION("""COMPUTED_VALUE"""),5111.0)</f>
        <v>5111</v>
      </c>
      <c r="Q402" s="35" t="str">
        <f>IFERROR(__xludf.DUMMYFUNCTION("query(C402:N1395,""Select D,E,F,G,H,I,J,K,L,M WHERE ""&amp;P402&amp;"" =C Limit 1"")"),"Librarians")</f>
        <v>Librarians</v>
      </c>
      <c r="R402" s="35" t="str">
        <f>IFERROR(__xludf.DUMMYFUNCTION("""COMPUTED_VALUE"""),"Librarians")</f>
        <v>Librarians</v>
      </c>
      <c r="S402" s="35">
        <f>IFERROR(__xludf.DUMMYFUNCTION("""COMPUTED_VALUE"""),2.0)</f>
        <v>2</v>
      </c>
      <c r="T402" s="35">
        <f>IFERROR(__xludf.DUMMYFUNCTION("""COMPUTED_VALUE"""),2.0)</f>
        <v>2</v>
      </c>
      <c r="U402" s="35">
        <f>IFERROR(__xludf.DUMMYFUNCTION("""COMPUTED_VALUE"""),3.0)</f>
        <v>3</v>
      </c>
      <c r="V402" s="35">
        <f>IFERROR(__xludf.DUMMYFUNCTION("""COMPUTED_VALUE"""),4.0)</f>
        <v>4</v>
      </c>
      <c r="W402" s="35">
        <f>IFERROR(__xludf.DUMMYFUNCTION("""COMPUTED_VALUE"""),4.0)</f>
        <v>4</v>
      </c>
      <c r="X402" s="35">
        <f>IFERROR(__xludf.DUMMYFUNCTION("""COMPUTED_VALUE"""),3.0)</f>
        <v>3</v>
      </c>
      <c r="Y402" s="35">
        <f>IFERROR(__xludf.DUMMYFUNCTION("""COMPUTED_VALUE"""),4.0)</f>
        <v>4</v>
      </c>
      <c r="Z402" s="35">
        <f>IFERROR(__xludf.DUMMYFUNCTION("""COMPUTED_VALUE"""),4.0)</f>
        <v>4</v>
      </c>
    </row>
    <row r="403" ht="15.75" customHeight="1">
      <c r="C403" s="34">
        <v>5252.0</v>
      </c>
      <c r="D403" s="70" t="s">
        <v>554</v>
      </c>
      <c r="E403" s="71" t="str">
        <f>vlookup(C403,'NOC-List'!B$2:C$502,2,False)</f>
        <v>Coaches</v>
      </c>
      <c r="F403" s="72">
        <v>3.0</v>
      </c>
      <c r="G403" s="72">
        <v>3.0</v>
      </c>
      <c r="H403" s="72">
        <v>4.0</v>
      </c>
      <c r="I403" s="72">
        <v>3.0</v>
      </c>
      <c r="J403" s="72">
        <v>3.0</v>
      </c>
      <c r="K403" s="72">
        <v>4.0</v>
      </c>
      <c r="L403" s="72">
        <v>3.0</v>
      </c>
      <c r="M403" s="72">
        <v>3.0</v>
      </c>
      <c r="N403" s="72">
        <v>3.0</v>
      </c>
      <c r="O403" s="73"/>
      <c r="P403" s="35">
        <f>IFERROR(__xludf.DUMMYFUNCTION("""COMPUTED_VALUE"""),6511.0)</f>
        <v>6511</v>
      </c>
      <c r="Q403" s="35" t="str">
        <f>IFERROR(__xludf.DUMMYFUNCTION("query(C403:N1396,""Select D,E,F,G,H,I,J,K,L,M WHERE ""&amp;P403&amp;"" =C Limit 1"")"),"Maîtres d'hôtel and Hosts/Hostesses")</f>
        <v>Maîtres d'hôtel and Hosts/Hostesses</v>
      </c>
      <c r="R403" s="35" t="str">
        <f>IFERROR(__xludf.DUMMYFUNCTION("""COMPUTED_VALUE"""),"Maîtres d'hôtel and hosts/hostesses")</f>
        <v>Maîtres d'hôtel and hosts/hostesses</v>
      </c>
      <c r="S403" s="35">
        <f>IFERROR(__xludf.DUMMYFUNCTION("""COMPUTED_VALUE"""),3.0)</f>
        <v>3</v>
      </c>
      <c r="T403" s="35">
        <f>IFERROR(__xludf.DUMMYFUNCTION("""COMPUTED_VALUE"""),3.0)</f>
        <v>3</v>
      </c>
      <c r="U403" s="35">
        <f>IFERROR(__xludf.DUMMYFUNCTION("""COMPUTED_VALUE"""),4.0)</f>
        <v>4</v>
      </c>
      <c r="V403" s="35">
        <f>IFERROR(__xludf.DUMMYFUNCTION("""COMPUTED_VALUE"""),4.0)</f>
        <v>4</v>
      </c>
      <c r="W403" s="35">
        <f>IFERROR(__xludf.DUMMYFUNCTION("""COMPUTED_VALUE"""),4.0)</f>
        <v>4</v>
      </c>
      <c r="X403" s="35">
        <f>IFERROR(__xludf.DUMMYFUNCTION("""COMPUTED_VALUE"""),4.0)</f>
        <v>4</v>
      </c>
      <c r="Y403" s="35">
        <f>IFERROR(__xludf.DUMMYFUNCTION("""COMPUTED_VALUE"""),4.0)</f>
        <v>4</v>
      </c>
      <c r="Z403" s="35">
        <f>IFERROR(__xludf.DUMMYFUNCTION("""COMPUTED_VALUE"""),4.0)</f>
        <v>4</v>
      </c>
    </row>
    <row r="404" ht="15.75" customHeight="1">
      <c r="C404" s="34">
        <v>7384.0</v>
      </c>
      <c r="D404" s="70" t="s">
        <v>555</v>
      </c>
      <c r="E404" s="71" t="str">
        <f>vlookup(C404,'NOC-List'!B$2:C$502,2,False)</f>
        <v>Other trades and related occupations, n.e.c.</v>
      </c>
      <c r="F404" s="72">
        <v>3.0</v>
      </c>
      <c r="G404" s="72">
        <v>4.0</v>
      </c>
      <c r="H404" s="72">
        <v>4.0</v>
      </c>
      <c r="I404" s="72">
        <v>3.0</v>
      </c>
      <c r="J404" s="72">
        <v>3.0</v>
      </c>
      <c r="K404" s="72">
        <v>4.0</v>
      </c>
      <c r="L404" s="72">
        <v>3.0</v>
      </c>
      <c r="M404" s="72">
        <v>4.0</v>
      </c>
      <c r="N404" s="72">
        <v>3.0</v>
      </c>
      <c r="O404" s="73"/>
      <c r="P404" s="35">
        <f>IFERROR(__xludf.DUMMYFUNCTION("""COMPUTED_VALUE"""),2142.0)</f>
        <v>2142</v>
      </c>
      <c r="Q404" s="35" t="str">
        <f>IFERROR(__xludf.DUMMYFUNCTION("query(C404:N1397,""Select D,E,F,G,H,I,J,K,L,M WHERE ""&amp;P404&amp;"" =C Limit 1"")"),"Metallurgical and Materials Engineers")</f>
        <v>Metallurgical and Materials Engineers</v>
      </c>
      <c r="R404" s="35" t="str">
        <f>IFERROR(__xludf.DUMMYFUNCTION("""COMPUTED_VALUE"""),"Metallurgical and materials engineers")</f>
        <v>Metallurgical and materials engineers</v>
      </c>
      <c r="S404" s="35">
        <f>IFERROR(__xludf.DUMMYFUNCTION("""COMPUTED_VALUE"""),1.0)</f>
        <v>1</v>
      </c>
      <c r="T404" s="35">
        <f>IFERROR(__xludf.DUMMYFUNCTION("""COMPUTED_VALUE"""),2.0)</f>
        <v>2</v>
      </c>
      <c r="U404" s="35">
        <f>IFERROR(__xludf.DUMMYFUNCTION("""COMPUTED_VALUE"""),1.0)</f>
        <v>1</v>
      </c>
      <c r="V404" s="35">
        <f>IFERROR(__xludf.DUMMYFUNCTION("""COMPUTED_VALUE"""),2.0)</f>
        <v>2</v>
      </c>
      <c r="W404" s="35">
        <f>IFERROR(__xludf.DUMMYFUNCTION("""COMPUTED_VALUE"""),3.0)</f>
        <v>3</v>
      </c>
      <c r="X404" s="35">
        <f>IFERROR(__xludf.DUMMYFUNCTION("""COMPUTED_VALUE"""),3.0)</f>
        <v>3</v>
      </c>
      <c r="Y404" s="35">
        <f>IFERROR(__xludf.DUMMYFUNCTION("""COMPUTED_VALUE"""),4.0)</f>
        <v>4</v>
      </c>
      <c r="Z404" s="35">
        <f>IFERROR(__xludf.DUMMYFUNCTION("""COMPUTED_VALUE"""),4.0)</f>
        <v>4</v>
      </c>
    </row>
    <row r="405" ht="15.75" customHeight="1">
      <c r="C405" s="34">
        <v>8252.0</v>
      </c>
      <c r="D405" s="70" t="s">
        <v>556</v>
      </c>
      <c r="E405" s="71" t="str">
        <f>vlookup(C405,'NOC-List'!B$2:C$502,2,False)</f>
        <v>Agricultural service contractors, farm supervisors and specialized livestock workers</v>
      </c>
      <c r="F405" s="72">
        <v>3.0</v>
      </c>
      <c r="G405" s="72">
        <v>4.0</v>
      </c>
      <c r="H405" s="72">
        <v>4.0</v>
      </c>
      <c r="I405" s="72">
        <v>4.0</v>
      </c>
      <c r="J405" s="72">
        <v>3.0</v>
      </c>
      <c r="K405" s="72">
        <v>4.0</v>
      </c>
      <c r="L405" s="72">
        <v>3.0</v>
      </c>
      <c r="M405" s="72">
        <v>3.0</v>
      </c>
      <c r="N405" s="72">
        <v>3.0</v>
      </c>
      <c r="O405" s="73"/>
      <c r="P405" s="35">
        <f>IFERROR(__xludf.DUMMYFUNCTION("""COMPUTED_VALUE"""),2114.0)</f>
        <v>2114</v>
      </c>
      <c r="Q405" s="35" t="str">
        <f>IFERROR(__xludf.DUMMYFUNCTION("query(C405:N1398,""Select D,E,F,G,H,I,J,K,L,M WHERE ""&amp;P405&amp;"" =C Limit 1"")"),"Meteorologists")</f>
        <v>Meteorologists</v>
      </c>
      <c r="R405" s="35" t="str">
        <f>IFERROR(__xludf.DUMMYFUNCTION("""COMPUTED_VALUE"""),"Meteorologists and climatologists")</f>
        <v>Meteorologists and climatologists</v>
      </c>
      <c r="S405" s="35">
        <f>IFERROR(__xludf.DUMMYFUNCTION("""COMPUTED_VALUE"""),1.0)</f>
        <v>1</v>
      </c>
      <c r="T405" s="35">
        <f>IFERROR(__xludf.DUMMYFUNCTION("""COMPUTED_VALUE"""),1.0)</f>
        <v>1</v>
      </c>
      <c r="U405" s="35">
        <f>IFERROR(__xludf.DUMMYFUNCTION("""COMPUTED_VALUE"""),1.0)</f>
        <v>1</v>
      </c>
      <c r="V405" s="35">
        <f>IFERROR(__xludf.DUMMYFUNCTION("""COMPUTED_VALUE"""),1.0)</f>
        <v>1</v>
      </c>
      <c r="W405" s="35">
        <f>IFERROR(__xludf.DUMMYFUNCTION("""COMPUTED_VALUE"""),2.0)</f>
        <v>2</v>
      </c>
      <c r="X405" s="35">
        <f>IFERROR(__xludf.DUMMYFUNCTION("""COMPUTED_VALUE"""),3.0)</f>
        <v>3</v>
      </c>
      <c r="Y405" s="35">
        <f>IFERROR(__xludf.DUMMYFUNCTION("""COMPUTED_VALUE"""),4.0)</f>
        <v>4</v>
      </c>
      <c r="Z405" s="35">
        <f>IFERROR(__xludf.DUMMYFUNCTION("""COMPUTED_VALUE"""),4.0)</f>
        <v>4</v>
      </c>
    </row>
    <row r="406" ht="15.75" customHeight="1">
      <c r="C406" s="34">
        <v>7201.0</v>
      </c>
      <c r="D406" s="70" t="s">
        <v>557</v>
      </c>
      <c r="E406" s="71" t="str">
        <f>vlookup(C406,'NOC-List'!B$2:C$502,2,False)</f>
        <v>Contractors and supervisors, machining, metal forming, shaping and erecting trades and related occupations</v>
      </c>
      <c r="F406" s="72">
        <v>3.0</v>
      </c>
      <c r="G406" s="72">
        <v>3.0</v>
      </c>
      <c r="H406" s="72">
        <v>3.0</v>
      </c>
      <c r="I406" s="72">
        <v>3.0</v>
      </c>
      <c r="J406" s="72">
        <v>3.0</v>
      </c>
      <c r="K406" s="72">
        <v>3.0</v>
      </c>
      <c r="L406" s="72">
        <v>3.0</v>
      </c>
      <c r="M406" s="72">
        <v>3.0</v>
      </c>
      <c r="N406" s="72">
        <v>3.0</v>
      </c>
      <c r="O406" s="73"/>
      <c r="P406" s="35">
        <f>IFERROR(__xludf.DUMMYFUNCTION("""COMPUTED_VALUE"""),2143.0)</f>
        <v>2143</v>
      </c>
      <c r="Q406" s="35" t="str">
        <f>IFERROR(__xludf.DUMMYFUNCTION("query(C406:N1399,""Select D,E,F,G,H,I,J,K,L,M WHERE ""&amp;P406&amp;"" =C Limit 1"")"),"Mining Engineers")</f>
        <v>Mining Engineers</v>
      </c>
      <c r="R406" s="35" t="str">
        <f>IFERROR(__xludf.DUMMYFUNCTION("""COMPUTED_VALUE"""),"Mining engineers")</f>
        <v>Mining engineers</v>
      </c>
      <c r="S406" s="35">
        <f>IFERROR(__xludf.DUMMYFUNCTION("""COMPUTED_VALUE"""),1.0)</f>
        <v>1</v>
      </c>
      <c r="T406" s="35">
        <f>IFERROR(__xludf.DUMMYFUNCTION("""COMPUTED_VALUE"""),2.0)</f>
        <v>2</v>
      </c>
      <c r="U406" s="35">
        <f>IFERROR(__xludf.DUMMYFUNCTION("""COMPUTED_VALUE"""),1.0)</f>
        <v>1</v>
      </c>
      <c r="V406" s="35">
        <f>IFERROR(__xludf.DUMMYFUNCTION("""COMPUTED_VALUE"""),1.0)</f>
        <v>1</v>
      </c>
      <c r="W406" s="35">
        <f>IFERROR(__xludf.DUMMYFUNCTION("""COMPUTED_VALUE"""),3.0)</f>
        <v>3</v>
      </c>
      <c r="X406" s="35">
        <f>IFERROR(__xludf.DUMMYFUNCTION("""COMPUTED_VALUE"""),4.0)</f>
        <v>4</v>
      </c>
      <c r="Y406" s="35">
        <f>IFERROR(__xludf.DUMMYFUNCTION("""COMPUTED_VALUE"""),4.0)</f>
        <v>4</v>
      </c>
      <c r="Z406" s="35">
        <f>IFERROR(__xludf.DUMMYFUNCTION("""COMPUTED_VALUE"""),4.0)</f>
        <v>4</v>
      </c>
    </row>
    <row r="407" ht="15.75" customHeight="1">
      <c r="C407" s="34">
        <v>7246.0</v>
      </c>
      <c r="D407" s="70" t="s">
        <v>558</v>
      </c>
      <c r="E407" s="71" t="str">
        <f>vlookup(C407,'NOC-List'!B$2:C$502,2,False)</f>
        <v>Telecommunications installation and repair workers</v>
      </c>
      <c r="F407" s="72">
        <v>3.0</v>
      </c>
      <c r="G407" s="72">
        <v>3.0</v>
      </c>
      <c r="H407" s="72">
        <v>4.0</v>
      </c>
      <c r="I407" s="72">
        <v>3.0</v>
      </c>
      <c r="J407" s="72">
        <v>3.0</v>
      </c>
      <c r="K407" s="72">
        <v>4.0</v>
      </c>
      <c r="L407" s="72">
        <v>3.0</v>
      </c>
      <c r="M407" s="72">
        <v>3.0</v>
      </c>
      <c r="N407" s="72">
        <v>3.0</v>
      </c>
      <c r="O407" s="73"/>
      <c r="P407" s="35">
        <f>IFERROR(__xludf.DUMMYFUNCTION("""COMPUTED_VALUE"""),9619.0)</f>
        <v>9619</v>
      </c>
      <c r="Q407" s="35" t="str">
        <f>IFERROR(__xludf.DUMMYFUNCTION("query(C407:N1400,""Select D,E,F,G,H,I,J,K,L,M WHERE ""&amp;P407&amp;"" =C Limit 1"")"),"Other Labourers in Processing, Manufacturing and Utilities")</f>
        <v>Other Labourers in Processing, Manufacturing and Utilities</v>
      </c>
      <c r="R407" s="35" t="str">
        <f>IFERROR(__xludf.DUMMYFUNCTION("""COMPUTED_VALUE"""),"Other labourers in processing, manufacturing and utilities")</f>
        <v>Other labourers in processing, manufacturing and utilities</v>
      </c>
      <c r="S407" s="35">
        <f>IFERROR(__xludf.DUMMYFUNCTION("""COMPUTED_VALUE"""),4.0)</f>
        <v>4</v>
      </c>
      <c r="T407" s="35">
        <f>IFERROR(__xludf.DUMMYFUNCTION("""COMPUTED_VALUE"""),4.0)</f>
        <v>4</v>
      </c>
      <c r="U407" s="35">
        <f>IFERROR(__xludf.DUMMYFUNCTION("""COMPUTED_VALUE"""),4.0)</f>
        <v>4</v>
      </c>
      <c r="V407" s="35">
        <f>IFERROR(__xludf.DUMMYFUNCTION("""COMPUTED_VALUE"""),4.0)</f>
        <v>4</v>
      </c>
      <c r="W407" s="35">
        <f>IFERROR(__xludf.DUMMYFUNCTION("""COMPUTED_VALUE"""),4.0)</f>
        <v>4</v>
      </c>
      <c r="X407" s="35">
        <f>IFERROR(__xludf.DUMMYFUNCTION("""COMPUTED_VALUE"""),5.0)</f>
        <v>5</v>
      </c>
      <c r="Y407" s="35">
        <f>IFERROR(__xludf.DUMMYFUNCTION("""COMPUTED_VALUE"""),4.0)</f>
        <v>4</v>
      </c>
      <c r="Z407" s="35">
        <f>IFERROR(__xludf.DUMMYFUNCTION("""COMPUTED_VALUE"""),4.0)</f>
        <v>4</v>
      </c>
    </row>
    <row r="408" ht="15.75" customHeight="1">
      <c r="C408" s="34">
        <v>5133.0</v>
      </c>
      <c r="D408" s="70" t="s">
        <v>559</v>
      </c>
      <c r="E408" s="71" t="str">
        <f>vlookup(C408,'NOC-List'!B$2:C$502,2,False)</f>
        <v>Musicians and singers</v>
      </c>
      <c r="F408" s="72">
        <v>2.0</v>
      </c>
      <c r="G408" s="72">
        <v>2.0</v>
      </c>
      <c r="H408" s="72">
        <v>3.0</v>
      </c>
      <c r="I408" s="72">
        <v>3.0</v>
      </c>
      <c r="J408" s="72">
        <v>3.0</v>
      </c>
      <c r="K408" s="72">
        <v>3.0</v>
      </c>
      <c r="L408" s="72">
        <v>3.0</v>
      </c>
      <c r="M408" s="72">
        <v>3.0</v>
      </c>
      <c r="N408" s="72">
        <v>3.0</v>
      </c>
      <c r="O408" s="73"/>
      <c r="P408" s="35">
        <f>IFERROR(__xludf.DUMMYFUNCTION("""COMPUTED_VALUE"""),6316.0)</f>
        <v>6316</v>
      </c>
      <c r="Q408" s="35" t="str">
        <f>IFERROR(__xludf.DUMMYFUNCTION("query(C408:N1401,""Select D,E,F,G,H,I,J,K,L,M WHERE ""&amp;P408&amp;"" =C Limit 1"")"),"Other Service Providers")</f>
        <v>Other Service Providers</v>
      </c>
      <c r="R408" s="35" t="str">
        <f>IFERROR(__xludf.DUMMYFUNCTION("""COMPUTED_VALUE"""),"Other services supervisors")</f>
        <v>Other services supervisors</v>
      </c>
      <c r="S408" s="35">
        <f>IFERROR(__xludf.DUMMYFUNCTION("""COMPUTED_VALUE"""),3.0)</f>
        <v>3</v>
      </c>
      <c r="T408" s="35">
        <f>IFERROR(__xludf.DUMMYFUNCTION("""COMPUTED_VALUE"""),3.0)</f>
        <v>3</v>
      </c>
      <c r="U408" s="35">
        <f>IFERROR(__xludf.DUMMYFUNCTION("""COMPUTED_VALUE"""),4.0)</f>
        <v>4</v>
      </c>
      <c r="V408" s="35">
        <f>IFERROR(__xludf.DUMMYFUNCTION("""COMPUTED_VALUE"""),4.0)</f>
        <v>4</v>
      </c>
      <c r="W408" s="35">
        <f>IFERROR(__xludf.DUMMYFUNCTION("""COMPUTED_VALUE"""),4.0)</f>
        <v>4</v>
      </c>
      <c r="X408" s="35">
        <f>IFERROR(__xludf.DUMMYFUNCTION("""COMPUTED_VALUE"""),4.0)</f>
        <v>4</v>
      </c>
      <c r="Y408" s="35">
        <f>IFERROR(__xludf.DUMMYFUNCTION("""COMPUTED_VALUE"""),4.0)</f>
        <v>4</v>
      </c>
      <c r="Z408" s="35">
        <f>IFERROR(__xludf.DUMMYFUNCTION("""COMPUTED_VALUE"""),4.0)</f>
        <v>4</v>
      </c>
    </row>
    <row r="409" ht="15.75" customHeight="1">
      <c r="C409" s="34">
        <v>7246.0</v>
      </c>
      <c r="D409" s="70" t="s">
        <v>560</v>
      </c>
      <c r="E409" s="71" t="str">
        <f>vlookup(C409,'NOC-List'!B$2:C$502,2,False)</f>
        <v>Telecommunications installation and repair workers</v>
      </c>
      <c r="F409" s="72">
        <v>3.0</v>
      </c>
      <c r="G409" s="72">
        <v>3.0</v>
      </c>
      <c r="H409" s="72">
        <v>4.0</v>
      </c>
      <c r="I409" s="72">
        <v>3.0</v>
      </c>
      <c r="J409" s="72">
        <v>3.0</v>
      </c>
      <c r="K409" s="72">
        <v>4.0</v>
      </c>
      <c r="L409" s="72">
        <v>3.0</v>
      </c>
      <c r="M409" s="72">
        <v>3.0</v>
      </c>
      <c r="N409" s="72">
        <v>3.0</v>
      </c>
      <c r="O409" s="73"/>
      <c r="P409" s="35">
        <f>IFERROR(__xludf.DUMMYFUNCTION("""COMPUTED_VALUE"""),651.0)</f>
        <v>651</v>
      </c>
      <c r="Q409" s="35" t="str">
        <f>IFERROR(__xludf.DUMMYFUNCTION("query(C409:N1402,""Select D,E,F,G,H,I,J,K,L,M WHERE ""&amp;P409&amp;"" =C Limit 1"")"),"Other Services Managers")</f>
        <v>Other Services Managers</v>
      </c>
      <c r="R409" s="35" t="str">
        <f>IFERROR(__xludf.DUMMYFUNCTION("""COMPUTED_VALUE"""),"Managers in customer and personal services, n.e.c.")</f>
        <v>Managers in customer and personal services, n.e.c.</v>
      </c>
      <c r="S409" s="35">
        <f>IFERROR(__xludf.DUMMYFUNCTION("""COMPUTED_VALUE"""),3.0)</f>
        <v>3</v>
      </c>
      <c r="T409" s="35">
        <f>IFERROR(__xludf.DUMMYFUNCTION("""COMPUTED_VALUE"""),3.0)</f>
        <v>3</v>
      </c>
      <c r="U409" s="35">
        <f>IFERROR(__xludf.DUMMYFUNCTION("""COMPUTED_VALUE"""),3.0)</f>
        <v>3</v>
      </c>
      <c r="V409" s="35">
        <f>IFERROR(__xludf.DUMMYFUNCTION("""COMPUTED_VALUE"""),4.0)</f>
        <v>4</v>
      </c>
      <c r="W409" s="35">
        <f>IFERROR(__xludf.DUMMYFUNCTION("""COMPUTED_VALUE"""),4.0)</f>
        <v>4</v>
      </c>
      <c r="X409" s="35">
        <f>IFERROR(__xludf.DUMMYFUNCTION("""COMPUTED_VALUE"""),3.0)</f>
        <v>3</v>
      </c>
      <c r="Y409" s="35">
        <f>IFERROR(__xludf.DUMMYFUNCTION("""COMPUTED_VALUE"""),4.0)</f>
        <v>4</v>
      </c>
      <c r="Z409" s="35">
        <f>IFERROR(__xludf.DUMMYFUNCTION("""COMPUTED_VALUE"""),4.0)</f>
        <v>4</v>
      </c>
    </row>
    <row r="410" ht="15.75" customHeight="1">
      <c r="C410" s="34">
        <v>7246.0</v>
      </c>
      <c r="D410" s="70" t="s">
        <v>561</v>
      </c>
      <c r="E410" s="71" t="str">
        <f>vlookup(C410,'NOC-List'!B$2:C$502,2,False)</f>
        <v>Telecommunications installation and repair workers</v>
      </c>
      <c r="F410" s="72">
        <v>3.0</v>
      </c>
      <c r="G410" s="72">
        <v>3.0</v>
      </c>
      <c r="H410" s="72">
        <v>4.0</v>
      </c>
      <c r="I410" s="72">
        <v>3.0</v>
      </c>
      <c r="J410" s="72">
        <v>3.0</v>
      </c>
      <c r="K410" s="72">
        <v>4.0</v>
      </c>
      <c r="L410" s="72">
        <v>3.0</v>
      </c>
      <c r="M410" s="72">
        <v>3.0</v>
      </c>
      <c r="N410" s="72">
        <v>3.0</v>
      </c>
      <c r="O410" s="73"/>
      <c r="P410" s="35">
        <f>IFERROR(__xludf.DUMMYFUNCTION("""COMPUTED_VALUE"""),1223.0)</f>
        <v>1223</v>
      </c>
      <c r="Q410" s="35" t="str">
        <f>IFERROR(__xludf.DUMMYFUNCTION("query(C410:N1403,""Select D,E,F,G,H,I,J,K,L,M WHERE ""&amp;P410&amp;"" =C Limit 1"")"),"Personnel and Recruitment Officers")</f>
        <v>Personnel and Recruitment Officers</v>
      </c>
      <c r="R410" s="35" t="str">
        <f>IFERROR(__xludf.DUMMYFUNCTION("""COMPUTED_VALUE"""),"Human resources and recruitment officers")</f>
        <v>Human resources and recruitment officers</v>
      </c>
      <c r="S410" s="35">
        <f>IFERROR(__xludf.DUMMYFUNCTION("""COMPUTED_VALUE"""),2.0)</f>
        <v>2</v>
      </c>
      <c r="T410" s="35">
        <f>IFERROR(__xludf.DUMMYFUNCTION("""COMPUTED_VALUE"""),2.0)</f>
        <v>2</v>
      </c>
      <c r="U410" s="35">
        <f>IFERROR(__xludf.DUMMYFUNCTION("""COMPUTED_VALUE"""),3.0)</f>
        <v>3</v>
      </c>
      <c r="V410" s="35">
        <f>IFERROR(__xludf.DUMMYFUNCTION("""COMPUTED_VALUE"""),4.0)</f>
        <v>4</v>
      </c>
      <c r="W410" s="35">
        <f>IFERROR(__xludf.DUMMYFUNCTION("""COMPUTED_VALUE"""),4.0)</f>
        <v>4</v>
      </c>
      <c r="X410" s="35">
        <f>IFERROR(__xludf.DUMMYFUNCTION("""COMPUTED_VALUE"""),3.0)</f>
        <v>3</v>
      </c>
      <c r="Y410" s="35">
        <f>IFERROR(__xludf.DUMMYFUNCTION("""COMPUTED_VALUE"""),4.0)</f>
        <v>4</v>
      </c>
      <c r="Z410" s="35">
        <f>IFERROR(__xludf.DUMMYFUNCTION("""COMPUTED_VALUE"""),4.0)</f>
        <v>4</v>
      </c>
    </row>
    <row r="411" ht="15.75" customHeight="1">
      <c r="C411" s="81">
        <v>7246.0</v>
      </c>
      <c r="D411" s="70" t="s">
        <v>562</v>
      </c>
      <c r="E411" s="71" t="str">
        <f>vlookup(C411,'NOC-List'!B$2:C$502,2,False)</f>
        <v>Telecommunications installation and repair workers</v>
      </c>
      <c r="F411" s="72">
        <v>3.0</v>
      </c>
      <c r="G411" s="72">
        <v>3.0</v>
      </c>
      <c r="H411" s="72">
        <v>4.0</v>
      </c>
      <c r="I411" s="72">
        <v>3.0</v>
      </c>
      <c r="J411" s="72">
        <v>3.0</v>
      </c>
      <c r="K411" s="72">
        <v>4.0</v>
      </c>
      <c r="L411" s="72">
        <v>3.0</v>
      </c>
      <c r="M411" s="72">
        <v>3.0</v>
      </c>
      <c r="N411" s="72">
        <v>3.0</v>
      </c>
      <c r="O411" s="73"/>
      <c r="P411" s="35">
        <f>IFERROR(__xludf.DUMMYFUNCTION("""COMPUTED_VALUE"""),1415.0)</f>
        <v>1415</v>
      </c>
      <c r="Q411" s="35" t="str">
        <f>IFERROR(__xludf.DUMMYFUNCTION("query(C411:N1404,""Select D,E,F,G,H,I,J,K,L,M WHERE ""&amp;P411&amp;"" =C Limit 1"")"),"Personnel Clerks")</f>
        <v>Personnel Clerks</v>
      </c>
      <c r="R411" s="35" t="str">
        <f>IFERROR(__xludf.DUMMYFUNCTION("""COMPUTED_VALUE"""),"Personnel clerks")</f>
        <v>Personnel clerks</v>
      </c>
      <c r="S411" s="35">
        <f>IFERROR(__xludf.DUMMYFUNCTION("""COMPUTED_VALUE"""),3.0)</f>
        <v>3</v>
      </c>
      <c r="T411" s="35">
        <f>IFERROR(__xludf.DUMMYFUNCTION("""COMPUTED_VALUE"""),3.0)</f>
        <v>3</v>
      </c>
      <c r="U411" s="35">
        <f>IFERROR(__xludf.DUMMYFUNCTION("""COMPUTED_VALUE"""),3.0)</f>
        <v>3</v>
      </c>
      <c r="V411" s="35">
        <f>IFERROR(__xludf.DUMMYFUNCTION("""COMPUTED_VALUE"""),4.0)</f>
        <v>4</v>
      </c>
      <c r="W411" s="35">
        <f>IFERROR(__xludf.DUMMYFUNCTION("""COMPUTED_VALUE"""),4.0)</f>
        <v>4</v>
      </c>
      <c r="X411" s="35">
        <f>IFERROR(__xludf.DUMMYFUNCTION("""COMPUTED_VALUE"""),3.0)</f>
        <v>3</v>
      </c>
      <c r="Y411" s="35">
        <f>IFERROR(__xludf.DUMMYFUNCTION("""COMPUTED_VALUE"""),4.0)</f>
        <v>4</v>
      </c>
      <c r="Z411" s="35">
        <f>IFERROR(__xludf.DUMMYFUNCTION("""COMPUTED_VALUE"""),4.0)</f>
        <v>4</v>
      </c>
    </row>
    <row r="412" ht="15.75" customHeight="1">
      <c r="C412" s="34">
        <v>7321.0</v>
      </c>
      <c r="D412" s="70" t="s">
        <v>563</v>
      </c>
      <c r="E412" s="71" t="str">
        <f>vlookup(C412,'NOC-List'!B$2:C$502,2,False)</f>
        <v>Automotive service technicians, truck and bus mechanics and mechanical repairers</v>
      </c>
      <c r="F412" s="72">
        <v>3.0</v>
      </c>
      <c r="G412" s="72">
        <v>3.0</v>
      </c>
      <c r="H412" s="72">
        <v>4.0</v>
      </c>
      <c r="I412" s="72">
        <v>3.0</v>
      </c>
      <c r="J412" s="72">
        <v>3.0</v>
      </c>
      <c r="K412" s="72">
        <v>4.0</v>
      </c>
      <c r="L412" s="72">
        <v>3.0</v>
      </c>
      <c r="M412" s="72">
        <v>3.0</v>
      </c>
      <c r="N412" s="72">
        <v>3.0</v>
      </c>
      <c r="O412" s="73"/>
      <c r="P412" s="35">
        <f>IFERROR(__xludf.DUMMYFUNCTION("""COMPUTED_VALUE"""),2145.0)</f>
        <v>2145</v>
      </c>
      <c r="Q412" s="35" t="str">
        <f>IFERROR(__xludf.DUMMYFUNCTION("query(C412:N1405,""Select D,E,F,G,H,I,J,K,L,M WHERE ""&amp;P412&amp;"" =C Limit 1"")"),"Petroleum Engineers")</f>
        <v>Petroleum Engineers</v>
      </c>
      <c r="R412" s="35" t="str">
        <f>IFERROR(__xludf.DUMMYFUNCTION("""COMPUTED_VALUE"""),"Petroleum engineers")</f>
        <v>Petroleum engineers</v>
      </c>
      <c r="S412" s="35">
        <f>IFERROR(__xludf.DUMMYFUNCTION("""COMPUTED_VALUE"""),1.0)</f>
        <v>1</v>
      </c>
      <c r="T412" s="35">
        <f>IFERROR(__xludf.DUMMYFUNCTION("""COMPUTED_VALUE"""),2.0)</f>
        <v>2</v>
      </c>
      <c r="U412" s="35">
        <f>IFERROR(__xludf.DUMMYFUNCTION("""COMPUTED_VALUE"""),1.0)</f>
        <v>1</v>
      </c>
      <c r="V412" s="35">
        <f>IFERROR(__xludf.DUMMYFUNCTION("""COMPUTED_VALUE"""),2.0)</f>
        <v>2</v>
      </c>
      <c r="W412" s="35">
        <f>IFERROR(__xludf.DUMMYFUNCTION("""COMPUTED_VALUE"""),3.0)</f>
        <v>3</v>
      </c>
      <c r="X412" s="35">
        <f>IFERROR(__xludf.DUMMYFUNCTION("""COMPUTED_VALUE"""),3.0)</f>
        <v>3</v>
      </c>
      <c r="Y412" s="35">
        <f>IFERROR(__xludf.DUMMYFUNCTION("""COMPUTED_VALUE"""),4.0)</f>
        <v>4</v>
      </c>
      <c r="Z412" s="35">
        <f>IFERROR(__xludf.DUMMYFUNCTION("""COMPUTED_VALUE"""),4.0)</f>
        <v>4</v>
      </c>
    </row>
    <row r="413" ht="15.75" customHeight="1">
      <c r="C413" s="34">
        <v>6345.0</v>
      </c>
      <c r="D413" s="70" t="s">
        <v>564</v>
      </c>
      <c r="E413" s="71" t="str">
        <f>vlookup(C413,'NOC-List'!B$2:C$502,2,False)</f>
        <v>Upholsterers</v>
      </c>
      <c r="F413" s="72">
        <v>3.0</v>
      </c>
      <c r="G413" s="72">
        <v>3.0</v>
      </c>
      <c r="H413" s="72">
        <v>3.0</v>
      </c>
      <c r="I413" s="72">
        <v>2.0</v>
      </c>
      <c r="J413" s="72">
        <v>3.0</v>
      </c>
      <c r="K413" s="72">
        <v>4.0</v>
      </c>
      <c r="L413" s="72">
        <v>3.0</v>
      </c>
      <c r="M413" s="72">
        <v>3.0</v>
      </c>
      <c r="N413" s="72">
        <v>3.0</v>
      </c>
      <c r="O413" s="73"/>
      <c r="P413" s="35">
        <f>IFERROR(__xludf.DUMMYFUNCTION("""COMPUTED_VALUE"""),132.0)</f>
        <v>132</v>
      </c>
      <c r="Q413" s="35" t="str">
        <f>IFERROR(__xludf.DUMMYFUNCTION("query(C413:N1406,""Select D,E,F,G,H,I,J,K,L,M WHERE ""&amp;P413&amp;"" =C Limit 1"")"),"Postal and Courier Services Managers")</f>
        <v>Postal and Courier Services Managers</v>
      </c>
      <c r="R413" s="35" t="str">
        <f>IFERROR(__xludf.DUMMYFUNCTION("""COMPUTED_VALUE"""),"Postal and courier services managers")</f>
        <v>Postal and courier services managers</v>
      </c>
      <c r="S413" s="35">
        <f>IFERROR(__xludf.DUMMYFUNCTION("""COMPUTED_VALUE"""),2.0)</f>
        <v>2</v>
      </c>
      <c r="T413" s="35">
        <f>IFERROR(__xludf.DUMMYFUNCTION("""COMPUTED_VALUE"""),2.0)</f>
        <v>2</v>
      </c>
      <c r="U413" s="35">
        <f>IFERROR(__xludf.DUMMYFUNCTION("""COMPUTED_VALUE"""),3.0)</f>
        <v>3</v>
      </c>
      <c r="V413" s="35">
        <f>IFERROR(__xludf.DUMMYFUNCTION("""COMPUTED_VALUE"""),4.0)</f>
        <v>4</v>
      </c>
      <c r="W413" s="35">
        <f>IFERROR(__xludf.DUMMYFUNCTION("""COMPUTED_VALUE"""),4.0)</f>
        <v>4</v>
      </c>
      <c r="X413" s="35">
        <f>IFERROR(__xludf.DUMMYFUNCTION("""COMPUTED_VALUE"""),3.0)</f>
        <v>3</v>
      </c>
      <c r="Y413" s="35">
        <f>IFERROR(__xludf.DUMMYFUNCTION("""COMPUTED_VALUE"""),4.0)</f>
        <v>4</v>
      </c>
      <c r="Z413" s="35">
        <f>IFERROR(__xludf.DUMMYFUNCTION("""COMPUTED_VALUE"""),4.0)</f>
        <v>4</v>
      </c>
    </row>
    <row r="414" ht="15.75" customHeight="1">
      <c r="C414" s="81">
        <v>3213.0</v>
      </c>
      <c r="D414" s="70" t="s">
        <v>565</v>
      </c>
      <c r="E414" s="71" t="str">
        <f>vlookup(C414,'NOC-List'!B$2:C$502,2,False)</f>
        <v>Animal health technologists and veterinary technicians</v>
      </c>
      <c r="F414" s="72">
        <v>3.0</v>
      </c>
      <c r="G414" s="72">
        <v>3.0</v>
      </c>
      <c r="H414" s="72">
        <v>3.0</v>
      </c>
      <c r="I414" s="72">
        <v>3.0</v>
      </c>
      <c r="J414" s="72">
        <v>3.0</v>
      </c>
      <c r="K414" s="72">
        <v>3.0</v>
      </c>
      <c r="L414" s="72">
        <v>3.0</v>
      </c>
      <c r="M414" s="72">
        <v>3.0</v>
      </c>
      <c r="N414" s="72">
        <v>3.0</v>
      </c>
      <c r="O414" s="73"/>
      <c r="P414" s="35">
        <f>IFERROR(__xludf.DUMMYFUNCTION("""COMPUTED_VALUE"""),1523.0)</f>
        <v>1523</v>
      </c>
      <c r="Q414" s="35" t="str">
        <f>IFERROR(__xludf.DUMMYFUNCTION("query(C414:N1407,""Select D,E,F,G,H,I,J,K,L,M WHERE ""&amp;P414&amp;"" =C Limit 1"")"),"Production Clerks")</f>
        <v>Production Clerks</v>
      </c>
      <c r="R414" s="35" t="str">
        <f>IFERROR(__xludf.DUMMYFUNCTION("""COMPUTED_VALUE"""),"Production logistics co-ordinators")</f>
        <v>Production logistics co-ordinators</v>
      </c>
      <c r="S414" s="35">
        <f>IFERROR(__xludf.DUMMYFUNCTION("""COMPUTED_VALUE"""),3.0)</f>
        <v>3</v>
      </c>
      <c r="T414" s="35">
        <f>IFERROR(__xludf.DUMMYFUNCTION("""COMPUTED_VALUE"""),3.0)</f>
        <v>3</v>
      </c>
      <c r="U414" s="35">
        <f>IFERROR(__xludf.DUMMYFUNCTION("""COMPUTED_VALUE"""),3.0)</f>
        <v>3</v>
      </c>
      <c r="V414" s="35">
        <f>IFERROR(__xludf.DUMMYFUNCTION("""COMPUTED_VALUE"""),4.0)</f>
        <v>4</v>
      </c>
      <c r="W414" s="35">
        <f>IFERROR(__xludf.DUMMYFUNCTION("""COMPUTED_VALUE"""),4.0)</f>
        <v>4</v>
      </c>
      <c r="X414" s="35">
        <f>IFERROR(__xludf.DUMMYFUNCTION("""COMPUTED_VALUE"""),3.0)</f>
        <v>3</v>
      </c>
      <c r="Y414" s="35">
        <f>IFERROR(__xludf.DUMMYFUNCTION("""COMPUTED_VALUE"""),4.0)</f>
        <v>4</v>
      </c>
      <c r="Z414" s="35">
        <f>IFERROR(__xludf.DUMMYFUNCTION("""COMPUTED_VALUE"""),4.0)</f>
        <v>4</v>
      </c>
    </row>
    <row r="415" ht="15.75" customHeight="1">
      <c r="C415" s="34">
        <v>9414.0</v>
      </c>
      <c r="D415" s="70" t="s">
        <v>566</v>
      </c>
      <c r="E415" s="71" t="str">
        <f>vlookup(C415,'NOC-List'!B$2:C$502,2,False)</f>
        <v>Concrete, clay and stone forming operators</v>
      </c>
      <c r="F415" s="72">
        <v>3.0</v>
      </c>
      <c r="G415" s="72">
        <v>4.0</v>
      </c>
      <c r="H415" s="72">
        <v>4.0</v>
      </c>
      <c r="I415" s="72">
        <v>3.0</v>
      </c>
      <c r="J415" s="72">
        <v>3.0</v>
      </c>
      <c r="K415" s="72">
        <v>4.0</v>
      </c>
      <c r="L415" s="72">
        <v>3.0</v>
      </c>
      <c r="M415" s="72">
        <v>4.0</v>
      </c>
      <c r="N415" s="72">
        <v>3.0</v>
      </c>
      <c r="O415" s="73"/>
      <c r="P415" s="35">
        <f>IFERROR(__xludf.DUMMYFUNCTION("""COMPUTED_VALUE"""),4168.0)</f>
        <v>4168</v>
      </c>
      <c r="Q415" s="35" t="str">
        <f>IFERROR(__xludf.DUMMYFUNCTION("query(C415:N1408,""Select D,E,F,G,H,I,J,K,L,M WHERE ""&amp;P415&amp;"" =C Limit 1"")"),"Program Officers Unique to Government")</f>
        <v>Program Officers Unique to Government</v>
      </c>
      <c r="R415" s="35" t="str">
        <f>IFERROR(__xludf.DUMMYFUNCTION("""COMPUTED_VALUE"""),"Program officers unique to government")</f>
        <v>Program officers unique to government</v>
      </c>
      <c r="S415" s="35">
        <f>IFERROR(__xludf.DUMMYFUNCTION("""COMPUTED_VALUE"""),2.0)</f>
        <v>2</v>
      </c>
      <c r="T415" s="35">
        <f>IFERROR(__xludf.DUMMYFUNCTION("""COMPUTED_VALUE"""),2.0)</f>
        <v>2</v>
      </c>
      <c r="U415" s="35">
        <f>IFERROR(__xludf.DUMMYFUNCTION("""COMPUTED_VALUE"""),3.0)</f>
        <v>3</v>
      </c>
      <c r="V415" s="35">
        <f>IFERROR(__xludf.DUMMYFUNCTION("""COMPUTED_VALUE"""),4.0)</f>
        <v>4</v>
      </c>
      <c r="W415" s="35">
        <f>IFERROR(__xludf.DUMMYFUNCTION("""COMPUTED_VALUE"""),4.0)</f>
        <v>4</v>
      </c>
      <c r="X415" s="35">
        <f>IFERROR(__xludf.DUMMYFUNCTION("""COMPUTED_VALUE"""),3.0)</f>
        <v>3</v>
      </c>
      <c r="Y415" s="35">
        <f>IFERROR(__xludf.DUMMYFUNCTION("""COMPUTED_VALUE"""),4.0)</f>
        <v>4</v>
      </c>
      <c r="Z415" s="35">
        <f>IFERROR(__xludf.DUMMYFUNCTION("""COMPUTED_VALUE"""),4.0)</f>
        <v>4</v>
      </c>
    </row>
    <row r="416" ht="15.75" customHeight="1">
      <c r="C416" s="34">
        <v>2281.0</v>
      </c>
      <c r="D416" s="70" t="s">
        <v>567</v>
      </c>
      <c r="E416" s="71" t="str">
        <f>vlookup(C416,'NOC-List'!B$2:C$502,2,False)</f>
        <v>Computer network technicians</v>
      </c>
      <c r="F416" s="72">
        <v>2.0</v>
      </c>
      <c r="G416" s="72">
        <v>3.0</v>
      </c>
      <c r="H416" s="72">
        <v>2.0</v>
      </c>
      <c r="I416" s="72">
        <v>3.0</v>
      </c>
      <c r="J416" s="72">
        <v>3.0</v>
      </c>
      <c r="K416" s="72">
        <v>3.0</v>
      </c>
      <c r="L416" s="72">
        <v>3.0</v>
      </c>
      <c r="M416" s="72">
        <v>3.0</v>
      </c>
      <c r="N416" s="72">
        <v>3.0</v>
      </c>
      <c r="O416" s="73"/>
      <c r="P416" s="35">
        <f>IFERROR(__xludf.DUMMYFUNCTION("""COMPUTED_VALUE"""),1224.0)</f>
        <v>1224</v>
      </c>
      <c r="Q416" s="35" t="str">
        <f>IFERROR(__xludf.DUMMYFUNCTION("query(C416:N1409,""Select D,E,F,G,H,I,J,K,L,M WHERE ""&amp;P416&amp;"" =C Limit 1"")"),"Property Administrators")</f>
        <v>Property Administrators</v>
      </c>
      <c r="R416" s="35" t="str">
        <f>IFERROR(__xludf.DUMMYFUNCTION("""COMPUTED_VALUE"""),"Property administrators")</f>
        <v>Property administrators</v>
      </c>
      <c r="S416" s="35">
        <f>IFERROR(__xludf.DUMMYFUNCTION("""COMPUTED_VALUE"""),2.0)</f>
        <v>2</v>
      </c>
      <c r="T416" s="35">
        <f>IFERROR(__xludf.DUMMYFUNCTION("""COMPUTED_VALUE"""),2.0)</f>
        <v>2</v>
      </c>
      <c r="U416" s="35">
        <f>IFERROR(__xludf.DUMMYFUNCTION("""COMPUTED_VALUE"""),3.0)</f>
        <v>3</v>
      </c>
      <c r="V416" s="35">
        <f>IFERROR(__xludf.DUMMYFUNCTION("""COMPUTED_VALUE"""),4.0)</f>
        <v>4</v>
      </c>
      <c r="W416" s="35">
        <f>IFERROR(__xludf.DUMMYFUNCTION("""COMPUTED_VALUE"""),4.0)</f>
        <v>4</v>
      </c>
      <c r="X416" s="35">
        <f>IFERROR(__xludf.DUMMYFUNCTION("""COMPUTED_VALUE"""),3.0)</f>
        <v>3</v>
      </c>
      <c r="Y416" s="35">
        <f>IFERROR(__xludf.DUMMYFUNCTION("""COMPUTED_VALUE"""),4.0)</f>
        <v>4</v>
      </c>
      <c r="Z416" s="35">
        <f>IFERROR(__xludf.DUMMYFUNCTION("""COMPUTED_VALUE"""),4.0)</f>
        <v>4</v>
      </c>
    </row>
    <row r="417" ht="15.75" customHeight="1">
      <c r="C417" s="34">
        <v>7235.0</v>
      </c>
      <c r="D417" s="70" t="s">
        <v>568</v>
      </c>
      <c r="E417" s="71" t="str">
        <f>vlookup(C417,'NOC-List'!B$2:C$502,2,False)</f>
        <v>Structural metal and platework fabricators and fitters</v>
      </c>
      <c r="F417" s="72">
        <v>3.0</v>
      </c>
      <c r="G417" s="72">
        <v>4.0</v>
      </c>
      <c r="H417" s="72">
        <v>3.0</v>
      </c>
      <c r="I417" s="72">
        <v>3.0</v>
      </c>
      <c r="J417" s="72">
        <v>3.0</v>
      </c>
      <c r="K417" s="72">
        <v>4.0</v>
      </c>
      <c r="L417" s="72">
        <v>3.0</v>
      </c>
      <c r="M417" s="72">
        <v>3.0</v>
      </c>
      <c r="N417" s="72">
        <v>3.0</v>
      </c>
      <c r="O417" s="73"/>
      <c r="P417" s="35">
        <f>IFERROR(__xludf.DUMMYFUNCTION("""COMPUTED_VALUE"""),6232.0)</f>
        <v>6232</v>
      </c>
      <c r="Q417" s="35" t="str">
        <f>IFERROR(__xludf.DUMMYFUNCTION("query(C417:N1410,""Select D,E,F,G,H,I,J,K,L,M WHERE ""&amp;P417&amp;"" =C Limit 1"")"),"Real Estate Agents and Salespersons")</f>
        <v>Real Estate Agents and Salespersons</v>
      </c>
      <c r="R417" s="35" t="str">
        <f>IFERROR(__xludf.DUMMYFUNCTION("""COMPUTED_VALUE"""),"Real estate agents and salespersons")</f>
        <v>Real estate agents and salespersons</v>
      </c>
      <c r="S417" s="35">
        <f>IFERROR(__xludf.DUMMYFUNCTION("""COMPUTED_VALUE"""),3.0)</f>
        <v>3</v>
      </c>
      <c r="T417" s="35">
        <f>IFERROR(__xludf.DUMMYFUNCTION("""COMPUTED_VALUE"""),3.0)</f>
        <v>3</v>
      </c>
      <c r="U417" s="35">
        <f>IFERROR(__xludf.DUMMYFUNCTION("""COMPUTED_VALUE"""),3.0)</f>
        <v>3</v>
      </c>
      <c r="V417" s="35">
        <f>IFERROR(__xludf.DUMMYFUNCTION("""COMPUTED_VALUE"""),4.0)</f>
        <v>4</v>
      </c>
      <c r="W417" s="35">
        <f>IFERROR(__xludf.DUMMYFUNCTION("""COMPUTED_VALUE"""),4.0)</f>
        <v>4</v>
      </c>
      <c r="X417" s="35">
        <f>IFERROR(__xludf.DUMMYFUNCTION("""COMPUTED_VALUE"""),3.0)</f>
        <v>3</v>
      </c>
      <c r="Y417" s="35">
        <f>IFERROR(__xludf.DUMMYFUNCTION("""COMPUTED_VALUE"""),4.0)</f>
        <v>4</v>
      </c>
      <c r="Z417" s="35">
        <f>IFERROR(__xludf.DUMMYFUNCTION("""COMPUTED_VALUE"""),4.0)</f>
        <v>4</v>
      </c>
    </row>
    <row r="418" ht="15.75" customHeight="1">
      <c r="C418" s="34">
        <v>9442.0</v>
      </c>
      <c r="D418" s="70" t="s">
        <v>569</v>
      </c>
      <c r="E418" s="71" t="str">
        <f>vlookup(C418,'NOC-List'!B$2:C$502,2,False)</f>
        <v>Weavers, knitters and other fabric making occupations</v>
      </c>
      <c r="F418" s="72">
        <v>3.0</v>
      </c>
      <c r="G418" s="72">
        <v>4.0</v>
      </c>
      <c r="H418" s="72">
        <v>4.0</v>
      </c>
      <c r="I418" s="72">
        <v>4.0</v>
      </c>
      <c r="J418" s="72">
        <v>3.0</v>
      </c>
      <c r="K418" s="72">
        <v>4.0</v>
      </c>
      <c r="L418" s="72">
        <v>3.0</v>
      </c>
      <c r="M418" s="72">
        <v>3.0</v>
      </c>
      <c r="N418" s="72">
        <v>3.0</v>
      </c>
      <c r="O418" s="73"/>
      <c r="P418" s="35">
        <f>IFERROR(__xludf.DUMMYFUNCTION("""COMPUTED_VALUE"""),712.0)</f>
        <v>712</v>
      </c>
      <c r="Q418" s="35" t="str">
        <f>IFERROR(__xludf.DUMMYFUNCTION("query(C418:N1411,""Select D,E,F,G,H,I,J,K,L,M WHERE ""&amp;P418&amp;"" =C Limit 1"")"),"Residential Home Builders and Renovators")</f>
        <v>Residential Home Builders and Renovators</v>
      </c>
      <c r="R418" s="35" t="str">
        <f>IFERROR(__xludf.DUMMYFUNCTION("""COMPUTED_VALUE"""),"Home building and renovation managers")</f>
        <v>Home building and renovation managers</v>
      </c>
      <c r="S418" s="35">
        <f>IFERROR(__xludf.DUMMYFUNCTION("""COMPUTED_VALUE"""),3.0)</f>
        <v>3</v>
      </c>
      <c r="T418" s="35">
        <f>IFERROR(__xludf.DUMMYFUNCTION("""COMPUTED_VALUE"""),3.0)</f>
        <v>3</v>
      </c>
      <c r="U418" s="35">
        <f>IFERROR(__xludf.DUMMYFUNCTION("""COMPUTED_VALUE"""),3.0)</f>
        <v>3</v>
      </c>
      <c r="V418" s="35">
        <f>IFERROR(__xludf.DUMMYFUNCTION("""COMPUTED_VALUE"""),3.0)</f>
        <v>3</v>
      </c>
      <c r="W418" s="35">
        <f>IFERROR(__xludf.DUMMYFUNCTION("""COMPUTED_VALUE"""),4.0)</f>
        <v>4</v>
      </c>
      <c r="X418" s="35">
        <f>IFERROR(__xludf.DUMMYFUNCTION("""COMPUTED_VALUE"""),4.0)</f>
        <v>4</v>
      </c>
      <c r="Y418" s="35">
        <f>IFERROR(__xludf.DUMMYFUNCTION("""COMPUTED_VALUE"""),4.0)</f>
        <v>4</v>
      </c>
      <c r="Z418" s="35">
        <f>IFERROR(__xludf.DUMMYFUNCTION("""COMPUTED_VALUE"""),4.0)</f>
        <v>4</v>
      </c>
    </row>
    <row r="419" ht="15.75" customHeight="1">
      <c r="C419" s="34">
        <v>9521.0</v>
      </c>
      <c r="D419" s="70" t="s">
        <v>570</v>
      </c>
      <c r="E419" s="71" t="str">
        <f>vlookup(C419,'NOC-List'!B$2:C$502,2,False)</f>
        <v>Aircraft assemblers and aircraft assembly inspectors</v>
      </c>
      <c r="F419" s="72">
        <v>3.0</v>
      </c>
      <c r="G419" s="72">
        <v>3.0</v>
      </c>
      <c r="H419" s="72">
        <v>3.0</v>
      </c>
      <c r="I419" s="72">
        <v>3.0</v>
      </c>
      <c r="J419" s="72">
        <v>3.0</v>
      </c>
      <c r="K419" s="72">
        <v>4.0</v>
      </c>
      <c r="L419" s="72">
        <v>3.0</v>
      </c>
      <c r="M419" s="72">
        <v>3.0</v>
      </c>
      <c r="N419" s="72">
        <v>3.0</v>
      </c>
      <c r="O419" s="73"/>
      <c r="P419" s="35">
        <f>IFERROR(__xludf.DUMMYFUNCTION("""COMPUTED_VALUE"""),631.0)</f>
        <v>631</v>
      </c>
      <c r="Q419" s="35" t="str">
        <f>IFERROR(__xludf.DUMMYFUNCTION("query(C419:N1412,""Select D,E,F,G,H,I,J,K,L,M WHERE ""&amp;P419&amp;"" =C Limit 1"")"),"Restaurant and Food Service Managers")</f>
        <v>Restaurant and Food Service Managers</v>
      </c>
      <c r="R419" s="35" t="str">
        <f>IFERROR(__xludf.DUMMYFUNCTION("""COMPUTED_VALUE"""),"Restaurant and food service managers")</f>
        <v>Restaurant and food service managers</v>
      </c>
      <c r="S419" s="35">
        <f>IFERROR(__xludf.DUMMYFUNCTION("""COMPUTED_VALUE"""),3.0)</f>
        <v>3</v>
      </c>
      <c r="T419" s="35">
        <f>IFERROR(__xludf.DUMMYFUNCTION("""COMPUTED_VALUE"""),3.0)</f>
        <v>3</v>
      </c>
      <c r="U419" s="35">
        <f>IFERROR(__xludf.DUMMYFUNCTION("""COMPUTED_VALUE"""),3.0)</f>
        <v>3</v>
      </c>
      <c r="V419" s="35">
        <f>IFERROR(__xludf.DUMMYFUNCTION("""COMPUTED_VALUE"""),4.0)</f>
        <v>4</v>
      </c>
      <c r="W419" s="35">
        <f>IFERROR(__xludf.DUMMYFUNCTION("""COMPUTED_VALUE"""),4.0)</f>
        <v>4</v>
      </c>
      <c r="X419" s="35">
        <f>IFERROR(__xludf.DUMMYFUNCTION("""COMPUTED_VALUE"""),3.0)</f>
        <v>3</v>
      </c>
      <c r="Y419" s="35">
        <f>IFERROR(__xludf.DUMMYFUNCTION("""COMPUTED_VALUE"""),4.0)</f>
        <v>4</v>
      </c>
      <c r="Z419" s="35">
        <f>IFERROR(__xludf.DUMMYFUNCTION("""COMPUTED_VALUE"""),4.0)</f>
        <v>4</v>
      </c>
    </row>
    <row r="420" ht="15.75" customHeight="1">
      <c r="C420" s="34">
        <v>7315.0</v>
      </c>
      <c r="D420" s="70" t="s">
        <v>571</v>
      </c>
      <c r="E420" s="71" t="str">
        <f>vlookup(C420,'NOC-List'!B$2:C$502,2,False)</f>
        <v>Aircraft mechanics and aircraft inspectors</v>
      </c>
      <c r="F420" s="72">
        <v>3.0</v>
      </c>
      <c r="G420" s="72">
        <v>3.0</v>
      </c>
      <c r="H420" s="72">
        <v>3.0</v>
      </c>
      <c r="I420" s="72">
        <v>2.0</v>
      </c>
      <c r="J420" s="72">
        <v>2.0</v>
      </c>
      <c r="K420" s="72">
        <v>4.0</v>
      </c>
      <c r="L420" s="72">
        <v>3.0</v>
      </c>
      <c r="M420" s="72">
        <v>3.0</v>
      </c>
      <c r="N420" s="72">
        <v>3.0</v>
      </c>
      <c r="O420" s="73"/>
      <c r="P420" s="35">
        <f>IFERROR(__xludf.DUMMYFUNCTION("""COMPUTED_VALUE"""),6421.0)</f>
        <v>6421</v>
      </c>
      <c r="Q420" s="35" t="str">
        <f>IFERROR(__xludf.DUMMYFUNCTION("query(C420:N1413,""Select D,E,F,G,H,I,J,K,L,M WHERE ""&amp;P420&amp;"" =C Limit 1"")"),"Retail Salespersons and Sales Clerks")</f>
        <v>Retail Salespersons and Sales Clerks</v>
      </c>
      <c r="R420" s="35" t="str">
        <f>IFERROR(__xludf.DUMMYFUNCTION("""COMPUTED_VALUE"""),"Retail salespersons")</f>
        <v>Retail salespersons</v>
      </c>
      <c r="S420" s="35">
        <f>IFERROR(__xludf.DUMMYFUNCTION("""COMPUTED_VALUE"""),3.0)</f>
        <v>3</v>
      </c>
      <c r="T420" s="35">
        <f>IFERROR(__xludf.DUMMYFUNCTION("""COMPUTED_VALUE"""),3.0)</f>
        <v>3</v>
      </c>
      <c r="U420" s="35">
        <f>IFERROR(__xludf.DUMMYFUNCTION("""COMPUTED_VALUE"""),3.0)</f>
        <v>3</v>
      </c>
      <c r="V420" s="35">
        <f>IFERROR(__xludf.DUMMYFUNCTION("""COMPUTED_VALUE"""),4.0)</f>
        <v>4</v>
      </c>
      <c r="W420" s="35">
        <f>IFERROR(__xludf.DUMMYFUNCTION("""COMPUTED_VALUE"""),4.0)</f>
        <v>4</v>
      </c>
      <c r="X420" s="35">
        <f>IFERROR(__xludf.DUMMYFUNCTION("""COMPUTED_VALUE"""),3.0)</f>
        <v>3</v>
      </c>
      <c r="Y420" s="35">
        <f>IFERROR(__xludf.DUMMYFUNCTION("""COMPUTED_VALUE"""),4.0)</f>
        <v>4</v>
      </c>
      <c r="Z420" s="35">
        <f>IFERROR(__xludf.DUMMYFUNCTION("""COMPUTED_VALUE"""),4.0)</f>
        <v>4</v>
      </c>
    </row>
    <row r="421" ht="15.75" customHeight="1">
      <c r="C421" s="34">
        <v>6342.0</v>
      </c>
      <c r="D421" s="70" t="s">
        <v>572</v>
      </c>
      <c r="E421" s="71" t="str">
        <f>vlookup(C421,'NOC-List'!B$2:C$502,2,False)</f>
        <v>Tailors, dressmakers, furriers and milliners</v>
      </c>
      <c r="F421" s="72">
        <v>3.0</v>
      </c>
      <c r="G421" s="72">
        <v>3.0</v>
      </c>
      <c r="H421" s="72">
        <v>4.0</v>
      </c>
      <c r="I421" s="72">
        <v>3.0</v>
      </c>
      <c r="J421" s="72">
        <v>3.0</v>
      </c>
      <c r="K421" s="72">
        <v>4.0</v>
      </c>
      <c r="L421" s="72">
        <v>3.0</v>
      </c>
      <c r="M421" s="72">
        <v>2.0</v>
      </c>
      <c r="N421" s="72">
        <v>3.0</v>
      </c>
      <c r="O421" s="73"/>
      <c r="P421" s="35">
        <f>IFERROR(__xludf.DUMMYFUNCTION("""COMPUTED_VALUE"""),6211.0)</f>
        <v>6211</v>
      </c>
      <c r="Q421" s="35" t="str">
        <f>IFERROR(__xludf.DUMMYFUNCTION("query(C421:N1414,""Select D,E,F,G,H,I,J,K,L,M WHERE ""&amp;P421&amp;"" =C Limit 1"")"),"Retail Trade Supervisors")</f>
        <v>Retail Trade Supervisors</v>
      </c>
      <c r="R421" s="35" t="str">
        <f>IFERROR(__xludf.DUMMYFUNCTION("""COMPUTED_VALUE"""),"Retail sales supervisors")</f>
        <v>Retail sales supervisors</v>
      </c>
      <c r="S421" s="35">
        <f>IFERROR(__xludf.DUMMYFUNCTION("""COMPUTED_VALUE"""),3.0)</f>
        <v>3</v>
      </c>
      <c r="T421" s="35">
        <f>IFERROR(__xludf.DUMMYFUNCTION("""COMPUTED_VALUE"""),3.0)</f>
        <v>3</v>
      </c>
      <c r="U421" s="35">
        <f>IFERROR(__xludf.DUMMYFUNCTION("""COMPUTED_VALUE"""),3.0)</f>
        <v>3</v>
      </c>
      <c r="V421" s="35">
        <f>IFERROR(__xludf.DUMMYFUNCTION("""COMPUTED_VALUE"""),4.0)</f>
        <v>4</v>
      </c>
      <c r="W421" s="35">
        <f>IFERROR(__xludf.DUMMYFUNCTION("""COMPUTED_VALUE"""),4.0)</f>
        <v>4</v>
      </c>
      <c r="X421" s="35">
        <f>IFERROR(__xludf.DUMMYFUNCTION("""COMPUTED_VALUE"""),3.0)</f>
        <v>3</v>
      </c>
      <c r="Y421" s="35">
        <f>IFERROR(__xludf.DUMMYFUNCTION("""COMPUTED_VALUE"""),4.0)</f>
        <v>4</v>
      </c>
      <c r="Z421" s="35">
        <f>IFERROR(__xludf.DUMMYFUNCTION("""COMPUTED_VALUE"""),4.0)</f>
        <v>4</v>
      </c>
    </row>
    <row r="422" ht="15.75" customHeight="1">
      <c r="C422" s="34">
        <v>2225.0</v>
      </c>
      <c r="D422" s="70" t="s">
        <v>573</v>
      </c>
      <c r="E422" s="71" t="str">
        <f>vlookup(C422,'NOC-List'!B$2:C$502,2,False)</f>
        <v>Landscape and horticulture technicians and specialists</v>
      </c>
      <c r="F422" s="72">
        <v>2.0</v>
      </c>
      <c r="G422" s="72">
        <v>3.0</v>
      </c>
      <c r="H422" s="72">
        <v>3.0</v>
      </c>
      <c r="I422" s="72">
        <v>3.0</v>
      </c>
      <c r="J422" s="72">
        <v>3.0</v>
      </c>
      <c r="K422" s="72">
        <v>4.0</v>
      </c>
      <c r="L422" s="72">
        <v>4.0</v>
      </c>
      <c r="M422" s="72">
        <v>3.0</v>
      </c>
      <c r="N422" s="72">
        <v>3.0</v>
      </c>
      <c r="O422" s="73"/>
      <c r="P422" s="35">
        <f>IFERROR(__xludf.DUMMYFUNCTION("""COMPUTED_VALUE"""),6411.0)</f>
        <v>6411</v>
      </c>
      <c r="Q422" s="35" t="str">
        <f>IFERROR(__xludf.DUMMYFUNCTION("query(C422:N1415,""Select D,E,F,G,H,I,J,K,L,M WHERE ""&amp;P422&amp;"" =C Limit 1"")"),"Sales Representatives - Wholesale Trade (Non-Technical)")</f>
        <v>Sales Representatives - Wholesale Trade (Non-Technical)</v>
      </c>
      <c r="R422" s="35" t="str">
        <f>IFERROR(__xludf.DUMMYFUNCTION("""COMPUTED_VALUE"""),"Sales and account representatives - wholesale trade (non-technical)")</f>
        <v>Sales and account representatives - wholesale trade (non-technical)</v>
      </c>
      <c r="S422" s="35">
        <f>IFERROR(__xludf.DUMMYFUNCTION("""COMPUTED_VALUE"""),3.0)</f>
        <v>3</v>
      </c>
      <c r="T422" s="35">
        <f>IFERROR(__xludf.DUMMYFUNCTION("""COMPUTED_VALUE"""),3.0)</f>
        <v>3</v>
      </c>
      <c r="U422" s="35">
        <f>IFERROR(__xludf.DUMMYFUNCTION("""COMPUTED_VALUE"""),3.0)</f>
        <v>3</v>
      </c>
      <c r="V422" s="35">
        <f>IFERROR(__xludf.DUMMYFUNCTION("""COMPUTED_VALUE"""),4.0)</f>
        <v>4</v>
      </c>
      <c r="W422" s="35">
        <f>IFERROR(__xludf.DUMMYFUNCTION("""COMPUTED_VALUE"""),4.0)</f>
        <v>4</v>
      </c>
      <c r="X422" s="35">
        <f>IFERROR(__xludf.DUMMYFUNCTION("""COMPUTED_VALUE"""),3.0)</f>
        <v>3</v>
      </c>
      <c r="Y422" s="35">
        <f>IFERROR(__xludf.DUMMYFUNCTION("""COMPUTED_VALUE"""),4.0)</f>
        <v>4</v>
      </c>
      <c r="Z422" s="35">
        <f>IFERROR(__xludf.DUMMYFUNCTION("""COMPUTED_VALUE"""),4.0)</f>
        <v>4</v>
      </c>
    </row>
    <row r="423" ht="15.75" customHeight="1">
      <c r="C423" s="34">
        <v>2251.0</v>
      </c>
      <c r="D423" s="70" t="s">
        <v>574</v>
      </c>
      <c r="E423" s="71" t="str">
        <f>vlookup(C423,'NOC-List'!B$2:C$502,2,False)</f>
        <v>Architectural technologists and technicians</v>
      </c>
      <c r="F423" s="72">
        <v>2.0</v>
      </c>
      <c r="G423" s="72">
        <v>2.0</v>
      </c>
      <c r="H423" s="72">
        <v>2.0</v>
      </c>
      <c r="I423" s="72">
        <v>2.0</v>
      </c>
      <c r="J423" s="72">
        <v>2.0</v>
      </c>
      <c r="K423" s="72">
        <v>3.0</v>
      </c>
      <c r="L423" s="72">
        <v>3.0</v>
      </c>
      <c r="M423" s="72">
        <v>3.0</v>
      </c>
      <c r="N423" s="72">
        <v>4.0</v>
      </c>
      <c r="O423" s="73"/>
      <c r="P423" s="35">
        <f>IFERROR(__xludf.DUMMYFUNCTION("""COMPUTED_VALUE"""),4031.0)</f>
        <v>4031</v>
      </c>
      <c r="Q423" s="35" t="str">
        <f>IFERROR(__xludf.DUMMYFUNCTION("query(C423:N1416,""Select D,E,F,G,H,I,J,K,L,M WHERE ""&amp;P423&amp;"" =C Limit 1"")"),"Secondary School Teachers")</f>
        <v>Secondary School Teachers</v>
      </c>
      <c r="R423" s="35" t="str">
        <f>IFERROR(__xludf.DUMMYFUNCTION("""COMPUTED_VALUE"""),"Secondary school teachers")</f>
        <v>Secondary school teachers</v>
      </c>
      <c r="S423" s="35">
        <f>IFERROR(__xludf.DUMMYFUNCTION("""COMPUTED_VALUE"""),2.0)</f>
        <v>2</v>
      </c>
      <c r="T423" s="35">
        <f>IFERROR(__xludf.DUMMYFUNCTION("""COMPUTED_VALUE"""),2.0)</f>
        <v>2</v>
      </c>
      <c r="U423" s="35">
        <f>IFERROR(__xludf.DUMMYFUNCTION("""COMPUTED_VALUE"""),2.0)</f>
        <v>2</v>
      </c>
      <c r="V423" s="35">
        <f>IFERROR(__xludf.DUMMYFUNCTION("""COMPUTED_VALUE"""),4.0)</f>
        <v>4</v>
      </c>
      <c r="W423" s="35">
        <f>IFERROR(__xludf.DUMMYFUNCTION("""COMPUTED_VALUE"""),3.0)</f>
        <v>3</v>
      </c>
      <c r="X423" s="35">
        <f>IFERROR(__xludf.DUMMYFUNCTION("""COMPUTED_VALUE"""),3.0)</f>
        <v>3</v>
      </c>
      <c r="Y423" s="35">
        <f>IFERROR(__xludf.DUMMYFUNCTION("""COMPUTED_VALUE"""),4.0)</f>
        <v>4</v>
      </c>
      <c r="Z423" s="35">
        <f>IFERROR(__xludf.DUMMYFUNCTION("""COMPUTED_VALUE"""),4.0)</f>
        <v>4</v>
      </c>
    </row>
    <row r="424" ht="15.75" customHeight="1">
      <c r="C424" s="34">
        <v>5132.0</v>
      </c>
      <c r="D424" s="70" t="s">
        <v>575</v>
      </c>
      <c r="E424" s="71" t="str">
        <f>vlookup(C424,'NOC-List'!B$2:C$502,2,False)</f>
        <v>Conductors, composers and arrangers</v>
      </c>
      <c r="F424" s="72">
        <v>1.0</v>
      </c>
      <c r="G424" s="72">
        <v>2.0</v>
      </c>
      <c r="H424" s="72">
        <v>3.0</v>
      </c>
      <c r="I424" s="72">
        <v>3.0</v>
      </c>
      <c r="J424" s="72">
        <v>3.0</v>
      </c>
      <c r="K424" s="72">
        <v>2.0</v>
      </c>
      <c r="L424" s="72">
        <v>3.0</v>
      </c>
      <c r="M424" s="72">
        <v>3.0</v>
      </c>
      <c r="N424" s="72">
        <v>3.0</v>
      </c>
      <c r="O424" s="73"/>
      <c r="P424" s="35">
        <f>IFERROR(__xludf.DUMMYFUNCTION("""COMPUTED_VALUE"""),6721.0)</f>
        <v>6721</v>
      </c>
      <c r="Q424" s="35" t="str">
        <f>IFERROR(__xludf.DUMMYFUNCTION("query(C424:N1417,""Select D,E,F,G,H,I,J,K,L,M WHERE ""&amp;P424&amp;"" =C Limit 1"")"),"Ship Attendants")</f>
        <v>Ship Attendants</v>
      </c>
      <c r="R424" s="35" t="str">
        <f>IFERROR(__xludf.DUMMYFUNCTION("""COMPUTED_VALUE"""),"Support occupations in accommodation, travel and facilities set-up services")</f>
        <v>Support occupations in accommodation, travel and facilities set-up services</v>
      </c>
      <c r="S424" s="35">
        <f>IFERROR(__xludf.DUMMYFUNCTION("""COMPUTED_VALUE"""),4.0)</f>
        <v>4</v>
      </c>
      <c r="T424" s="35">
        <f>IFERROR(__xludf.DUMMYFUNCTION("""COMPUTED_VALUE"""),4.0)</f>
        <v>4</v>
      </c>
      <c r="U424" s="35">
        <f>IFERROR(__xludf.DUMMYFUNCTION("""COMPUTED_VALUE"""),4.0)</f>
        <v>4</v>
      </c>
      <c r="V424" s="35">
        <f>IFERROR(__xludf.DUMMYFUNCTION("""COMPUTED_VALUE"""),4.0)</f>
        <v>4</v>
      </c>
      <c r="W424" s="35">
        <f>IFERROR(__xludf.DUMMYFUNCTION("""COMPUTED_VALUE"""),4.0)</f>
        <v>4</v>
      </c>
      <c r="X424" s="35">
        <f>IFERROR(__xludf.DUMMYFUNCTION("""COMPUTED_VALUE"""),5.0)</f>
        <v>5</v>
      </c>
      <c r="Y424" s="35">
        <f>IFERROR(__xludf.DUMMYFUNCTION("""COMPUTED_VALUE"""),4.0)</f>
        <v>4</v>
      </c>
      <c r="Z424" s="35">
        <f>IFERROR(__xludf.DUMMYFUNCTION("""COMPUTED_VALUE"""),4.0)</f>
        <v>4</v>
      </c>
    </row>
    <row r="425" ht="15.75" customHeight="1">
      <c r="C425" s="34">
        <v>5131.0</v>
      </c>
      <c r="D425" s="70" t="s">
        <v>576</v>
      </c>
      <c r="E425" s="71" t="str">
        <f>vlookup(C425,'NOC-List'!B$2:C$502,2,False)</f>
        <v>Producers, directors, choreographers and related occupations</v>
      </c>
      <c r="F425" s="72">
        <v>2.0</v>
      </c>
      <c r="G425" s="72">
        <v>2.0</v>
      </c>
      <c r="H425" s="72">
        <v>3.0</v>
      </c>
      <c r="I425" s="72">
        <v>2.0</v>
      </c>
      <c r="J425" s="72">
        <v>3.0</v>
      </c>
      <c r="K425" s="72">
        <v>3.0</v>
      </c>
      <c r="L425" s="72">
        <v>4.0</v>
      </c>
      <c r="M425" s="72">
        <v>4.0</v>
      </c>
      <c r="N425" s="72">
        <v>4.0</v>
      </c>
      <c r="O425" s="73"/>
      <c r="P425" s="35">
        <f>IFERROR(__xludf.DUMMYFUNCTION("""COMPUTED_VALUE"""),4152.0)</f>
        <v>4152</v>
      </c>
      <c r="Q425" s="35" t="str">
        <f>IFERROR(__xludf.DUMMYFUNCTION("query(C425:N1418,""Select D,E,F,G,H,I,J,K,L,M WHERE ""&amp;P425&amp;"" =C Limit 1"")"),"Social Workers")</f>
        <v>Social Workers</v>
      </c>
      <c r="R425" s="35" t="str">
        <f>IFERROR(__xludf.DUMMYFUNCTION("""COMPUTED_VALUE"""),"Social workers")</f>
        <v>Social workers</v>
      </c>
      <c r="S425" s="35">
        <f>IFERROR(__xludf.DUMMYFUNCTION("""COMPUTED_VALUE"""),2.0)</f>
        <v>2</v>
      </c>
      <c r="T425" s="35">
        <f>IFERROR(__xludf.DUMMYFUNCTION("""COMPUTED_VALUE"""),2.0)</f>
        <v>2</v>
      </c>
      <c r="U425" s="35">
        <f>IFERROR(__xludf.DUMMYFUNCTION("""COMPUTED_VALUE"""),3.0)</f>
        <v>3</v>
      </c>
      <c r="V425" s="35">
        <f>IFERROR(__xludf.DUMMYFUNCTION("""COMPUTED_VALUE"""),4.0)</f>
        <v>4</v>
      </c>
      <c r="W425" s="35">
        <f>IFERROR(__xludf.DUMMYFUNCTION("""COMPUTED_VALUE"""),4.0)</f>
        <v>4</v>
      </c>
      <c r="X425" s="35">
        <f>IFERROR(__xludf.DUMMYFUNCTION("""COMPUTED_VALUE"""),3.0)</f>
        <v>3</v>
      </c>
      <c r="Y425" s="35">
        <f>IFERROR(__xludf.DUMMYFUNCTION("""COMPUTED_VALUE"""),4.0)</f>
        <v>4</v>
      </c>
      <c r="Z425" s="35">
        <f>IFERROR(__xludf.DUMMYFUNCTION("""COMPUTED_VALUE"""),4.0)</f>
        <v>4</v>
      </c>
    </row>
    <row r="426" ht="15.75" customHeight="1">
      <c r="C426" s="34">
        <v>6562.0</v>
      </c>
      <c r="D426" s="70" t="s">
        <v>577</v>
      </c>
      <c r="E426" s="71" t="str">
        <f>vlookup(C426,'NOC-List'!B$2:C$502,2,False)</f>
        <v>Estheticians, electrologists and related occupations</v>
      </c>
      <c r="F426" s="72">
        <v>4.0</v>
      </c>
      <c r="G426" s="72">
        <v>4.0</v>
      </c>
      <c r="H426" s="72">
        <v>4.0</v>
      </c>
      <c r="I426" s="72">
        <v>3.0</v>
      </c>
      <c r="J426" s="72">
        <v>3.0</v>
      </c>
      <c r="K426" s="72">
        <v>4.0</v>
      </c>
      <c r="L426" s="72">
        <v>3.0</v>
      </c>
      <c r="M426" s="72">
        <v>2.0</v>
      </c>
      <c r="N426" s="72">
        <v>3.0</v>
      </c>
      <c r="O426" s="73"/>
      <c r="P426" s="35">
        <f>IFERROR(__xludf.DUMMYFUNCTION("""COMPUTED_VALUE"""),2147.0)</f>
        <v>2147</v>
      </c>
      <c r="Q426" s="35" t="str">
        <f>IFERROR(__xludf.DUMMYFUNCTION("query(C426:N1419,""Select D,E,F,G,H,I,J,K,L,M WHERE ""&amp;P426&amp;"" =C Limit 1"")"),"Software Engineers")</f>
        <v>Software Engineers</v>
      </c>
      <c r="R426" s="35" t="str">
        <f>IFERROR(__xludf.DUMMYFUNCTION("""COMPUTED_VALUE"""),"Computer engineers (except software engineers and designers)")</f>
        <v>Computer engineers (except software engineers and designers)</v>
      </c>
      <c r="S426" s="35">
        <f>IFERROR(__xludf.DUMMYFUNCTION("""COMPUTED_VALUE"""),1.0)</f>
        <v>1</v>
      </c>
      <c r="T426" s="35">
        <f>IFERROR(__xludf.DUMMYFUNCTION("""COMPUTED_VALUE"""),2.0)</f>
        <v>2</v>
      </c>
      <c r="U426" s="35">
        <f>IFERROR(__xludf.DUMMYFUNCTION("""COMPUTED_VALUE"""),1.0)</f>
        <v>1</v>
      </c>
      <c r="V426" s="35">
        <f>IFERROR(__xludf.DUMMYFUNCTION("""COMPUTED_VALUE"""),2.0)</f>
        <v>2</v>
      </c>
      <c r="W426" s="35">
        <f>IFERROR(__xludf.DUMMYFUNCTION("""COMPUTED_VALUE"""),3.0)</f>
        <v>3</v>
      </c>
      <c r="X426" s="35">
        <f>IFERROR(__xludf.DUMMYFUNCTION("""COMPUTED_VALUE"""),3.0)</f>
        <v>3</v>
      </c>
      <c r="Y426" s="35">
        <f>IFERROR(__xludf.DUMMYFUNCTION("""COMPUTED_VALUE"""),4.0)</f>
        <v>4</v>
      </c>
      <c r="Z426" s="35">
        <f>IFERROR(__xludf.DUMMYFUNCTION("""COMPUTED_VALUE"""),4.0)</f>
        <v>4</v>
      </c>
    </row>
    <row r="427" ht="15.75" customHeight="1">
      <c r="C427" s="34">
        <v>3237.0</v>
      </c>
      <c r="D427" s="70" t="s">
        <v>578</v>
      </c>
      <c r="E427" s="71" t="str">
        <f>vlookup(C427,'NOC-List'!B$2:C$502,2,False)</f>
        <v>Other technical occupations in therapy and assessment</v>
      </c>
      <c r="F427" s="72">
        <v>3.0</v>
      </c>
      <c r="G427" s="72">
        <v>3.0</v>
      </c>
      <c r="H427" s="72">
        <v>3.0</v>
      </c>
      <c r="I427" s="72">
        <v>4.0</v>
      </c>
      <c r="J427" s="72">
        <v>4.0</v>
      </c>
      <c r="K427" s="72">
        <v>3.0</v>
      </c>
      <c r="L427" s="72">
        <v>3.0</v>
      </c>
      <c r="M427" s="72">
        <v>3.0</v>
      </c>
      <c r="N427" s="72">
        <v>3.0</v>
      </c>
      <c r="O427" s="73"/>
      <c r="P427" s="35">
        <f>IFERROR(__xludf.DUMMYFUNCTION("""COMPUTED_VALUE"""),1121.0)</f>
        <v>1121</v>
      </c>
      <c r="Q427" s="35" t="str">
        <f>IFERROR(__xludf.DUMMYFUNCTION("query(C427:N1420,""Select D,E,F,G,H,I,J,K,L,M WHERE ""&amp;P427&amp;"" =C Limit 1"")"),"Specialists in Human Resources")</f>
        <v>Specialists in Human Resources</v>
      </c>
      <c r="R427" s="35" t="str">
        <f>IFERROR(__xludf.DUMMYFUNCTION("""COMPUTED_VALUE"""),"Human resources professionals")</f>
        <v>Human resources professionals</v>
      </c>
      <c r="S427" s="35">
        <f>IFERROR(__xludf.DUMMYFUNCTION("""COMPUTED_VALUE"""),2.0)</f>
        <v>2</v>
      </c>
      <c r="T427" s="35">
        <f>IFERROR(__xludf.DUMMYFUNCTION("""COMPUTED_VALUE"""),2.0)</f>
        <v>2</v>
      </c>
      <c r="U427" s="35">
        <f>IFERROR(__xludf.DUMMYFUNCTION("""COMPUTED_VALUE"""),3.0)</f>
        <v>3</v>
      </c>
      <c r="V427" s="35">
        <f>IFERROR(__xludf.DUMMYFUNCTION("""COMPUTED_VALUE"""),4.0)</f>
        <v>4</v>
      </c>
      <c r="W427" s="35">
        <f>IFERROR(__xludf.DUMMYFUNCTION("""COMPUTED_VALUE"""),4.0)</f>
        <v>4</v>
      </c>
      <c r="X427" s="35">
        <f>IFERROR(__xludf.DUMMYFUNCTION("""COMPUTED_VALUE"""),3.0)</f>
        <v>3</v>
      </c>
      <c r="Y427" s="35">
        <f>IFERROR(__xludf.DUMMYFUNCTION("""COMPUTED_VALUE"""),4.0)</f>
        <v>4</v>
      </c>
      <c r="Z427" s="35">
        <f>IFERROR(__xludf.DUMMYFUNCTION("""COMPUTED_VALUE"""),4.0)</f>
        <v>4</v>
      </c>
    </row>
    <row r="428" ht="15.75" customHeight="1">
      <c r="C428" s="81">
        <v>3237.0</v>
      </c>
      <c r="D428" s="70" t="s">
        <v>579</v>
      </c>
      <c r="E428" s="71" t="str">
        <f>vlookup(C428,'NOC-List'!B$2:C$502,2,False)</f>
        <v>Other technical occupations in therapy and assessment</v>
      </c>
      <c r="F428" s="72">
        <v>3.0</v>
      </c>
      <c r="G428" s="72">
        <v>3.0</v>
      </c>
      <c r="H428" s="72">
        <v>4.0</v>
      </c>
      <c r="I428" s="72">
        <v>4.0</v>
      </c>
      <c r="J428" s="72">
        <v>4.0</v>
      </c>
      <c r="K428" s="72">
        <v>3.0</v>
      </c>
      <c r="L428" s="72">
        <v>4.0</v>
      </c>
      <c r="M428" s="72">
        <v>3.0</v>
      </c>
      <c r="N428" s="72">
        <v>3.0</v>
      </c>
      <c r="O428" s="73"/>
      <c r="P428" s="35">
        <f>IFERROR(__xludf.DUMMYFUNCTION("""COMPUTED_VALUE"""),6623.0)</f>
        <v>6623</v>
      </c>
      <c r="Q428" s="35" t="str">
        <f>IFERROR(__xludf.DUMMYFUNCTION("query(C428:N1421,""Select D,E,F,G,H,I,J,K,L,M WHERE ""&amp;P428&amp;"" =C Limit 1"")"),"Street Vendors")</f>
        <v>Street Vendors</v>
      </c>
      <c r="R428" s="35" t="str">
        <f>IFERROR(__xludf.DUMMYFUNCTION("""COMPUTED_VALUE"""),"Other sales related occupations")</f>
        <v>Other sales related occupations</v>
      </c>
      <c r="S428" s="35">
        <f>IFERROR(__xludf.DUMMYFUNCTION("""COMPUTED_VALUE"""),4.0)</f>
        <v>4</v>
      </c>
      <c r="T428" s="35">
        <f>IFERROR(__xludf.DUMMYFUNCTION("""COMPUTED_VALUE"""),4.0)</f>
        <v>4</v>
      </c>
      <c r="U428" s="35">
        <f>IFERROR(__xludf.DUMMYFUNCTION("""COMPUTED_VALUE"""),4.0)</f>
        <v>4</v>
      </c>
      <c r="V428" s="35">
        <f>IFERROR(__xludf.DUMMYFUNCTION("""COMPUTED_VALUE"""),4.0)</f>
        <v>4</v>
      </c>
      <c r="W428" s="35">
        <f>IFERROR(__xludf.DUMMYFUNCTION("""COMPUTED_VALUE"""),4.0)</f>
        <v>4</v>
      </c>
      <c r="X428" s="35">
        <f>IFERROR(__xludf.DUMMYFUNCTION("""COMPUTED_VALUE"""),4.0)</f>
        <v>4</v>
      </c>
      <c r="Y428" s="35">
        <f>IFERROR(__xludf.DUMMYFUNCTION("""COMPUTED_VALUE"""),4.0)</f>
        <v>4</v>
      </c>
      <c r="Z428" s="35">
        <f>IFERROR(__xludf.DUMMYFUNCTION("""COMPUTED_VALUE"""),4.0)</f>
        <v>4</v>
      </c>
    </row>
    <row r="429" ht="15.75" customHeight="1">
      <c r="C429" s="34">
        <v>2244.0</v>
      </c>
      <c r="D429" s="70" t="s">
        <v>580</v>
      </c>
      <c r="E429" s="71" t="str">
        <f>vlookup(C429,'NOC-List'!B$2:C$502,2,False)</f>
        <v>Aircraft instrument, electrical and avionics mechanics, technicians and inspectors</v>
      </c>
      <c r="F429" s="72">
        <v>3.0</v>
      </c>
      <c r="G429" s="72">
        <v>3.0</v>
      </c>
      <c r="H429" s="72">
        <v>3.0</v>
      </c>
      <c r="I429" s="72">
        <v>2.0</v>
      </c>
      <c r="J429" s="72">
        <v>2.0</v>
      </c>
      <c r="K429" s="72">
        <v>4.0</v>
      </c>
      <c r="L429" s="72">
        <v>2.0</v>
      </c>
      <c r="M429" s="72">
        <v>1.0</v>
      </c>
      <c r="N429" s="72">
        <v>1.0</v>
      </c>
      <c r="O429" s="73"/>
      <c r="P429" s="35">
        <f>IFERROR(__xludf.DUMMYFUNCTION("""COMPUTED_VALUE"""),9213.0)</f>
        <v>9213</v>
      </c>
      <c r="Q429" s="35" t="str">
        <f>IFERROR(__xludf.DUMMYFUNCTION("query(C429:N1422,""Select D,E,F,G,H,I,J,K,L,M WHERE ""&amp;P429&amp;"" =C Limit 1"")"),"Supervisors, Food, Beverage and Tobacco Processing")</f>
        <v>Supervisors, Food, Beverage and Tobacco Processing</v>
      </c>
      <c r="R429" s="35" t="str">
        <f>IFERROR(__xludf.DUMMYFUNCTION("""COMPUTED_VALUE"""),"Supervisors, food, beverage and associated products processing")</f>
        <v>Supervisors, food, beverage and associated products processing</v>
      </c>
      <c r="S429" s="35">
        <f>IFERROR(__xludf.DUMMYFUNCTION("""COMPUTED_VALUE"""),3.0)</f>
        <v>3</v>
      </c>
      <c r="T429" s="35">
        <f>IFERROR(__xludf.DUMMYFUNCTION("""COMPUTED_VALUE"""),3.0)</f>
        <v>3</v>
      </c>
      <c r="U429" s="35">
        <f>IFERROR(__xludf.DUMMYFUNCTION("""COMPUTED_VALUE"""),3.0)</f>
        <v>3</v>
      </c>
      <c r="V429" s="35">
        <f>IFERROR(__xludf.DUMMYFUNCTION("""COMPUTED_VALUE"""),4.0)</f>
        <v>4</v>
      </c>
      <c r="W429" s="35">
        <f>IFERROR(__xludf.DUMMYFUNCTION("""COMPUTED_VALUE"""),4.0)</f>
        <v>4</v>
      </c>
      <c r="X429" s="35">
        <f>IFERROR(__xludf.DUMMYFUNCTION("""COMPUTED_VALUE"""),3.0)</f>
        <v>3</v>
      </c>
      <c r="Y429" s="35">
        <f>IFERROR(__xludf.DUMMYFUNCTION("""COMPUTED_VALUE"""),4.0)</f>
        <v>4</v>
      </c>
      <c r="Z429" s="35">
        <f>IFERROR(__xludf.DUMMYFUNCTION("""COMPUTED_VALUE"""),4.0)</f>
        <v>4</v>
      </c>
    </row>
    <row r="430" ht="15.75" customHeight="1">
      <c r="C430" s="34">
        <v>6722.0</v>
      </c>
      <c r="D430" s="70" t="s">
        <v>581</v>
      </c>
      <c r="E430" s="71" t="str">
        <f>vlookup(C430,'NOC-List'!B$2:C$502,2,False)</f>
        <v>Operators and attendants in amusement, recreation and sport</v>
      </c>
      <c r="F430" s="72">
        <v>4.0</v>
      </c>
      <c r="G430" s="72">
        <v>4.0</v>
      </c>
      <c r="H430" s="72">
        <v>4.0</v>
      </c>
      <c r="I430" s="72">
        <v>3.0</v>
      </c>
      <c r="J430" s="72">
        <v>4.0</v>
      </c>
      <c r="K430" s="72">
        <v>4.0</v>
      </c>
      <c r="L430" s="72">
        <v>3.0</v>
      </c>
      <c r="M430" s="72">
        <v>4.0</v>
      </c>
      <c r="N430" s="72">
        <v>3.0</v>
      </c>
      <c r="O430" s="73"/>
      <c r="P430" s="35">
        <f>IFERROR(__xludf.DUMMYFUNCTION("""COMPUTED_VALUE"""),1211.0)</f>
        <v>1211</v>
      </c>
      <c r="Q430" s="35" t="str">
        <f>IFERROR(__xludf.DUMMYFUNCTION("query(C430:N1423,""Select D,E,F,G,H,I,J,K,L,M WHERE ""&amp;P430&amp;"" =C Limit 1"")"),"Supervisors, General Office and Administrative Support Clerks")</f>
        <v>Supervisors, General Office and Administrative Support Clerks</v>
      </c>
      <c r="R430" s="35" t="str">
        <f>IFERROR(__xludf.DUMMYFUNCTION("""COMPUTED_VALUE"""),"Supervisors, general office and administrative support workers")</f>
        <v>Supervisors, general office and administrative support workers</v>
      </c>
      <c r="S430" s="35">
        <f>IFERROR(__xludf.DUMMYFUNCTION("""COMPUTED_VALUE"""),3.0)</f>
        <v>3</v>
      </c>
      <c r="T430" s="35">
        <f>IFERROR(__xludf.DUMMYFUNCTION("""COMPUTED_VALUE"""),3.0)</f>
        <v>3</v>
      </c>
      <c r="U430" s="35">
        <f>IFERROR(__xludf.DUMMYFUNCTION("""COMPUTED_VALUE"""),3.0)</f>
        <v>3</v>
      </c>
      <c r="V430" s="35">
        <f>IFERROR(__xludf.DUMMYFUNCTION("""COMPUTED_VALUE"""),4.0)</f>
        <v>4</v>
      </c>
      <c r="W430" s="35">
        <f>IFERROR(__xludf.DUMMYFUNCTION("""COMPUTED_VALUE"""),4.0)</f>
        <v>4</v>
      </c>
      <c r="X430" s="35">
        <f>IFERROR(__xludf.DUMMYFUNCTION("""COMPUTED_VALUE"""),3.0)</f>
        <v>3</v>
      </c>
      <c r="Y430" s="35">
        <f>IFERROR(__xludf.DUMMYFUNCTION("""COMPUTED_VALUE"""),4.0)</f>
        <v>4</v>
      </c>
      <c r="Z430" s="35">
        <f>IFERROR(__xludf.DUMMYFUNCTION("""COMPUTED_VALUE"""),4.0)</f>
        <v>4</v>
      </c>
    </row>
    <row r="431" ht="15.75" customHeight="1">
      <c r="C431" s="34">
        <v>6722.0</v>
      </c>
      <c r="D431" s="70" t="s">
        <v>582</v>
      </c>
      <c r="E431" s="71" t="str">
        <f>vlookup(C431,'NOC-List'!B$2:C$502,2,False)</f>
        <v>Operators and attendants in amusement, recreation and sport</v>
      </c>
      <c r="F431" s="72">
        <v>4.0</v>
      </c>
      <c r="G431" s="72">
        <v>4.0</v>
      </c>
      <c r="H431" s="72">
        <v>3.0</v>
      </c>
      <c r="I431" s="72">
        <v>3.0</v>
      </c>
      <c r="J431" s="72">
        <v>4.0</v>
      </c>
      <c r="K431" s="72">
        <v>3.0</v>
      </c>
      <c r="L431" s="72">
        <v>3.0</v>
      </c>
      <c r="M431" s="72">
        <v>4.0</v>
      </c>
      <c r="N431" s="72">
        <v>3.0</v>
      </c>
      <c r="O431" s="73"/>
      <c r="P431" s="35">
        <f>IFERROR(__xludf.DUMMYFUNCTION("""COMPUTED_VALUE"""),131.0)</f>
        <v>131</v>
      </c>
      <c r="Q431" s="35" t="str">
        <f>IFERROR(__xludf.DUMMYFUNCTION("query(C431:N1424,""Select D,E,F,G,H,I,J,K,L,M WHERE ""&amp;P431&amp;"" =C Limit 1"")"),"Telecommunication Carriers Managers")</f>
        <v>Telecommunication Carriers Managers</v>
      </c>
      <c r="R431" s="35" t="str">
        <f>IFERROR(__xludf.DUMMYFUNCTION("""COMPUTED_VALUE"""),"Telecommunication carriers managers")</f>
        <v>Telecommunication carriers managers</v>
      </c>
      <c r="S431" s="35">
        <f>IFERROR(__xludf.DUMMYFUNCTION("""COMPUTED_VALUE"""),2.0)</f>
        <v>2</v>
      </c>
      <c r="T431" s="35">
        <f>IFERROR(__xludf.DUMMYFUNCTION("""COMPUTED_VALUE"""),2.0)</f>
        <v>2</v>
      </c>
      <c r="U431" s="35">
        <f>IFERROR(__xludf.DUMMYFUNCTION("""COMPUTED_VALUE"""),2.0)</f>
        <v>2</v>
      </c>
      <c r="V431" s="35">
        <f>IFERROR(__xludf.DUMMYFUNCTION("""COMPUTED_VALUE"""),3.0)</f>
        <v>3</v>
      </c>
      <c r="W431" s="35">
        <f>IFERROR(__xludf.DUMMYFUNCTION("""COMPUTED_VALUE"""),4.0)</f>
        <v>4</v>
      </c>
      <c r="X431" s="35">
        <f>IFERROR(__xludf.DUMMYFUNCTION("""COMPUTED_VALUE"""),3.0)</f>
        <v>3</v>
      </c>
      <c r="Y431" s="35">
        <f>IFERROR(__xludf.DUMMYFUNCTION("""COMPUTED_VALUE"""),4.0)</f>
        <v>4</v>
      </c>
      <c r="Z431" s="35">
        <f>IFERROR(__xludf.DUMMYFUNCTION("""COMPUTED_VALUE"""),4.0)</f>
        <v>4</v>
      </c>
    </row>
    <row r="432" ht="15.75" customHeight="1">
      <c r="C432" s="34">
        <v>7281.0</v>
      </c>
      <c r="D432" s="70" t="s">
        <v>583</v>
      </c>
      <c r="E432" s="71" t="str">
        <f>vlookup(C432,'NOC-List'!B$2:C$502,2,False)</f>
        <v>Bricklayers</v>
      </c>
      <c r="F432" s="72">
        <v>3.0</v>
      </c>
      <c r="G432" s="72">
        <v>4.0</v>
      </c>
      <c r="H432" s="72">
        <v>3.0</v>
      </c>
      <c r="I432" s="72">
        <v>3.0</v>
      </c>
      <c r="J432" s="72">
        <v>4.0</v>
      </c>
      <c r="K432" s="72">
        <v>4.0</v>
      </c>
      <c r="L432" s="72">
        <v>3.0</v>
      </c>
      <c r="M432" s="72">
        <v>4.0</v>
      </c>
      <c r="N432" s="72">
        <v>3.0</v>
      </c>
      <c r="O432" s="73"/>
      <c r="P432" s="35">
        <f>IFERROR(__xludf.DUMMYFUNCTION("""COMPUTED_VALUE"""),2148.0)</f>
        <v>2148</v>
      </c>
      <c r="Q432" s="35" t="str">
        <f>IFERROR(__xludf.DUMMYFUNCTION("query(C432:N1425,""Select D,E,F,G,H,I,J,K,L,M WHERE ""&amp;P432&amp;"" =C Limit 1"")"),"Textile Engineers")</f>
        <v>Textile Engineers</v>
      </c>
      <c r="R432" s="35" t="str">
        <f>IFERROR(__xludf.DUMMYFUNCTION("""COMPUTED_VALUE"""),"Other professional engineers, n.e.c.")</f>
        <v>Other professional engineers, n.e.c.</v>
      </c>
      <c r="S432" s="35">
        <f>IFERROR(__xludf.DUMMYFUNCTION("""COMPUTED_VALUE"""),1.0)</f>
        <v>1</v>
      </c>
      <c r="T432" s="35">
        <f>IFERROR(__xludf.DUMMYFUNCTION("""COMPUTED_VALUE"""),2.0)</f>
        <v>2</v>
      </c>
      <c r="U432" s="35">
        <f>IFERROR(__xludf.DUMMYFUNCTION("""COMPUTED_VALUE"""),1.0)</f>
        <v>1</v>
      </c>
      <c r="V432" s="35">
        <f>IFERROR(__xludf.DUMMYFUNCTION("""COMPUTED_VALUE"""),1.0)</f>
        <v>1</v>
      </c>
      <c r="W432" s="35">
        <f>IFERROR(__xludf.DUMMYFUNCTION("""COMPUTED_VALUE"""),3.0)</f>
        <v>3</v>
      </c>
      <c r="X432" s="35">
        <f>IFERROR(__xludf.DUMMYFUNCTION("""COMPUTED_VALUE"""),4.0)</f>
        <v>4</v>
      </c>
      <c r="Y432" s="35">
        <f>IFERROR(__xludf.DUMMYFUNCTION("""COMPUTED_VALUE"""),4.0)</f>
        <v>4</v>
      </c>
      <c r="Z432" s="35">
        <f>IFERROR(__xludf.DUMMYFUNCTION("""COMPUTED_VALUE"""),4.0)</f>
        <v>4</v>
      </c>
    </row>
    <row r="433" ht="15.75" customHeight="1">
      <c r="C433" s="81">
        <v>6321.0</v>
      </c>
      <c r="D433" s="70" t="s">
        <v>584</v>
      </c>
      <c r="E433" s="71" t="str">
        <f>vlookup(C433,'NOC-List'!B$2:C$502,2,False)</f>
        <v>Chefs</v>
      </c>
      <c r="F433" s="72">
        <v>3.0</v>
      </c>
      <c r="G433" s="72">
        <v>3.0</v>
      </c>
      <c r="H433" s="72">
        <v>3.0</v>
      </c>
      <c r="I433" s="72">
        <v>4.0</v>
      </c>
      <c r="J433" s="72">
        <v>3.0</v>
      </c>
      <c r="K433" s="72">
        <v>4.0</v>
      </c>
      <c r="L433" s="72">
        <v>3.0</v>
      </c>
      <c r="M433" s="72">
        <v>3.0</v>
      </c>
      <c r="N433" s="72">
        <v>3.0</v>
      </c>
      <c r="O433" s="73"/>
      <c r="P433" s="35">
        <f>IFERROR(__xludf.DUMMYFUNCTION("""COMPUTED_VALUE"""),6531.0)</f>
        <v>6531</v>
      </c>
      <c r="Q433" s="35" t="str">
        <f>IFERROR(__xludf.DUMMYFUNCTION("query(C433:N1426,""Select D,E,F,G,H,I,J,K,L,M WHERE ""&amp;P433&amp;"" =C Limit 1"")"),"Tour Guides")</f>
        <v>Tour Guides</v>
      </c>
      <c r="R433" s="35" t="str">
        <f>IFERROR(__xludf.DUMMYFUNCTION("""COMPUTED_VALUE"""),"Tour and travel guides")</f>
        <v>Tour and travel guides</v>
      </c>
      <c r="S433" s="35">
        <f>IFERROR(__xludf.DUMMYFUNCTION("""COMPUTED_VALUE"""),3.0)</f>
        <v>3</v>
      </c>
      <c r="T433" s="35">
        <f>IFERROR(__xludf.DUMMYFUNCTION("""COMPUTED_VALUE"""),3.0)</f>
        <v>3</v>
      </c>
      <c r="U433" s="35">
        <f>IFERROR(__xludf.DUMMYFUNCTION("""COMPUTED_VALUE"""),3.0)</f>
        <v>3</v>
      </c>
      <c r="V433" s="35">
        <f>IFERROR(__xludf.DUMMYFUNCTION("""COMPUTED_VALUE"""),4.0)</f>
        <v>4</v>
      </c>
      <c r="W433" s="35">
        <f>IFERROR(__xludf.DUMMYFUNCTION("""COMPUTED_VALUE"""),4.0)</f>
        <v>4</v>
      </c>
      <c r="X433" s="35">
        <f>IFERROR(__xludf.DUMMYFUNCTION("""COMPUTED_VALUE"""),3.0)</f>
        <v>3</v>
      </c>
      <c r="Y433" s="35">
        <f>IFERROR(__xludf.DUMMYFUNCTION("""COMPUTED_VALUE"""),4.0)</f>
        <v>4</v>
      </c>
      <c r="Z433" s="35">
        <f>IFERROR(__xludf.DUMMYFUNCTION("""COMPUTED_VALUE"""),4.0)</f>
        <v>4</v>
      </c>
    </row>
    <row r="434" ht="15.75" customHeight="1">
      <c r="C434" s="34">
        <v>7533.0</v>
      </c>
      <c r="D434" s="70" t="s">
        <v>585</v>
      </c>
      <c r="E434" s="71" t="str">
        <f>vlookup(C434,'NOC-List'!B$2:C$502,2,False)</f>
        <v>Boat and cable ferry operators and related occupations</v>
      </c>
      <c r="F434" s="72">
        <v>3.0</v>
      </c>
      <c r="G434" s="72">
        <v>4.0</v>
      </c>
      <c r="H434" s="72">
        <v>4.0</v>
      </c>
      <c r="I434" s="72">
        <v>3.0</v>
      </c>
      <c r="J434" s="72">
        <v>3.0</v>
      </c>
      <c r="K434" s="72">
        <v>5.0</v>
      </c>
      <c r="L434" s="72">
        <v>4.0</v>
      </c>
      <c r="M434" s="72">
        <v>4.0</v>
      </c>
      <c r="N434" s="72">
        <v>3.0</v>
      </c>
      <c r="O434" s="73"/>
      <c r="P434" s="35">
        <f>IFERROR(__xludf.DUMMYFUNCTION("""COMPUTED_VALUE"""),1526.0)</f>
        <v>1526</v>
      </c>
      <c r="Q434" s="35" t="str">
        <f>IFERROR(__xludf.DUMMYFUNCTION("query(C434:N1427,""Select D,E,F,G,H,I,J,K,L,M WHERE ""&amp;P434&amp;"" =C Limit 1"")"),"Transportation Route and Crew Schedulers")</f>
        <v>Transportation Route and Crew Schedulers</v>
      </c>
      <c r="R434" s="35" t="str">
        <f>IFERROR(__xludf.DUMMYFUNCTION("""COMPUTED_VALUE"""),"Transportation route and crew schedulers")</f>
        <v>Transportation route and crew schedulers</v>
      </c>
      <c r="S434" s="35">
        <f>IFERROR(__xludf.DUMMYFUNCTION("""COMPUTED_VALUE"""),3.0)</f>
        <v>3</v>
      </c>
      <c r="T434" s="35">
        <f>IFERROR(__xludf.DUMMYFUNCTION("""COMPUTED_VALUE"""),3.0)</f>
        <v>3</v>
      </c>
      <c r="U434" s="35">
        <f>IFERROR(__xludf.DUMMYFUNCTION("""COMPUTED_VALUE"""),3.0)</f>
        <v>3</v>
      </c>
      <c r="V434" s="35">
        <f>IFERROR(__xludf.DUMMYFUNCTION("""COMPUTED_VALUE"""),4.0)</f>
        <v>4</v>
      </c>
      <c r="W434" s="35">
        <f>IFERROR(__xludf.DUMMYFUNCTION("""COMPUTED_VALUE"""),4.0)</f>
        <v>4</v>
      </c>
      <c r="X434" s="35">
        <f>IFERROR(__xludf.DUMMYFUNCTION("""COMPUTED_VALUE"""),3.0)</f>
        <v>3</v>
      </c>
      <c r="Y434" s="35">
        <f>IFERROR(__xludf.DUMMYFUNCTION("""COMPUTED_VALUE"""),4.0)</f>
        <v>4</v>
      </c>
      <c r="Z434" s="35">
        <f>IFERROR(__xludf.DUMMYFUNCTION("""COMPUTED_VALUE"""),4.0)</f>
        <v>4</v>
      </c>
    </row>
    <row r="435" ht="15.75" customHeight="1">
      <c r="C435" s="34">
        <v>2211.0</v>
      </c>
      <c r="D435" s="70" t="s">
        <v>586</v>
      </c>
      <c r="E435" s="71" t="str">
        <f>vlookup(C435,'NOC-List'!B$2:C$502,2,False)</f>
        <v>Chemical technologists and technicians</v>
      </c>
      <c r="F435" s="72">
        <v>2.0</v>
      </c>
      <c r="G435" s="72">
        <v>2.0</v>
      </c>
      <c r="H435" s="72">
        <v>2.0</v>
      </c>
      <c r="I435" s="72">
        <v>3.0</v>
      </c>
      <c r="J435" s="72">
        <v>2.0</v>
      </c>
      <c r="K435" s="72">
        <v>3.0</v>
      </c>
      <c r="L435" s="72">
        <v>3.0</v>
      </c>
      <c r="M435" s="72">
        <v>3.0</v>
      </c>
      <c r="N435" s="72">
        <v>3.0</v>
      </c>
      <c r="O435" s="73"/>
      <c r="P435" s="35">
        <f>IFERROR(__xludf.DUMMYFUNCTION("""COMPUTED_VALUE"""),1221.0)</f>
        <v>1221</v>
      </c>
      <c r="Q435" s="35" t="str">
        <f>IFERROR(__xludf.DUMMYFUNCTION("query(C435:N1428,""Select D,E,F,G,H,I,J,K,L,M WHERE ""&amp;P435&amp;"" =C Limit 1"")"),"Administrative Officers")</f>
        <v>Administrative Officers</v>
      </c>
      <c r="R435" s="35" t="str">
        <f>IFERROR(__xludf.DUMMYFUNCTION("""COMPUTED_VALUE"""),"Administrative officers")</f>
        <v>Administrative officers</v>
      </c>
      <c r="S435" s="35">
        <f>IFERROR(__xludf.DUMMYFUNCTION("""COMPUTED_VALUE"""),2.0)</f>
        <v>2</v>
      </c>
      <c r="T435" s="35">
        <f>IFERROR(__xludf.DUMMYFUNCTION("""COMPUTED_VALUE"""),2.0)</f>
        <v>2</v>
      </c>
      <c r="U435" s="35">
        <f>IFERROR(__xludf.DUMMYFUNCTION("""COMPUTED_VALUE"""),2.0)</f>
        <v>2</v>
      </c>
      <c r="V435" s="35">
        <f>IFERROR(__xludf.DUMMYFUNCTION("""COMPUTED_VALUE"""),4.0)</f>
        <v>4</v>
      </c>
      <c r="W435" s="35">
        <f>IFERROR(__xludf.DUMMYFUNCTION("""COMPUTED_VALUE"""),4.0)</f>
        <v>4</v>
      </c>
      <c r="X435" s="35">
        <f>IFERROR(__xludf.DUMMYFUNCTION("""COMPUTED_VALUE"""),3.0)</f>
        <v>3</v>
      </c>
      <c r="Y435" s="35">
        <f>IFERROR(__xludf.DUMMYFUNCTION("""COMPUTED_VALUE"""),4.0)</f>
        <v>4</v>
      </c>
      <c r="Z435" s="35">
        <f>IFERROR(__xludf.DUMMYFUNCTION("""COMPUTED_VALUE"""),4.0)</f>
        <v>4</v>
      </c>
    </row>
    <row r="436" ht="15.75" customHeight="1">
      <c r="C436" s="34">
        <v>3232.0</v>
      </c>
      <c r="D436" s="70" t="s">
        <v>587</v>
      </c>
      <c r="E436" s="71" t="str">
        <f>vlookup(C436,'NOC-List'!B$2:C$502,2,False)</f>
        <v>Practitioners of natural healing</v>
      </c>
      <c r="F436" s="72">
        <v>3.0</v>
      </c>
      <c r="G436" s="72">
        <v>3.0</v>
      </c>
      <c r="H436" s="72">
        <v>4.0</v>
      </c>
      <c r="I436" s="72">
        <v>4.0</v>
      </c>
      <c r="J436" s="72">
        <v>4.0</v>
      </c>
      <c r="K436" s="72">
        <v>3.0</v>
      </c>
      <c r="L436" s="72">
        <v>3.0</v>
      </c>
      <c r="M436" s="72">
        <v>4.0</v>
      </c>
      <c r="N436" s="72">
        <v>3.0</v>
      </c>
      <c r="O436" s="73"/>
      <c r="P436" s="35">
        <f>IFERROR(__xludf.DUMMYFUNCTION("""COMPUTED_VALUE"""),124.0)</f>
        <v>124</v>
      </c>
      <c r="Q436" s="35" t="str">
        <f>IFERROR(__xludf.DUMMYFUNCTION("query(C436:N1429,""Select D,E,F,G,H,I,J,K,L,M WHERE ""&amp;P436&amp;"" =C Limit 1"")"),"Advertising Managers")</f>
        <v>Advertising Managers</v>
      </c>
      <c r="R436" s="35" t="str">
        <f>IFERROR(__xludf.DUMMYFUNCTION("""COMPUTED_VALUE"""),"Advertising, marketing and public relations managers")</f>
        <v>Advertising, marketing and public relations managers</v>
      </c>
      <c r="S436" s="35">
        <f>IFERROR(__xludf.DUMMYFUNCTION("""COMPUTED_VALUE"""),2.0)</f>
        <v>2</v>
      </c>
      <c r="T436" s="35">
        <f>IFERROR(__xludf.DUMMYFUNCTION("""COMPUTED_VALUE"""),2.0)</f>
        <v>2</v>
      </c>
      <c r="U436" s="35">
        <f>IFERROR(__xludf.DUMMYFUNCTION("""COMPUTED_VALUE"""),2.0)</f>
        <v>2</v>
      </c>
      <c r="V436" s="35">
        <f>IFERROR(__xludf.DUMMYFUNCTION("""COMPUTED_VALUE"""),4.0)</f>
        <v>4</v>
      </c>
      <c r="W436" s="35">
        <f>IFERROR(__xludf.DUMMYFUNCTION("""COMPUTED_VALUE"""),4.0)</f>
        <v>4</v>
      </c>
      <c r="X436" s="35">
        <f>IFERROR(__xludf.DUMMYFUNCTION("""COMPUTED_VALUE"""),3.0)</f>
        <v>3</v>
      </c>
      <c r="Y436" s="35">
        <f>IFERROR(__xludf.DUMMYFUNCTION("""COMPUTED_VALUE"""),4.0)</f>
        <v>4</v>
      </c>
      <c r="Z436" s="35">
        <f>IFERROR(__xludf.DUMMYFUNCTION("""COMPUTED_VALUE"""),4.0)</f>
        <v>4</v>
      </c>
    </row>
    <row r="437" ht="15.75" customHeight="1">
      <c r="C437" s="34">
        <v>5131.0</v>
      </c>
      <c r="D437" s="70" t="s">
        <v>588</v>
      </c>
      <c r="E437" s="71" t="str">
        <f>vlookup(C437,'NOC-List'!B$2:C$502,2,False)</f>
        <v>Producers, directors, choreographers and related occupations</v>
      </c>
      <c r="F437" s="72">
        <v>2.0</v>
      </c>
      <c r="G437" s="72">
        <v>2.0</v>
      </c>
      <c r="H437" s="72">
        <v>3.0</v>
      </c>
      <c r="I437" s="72">
        <v>2.0</v>
      </c>
      <c r="J437" s="72">
        <v>3.0</v>
      </c>
      <c r="K437" s="72">
        <v>4.0</v>
      </c>
      <c r="L437" s="72">
        <v>3.0</v>
      </c>
      <c r="M437" s="72">
        <v>4.0</v>
      </c>
      <c r="N437" s="72">
        <v>4.0</v>
      </c>
      <c r="O437" s="73"/>
      <c r="P437" s="35">
        <f>IFERROR(__xludf.DUMMYFUNCTION("""COMPUTED_VALUE"""),6523.0)</f>
        <v>6523</v>
      </c>
      <c r="Q437" s="35" t="str">
        <f>IFERROR(__xludf.DUMMYFUNCTION("query(C437:N1430,""Select D,E,F,G,H,I,J,K,L,M WHERE ""&amp;P437&amp;"" =C Limit 1"")"),"Airline Baggage Agents")</f>
        <v>Airline Baggage Agents</v>
      </c>
      <c r="R437" s="35" t="str">
        <f>IFERROR(__xludf.DUMMYFUNCTION("""COMPUTED_VALUE"""),"Airline ticket and service agents")</f>
        <v>Airline ticket and service agents</v>
      </c>
      <c r="S437" s="35">
        <f>IFERROR(__xludf.DUMMYFUNCTION("""COMPUTED_VALUE"""),3.0)</f>
        <v>3</v>
      </c>
      <c r="T437" s="35">
        <f>IFERROR(__xludf.DUMMYFUNCTION("""COMPUTED_VALUE"""),3.0)</f>
        <v>3</v>
      </c>
      <c r="U437" s="35">
        <f>IFERROR(__xludf.DUMMYFUNCTION("""COMPUTED_VALUE"""),3.0)</f>
        <v>3</v>
      </c>
      <c r="V437" s="35">
        <f>IFERROR(__xludf.DUMMYFUNCTION("""COMPUTED_VALUE"""),4.0)</f>
        <v>4</v>
      </c>
      <c r="W437" s="35">
        <f>IFERROR(__xludf.DUMMYFUNCTION("""COMPUTED_VALUE"""),4.0)</f>
        <v>4</v>
      </c>
      <c r="X437" s="35">
        <f>IFERROR(__xludf.DUMMYFUNCTION("""COMPUTED_VALUE"""),2.0)</f>
        <v>2</v>
      </c>
      <c r="Y437" s="35">
        <f>IFERROR(__xludf.DUMMYFUNCTION("""COMPUTED_VALUE"""),4.0)</f>
        <v>4</v>
      </c>
      <c r="Z437" s="35">
        <f>IFERROR(__xludf.DUMMYFUNCTION("""COMPUTED_VALUE"""),4.0)</f>
        <v>4</v>
      </c>
    </row>
    <row r="438" ht="15.75" customHeight="1">
      <c r="C438" s="34">
        <v>1452.0</v>
      </c>
      <c r="D438" s="70" t="s">
        <v>589</v>
      </c>
      <c r="E438" s="71" t="str">
        <f>vlookup(C438,'NOC-List'!B$2:C$502,2,False)</f>
        <v>Correspondence, publication and regulatory clerks</v>
      </c>
      <c r="F438" s="72">
        <v>3.0</v>
      </c>
      <c r="G438" s="72">
        <v>3.0</v>
      </c>
      <c r="H438" s="72">
        <v>3.0</v>
      </c>
      <c r="I438" s="72">
        <v>4.0</v>
      </c>
      <c r="J438" s="72">
        <v>3.0</v>
      </c>
      <c r="K438" s="72">
        <v>3.0</v>
      </c>
      <c r="L438" s="72">
        <v>3.0</v>
      </c>
      <c r="M438" s="72">
        <v>3.0</v>
      </c>
      <c r="N438" s="72">
        <v>4.0</v>
      </c>
      <c r="O438" s="73"/>
      <c r="P438" s="35">
        <f>IFERROR(__xludf.DUMMYFUNCTION("""COMPUTED_VALUE"""),5231.0)</f>
        <v>5231</v>
      </c>
      <c r="Q438" s="35" t="str">
        <f>IFERROR(__xludf.DUMMYFUNCTION("query(C438:N1431,""Select D,E,F,G,H,I,J,K,L,M WHERE ""&amp;P438&amp;"" =C Limit 1"")"),"Announcers and Other Broadcasters")</f>
        <v>Announcers and Other Broadcasters</v>
      </c>
      <c r="R438" s="35" t="str">
        <f>IFERROR(__xludf.DUMMYFUNCTION("""COMPUTED_VALUE"""),"Announcers and other broadcasters")</f>
        <v>Announcers and other broadcasters</v>
      </c>
      <c r="S438" s="35">
        <f>IFERROR(__xludf.DUMMYFUNCTION("""COMPUTED_VALUE"""),3.0)</f>
        <v>3</v>
      </c>
      <c r="T438" s="35">
        <f>IFERROR(__xludf.DUMMYFUNCTION("""COMPUTED_VALUE"""),2.0)</f>
        <v>2</v>
      </c>
      <c r="U438" s="35">
        <f>IFERROR(__xludf.DUMMYFUNCTION("""COMPUTED_VALUE"""),3.0)</f>
        <v>3</v>
      </c>
      <c r="V438" s="35">
        <f>IFERROR(__xludf.DUMMYFUNCTION("""COMPUTED_VALUE"""),4.0)</f>
        <v>4</v>
      </c>
      <c r="W438" s="35">
        <f>IFERROR(__xludf.DUMMYFUNCTION("""COMPUTED_VALUE"""),4.0)</f>
        <v>4</v>
      </c>
      <c r="X438" s="35">
        <f>IFERROR(__xludf.DUMMYFUNCTION("""COMPUTED_VALUE"""),3.0)</f>
        <v>3</v>
      </c>
      <c r="Y438" s="35">
        <f>IFERROR(__xludf.DUMMYFUNCTION("""COMPUTED_VALUE"""),4.0)</f>
        <v>4</v>
      </c>
      <c r="Z438" s="35">
        <f>IFERROR(__xludf.DUMMYFUNCTION("""COMPUTED_VALUE"""),4.0)</f>
        <v>4</v>
      </c>
    </row>
    <row r="439" ht="15.75" customHeight="1">
      <c r="C439" s="81">
        <v>3131.0</v>
      </c>
      <c r="D439" s="70" t="s">
        <v>590</v>
      </c>
      <c r="E439" s="71" t="str">
        <f>vlookup(C439,'NOC-List'!B$2:C$502,2,False)</f>
        <v>Pharmacists</v>
      </c>
      <c r="F439" s="72">
        <v>2.0</v>
      </c>
      <c r="G439" s="72">
        <v>2.0</v>
      </c>
      <c r="H439" s="72">
        <v>2.0</v>
      </c>
      <c r="I439" s="72">
        <v>3.0</v>
      </c>
      <c r="J439" s="72">
        <v>2.0</v>
      </c>
      <c r="K439" s="72">
        <v>3.0</v>
      </c>
      <c r="L439" s="72">
        <v>3.0</v>
      </c>
      <c r="M439" s="72">
        <v>3.0</v>
      </c>
      <c r="N439" s="72">
        <v>3.0</v>
      </c>
      <c r="O439" s="73"/>
      <c r="P439" s="35">
        <f>IFERROR(__xludf.DUMMYFUNCTION("""COMPUTED_VALUE"""),1113.0)</f>
        <v>1113</v>
      </c>
      <c r="Q439" s="35" t="str">
        <f>IFERROR(__xludf.DUMMYFUNCTION("query(C439:N1432,""Select D,E,F,G,H,I,J,K,L,M WHERE ""&amp;P439&amp;"" =C Limit 1"")"),"Brokers")</f>
        <v>Brokers</v>
      </c>
      <c r="R439" s="35" t="str">
        <f>IFERROR(__xludf.DUMMYFUNCTION("""COMPUTED_VALUE"""),"Securities agents, investment dealers and brokers")</f>
        <v>Securities agents, investment dealers and brokers</v>
      </c>
      <c r="S439" s="35">
        <f>IFERROR(__xludf.DUMMYFUNCTION("""COMPUTED_VALUE"""),2.0)</f>
        <v>2</v>
      </c>
      <c r="T439" s="35">
        <f>IFERROR(__xludf.DUMMYFUNCTION("""COMPUTED_VALUE"""),2.0)</f>
        <v>2</v>
      </c>
      <c r="U439" s="35">
        <f>IFERROR(__xludf.DUMMYFUNCTION("""COMPUTED_VALUE"""),2.0)</f>
        <v>2</v>
      </c>
      <c r="V439" s="35">
        <f>IFERROR(__xludf.DUMMYFUNCTION("""COMPUTED_VALUE"""),4.0)</f>
        <v>4</v>
      </c>
      <c r="W439" s="35">
        <f>IFERROR(__xludf.DUMMYFUNCTION("""COMPUTED_VALUE"""),4.0)</f>
        <v>4</v>
      </c>
      <c r="X439" s="35">
        <f>IFERROR(__xludf.DUMMYFUNCTION("""COMPUTED_VALUE"""),3.0)</f>
        <v>3</v>
      </c>
      <c r="Y439" s="35">
        <f>IFERROR(__xludf.DUMMYFUNCTION("""COMPUTED_VALUE"""),4.0)</f>
        <v>4</v>
      </c>
      <c r="Z439" s="35">
        <f>IFERROR(__xludf.DUMMYFUNCTION("""COMPUTED_VALUE"""),4.0)</f>
        <v>4</v>
      </c>
    </row>
    <row r="440" ht="15.75" customHeight="1">
      <c r="C440" s="34">
        <v>5132.0</v>
      </c>
      <c r="D440" s="70" t="s">
        <v>591</v>
      </c>
      <c r="E440" s="71" t="str">
        <f>vlookup(C440,'NOC-List'!B$2:C$502,2,False)</f>
        <v>Conductors, composers and arrangers</v>
      </c>
      <c r="F440" s="72">
        <v>1.0</v>
      </c>
      <c r="G440" s="72">
        <v>2.0</v>
      </c>
      <c r="H440" s="72">
        <v>3.0</v>
      </c>
      <c r="I440" s="72">
        <v>3.0</v>
      </c>
      <c r="J440" s="72">
        <v>3.0</v>
      </c>
      <c r="K440" s="72">
        <v>2.0</v>
      </c>
      <c r="L440" s="72">
        <v>3.0</v>
      </c>
      <c r="M440" s="72">
        <v>3.0</v>
      </c>
      <c r="N440" s="72">
        <v>3.0</v>
      </c>
      <c r="O440" s="73"/>
      <c r="P440" s="35">
        <f>IFERROR(__xludf.DUMMYFUNCTION("""COMPUTED_VALUE"""),4163.0)</f>
        <v>4163</v>
      </c>
      <c r="Q440" s="35" t="str">
        <f>IFERROR(__xludf.DUMMYFUNCTION("query(C440:N1433,""Select D,E,F,G,H,I,J,K,L,M WHERE ""&amp;P440&amp;"" =C Limit 1"")"),"Business Development Officers and Marketing Researchers and Consultants")</f>
        <v>Business Development Officers and Marketing Researchers and Consultants</v>
      </c>
      <c r="R440" s="35" t="str">
        <f>IFERROR(__xludf.DUMMYFUNCTION("""COMPUTED_VALUE"""),"Business development officers and marketing researchers and consultants")</f>
        <v>Business development officers and marketing researchers and consultants</v>
      </c>
      <c r="S440" s="35">
        <f>IFERROR(__xludf.DUMMYFUNCTION("""COMPUTED_VALUE"""),2.0)</f>
        <v>2</v>
      </c>
      <c r="T440" s="35">
        <f>IFERROR(__xludf.DUMMYFUNCTION("""COMPUTED_VALUE"""),2.0)</f>
        <v>2</v>
      </c>
      <c r="U440" s="35">
        <f>IFERROR(__xludf.DUMMYFUNCTION("""COMPUTED_VALUE"""),2.0)</f>
        <v>2</v>
      </c>
      <c r="V440" s="35">
        <f>IFERROR(__xludf.DUMMYFUNCTION("""COMPUTED_VALUE"""),4.0)</f>
        <v>4</v>
      </c>
      <c r="W440" s="35">
        <f>IFERROR(__xludf.DUMMYFUNCTION("""COMPUTED_VALUE"""),4.0)</f>
        <v>4</v>
      </c>
      <c r="X440" s="35">
        <f>IFERROR(__xludf.DUMMYFUNCTION("""COMPUTED_VALUE"""),3.0)</f>
        <v>3</v>
      </c>
      <c r="Y440" s="35">
        <f>IFERROR(__xludf.DUMMYFUNCTION("""COMPUTED_VALUE"""),4.0)</f>
        <v>4</v>
      </c>
      <c r="Z440" s="35">
        <f>IFERROR(__xludf.DUMMYFUNCTION("""COMPUTED_VALUE"""),4.0)</f>
        <v>4</v>
      </c>
    </row>
    <row r="441" ht="15.75" customHeight="1">
      <c r="C441" s="34">
        <v>2224.0</v>
      </c>
      <c r="D441" s="70" t="s">
        <v>592</v>
      </c>
      <c r="E441" s="71" t="str">
        <f>vlookup(C441,'NOC-List'!B$2:C$502,2,False)</f>
        <v>Conservation and fishery officers</v>
      </c>
      <c r="F441" s="72">
        <v>2.0</v>
      </c>
      <c r="G441" s="72">
        <v>3.0</v>
      </c>
      <c r="H441" s="72">
        <v>3.0</v>
      </c>
      <c r="I441" s="72">
        <v>3.0</v>
      </c>
      <c r="J441" s="72">
        <v>3.0</v>
      </c>
      <c r="K441" s="72">
        <v>3.0</v>
      </c>
      <c r="L441" s="72">
        <v>4.0</v>
      </c>
      <c r="M441" s="72">
        <v>4.0</v>
      </c>
      <c r="N441" s="72">
        <v>4.0</v>
      </c>
      <c r="O441" s="73"/>
      <c r="P441" s="35">
        <f>IFERROR(__xludf.DUMMYFUNCTION("""COMPUTED_VALUE"""),2134.0)</f>
        <v>2134</v>
      </c>
      <c r="Q441" s="35" t="str">
        <f>IFERROR(__xludf.DUMMYFUNCTION("query(C441:N1434,""Select D,E,F,G,H,I,J,K,L,M WHERE ""&amp;P441&amp;"" =C Limit 1"")"),"Chemical Engineers")</f>
        <v>Chemical Engineers</v>
      </c>
      <c r="R441" s="35" t="str">
        <f>IFERROR(__xludf.DUMMYFUNCTION("""COMPUTED_VALUE"""),"Chemical engineers")</f>
        <v>Chemical engineers</v>
      </c>
      <c r="S441" s="35">
        <f>IFERROR(__xludf.DUMMYFUNCTION("""COMPUTED_VALUE"""),1.0)</f>
        <v>1</v>
      </c>
      <c r="T441" s="35">
        <f>IFERROR(__xludf.DUMMYFUNCTION("""COMPUTED_VALUE"""),2.0)</f>
        <v>2</v>
      </c>
      <c r="U441" s="35">
        <f>IFERROR(__xludf.DUMMYFUNCTION("""COMPUTED_VALUE"""),1.0)</f>
        <v>1</v>
      </c>
      <c r="V441" s="35">
        <f>IFERROR(__xludf.DUMMYFUNCTION("""COMPUTED_VALUE"""),2.0)</f>
        <v>2</v>
      </c>
      <c r="W441" s="35">
        <f>IFERROR(__xludf.DUMMYFUNCTION("""COMPUTED_VALUE"""),3.0)</f>
        <v>3</v>
      </c>
      <c r="X441" s="35">
        <f>IFERROR(__xludf.DUMMYFUNCTION("""COMPUTED_VALUE"""),4.0)</f>
        <v>4</v>
      </c>
      <c r="Y441" s="35">
        <f>IFERROR(__xludf.DUMMYFUNCTION("""COMPUTED_VALUE"""),4.0)</f>
        <v>4</v>
      </c>
      <c r="Z441" s="35">
        <f>IFERROR(__xludf.DUMMYFUNCTION("""COMPUTED_VALUE"""),4.0)</f>
        <v>4</v>
      </c>
    </row>
    <row r="442" ht="15.75" customHeight="1">
      <c r="C442" s="34">
        <v>1452.0</v>
      </c>
      <c r="D442" s="70" t="s">
        <v>593</v>
      </c>
      <c r="E442" s="71" t="str">
        <f>vlookup(C442,'NOC-List'!B$2:C$502,2,False)</f>
        <v>Correspondence, publication and regulatory clerks</v>
      </c>
      <c r="F442" s="72">
        <v>3.0</v>
      </c>
      <c r="G442" s="72">
        <v>3.0</v>
      </c>
      <c r="H442" s="72">
        <v>4.0</v>
      </c>
      <c r="I442" s="72">
        <v>4.0</v>
      </c>
      <c r="J442" s="72">
        <v>4.0</v>
      </c>
      <c r="K442" s="72">
        <v>3.0</v>
      </c>
      <c r="L442" s="72">
        <v>3.0</v>
      </c>
      <c r="M442" s="72">
        <v>3.0</v>
      </c>
      <c r="N442" s="72">
        <v>4.0</v>
      </c>
      <c r="O442" s="73"/>
      <c r="P442" s="35">
        <f>IFERROR(__xludf.DUMMYFUNCTION("""COMPUTED_VALUE"""),2112.0)</f>
        <v>2112</v>
      </c>
      <c r="Q442" s="35" t="str">
        <f>IFERROR(__xludf.DUMMYFUNCTION("query(C442:N1435,""Select D,E,F,G,H,I,J,K,L,M WHERE ""&amp;P442&amp;"" =C Limit 1"")"),"Chemists")</f>
        <v>Chemists</v>
      </c>
      <c r="R442" s="35" t="str">
        <f>IFERROR(__xludf.DUMMYFUNCTION("""COMPUTED_VALUE"""),"Chemists")</f>
        <v>Chemists</v>
      </c>
      <c r="S442" s="35">
        <f>IFERROR(__xludf.DUMMYFUNCTION("""COMPUTED_VALUE"""),1.0)</f>
        <v>1</v>
      </c>
      <c r="T442" s="35">
        <f>IFERROR(__xludf.DUMMYFUNCTION("""COMPUTED_VALUE"""),1.0)</f>
        <v>1</v>
      </c>
      <c r="U442" s="35">
        <f>IFERROR(__xludf.DUMMYFUNCTION("""COMPUTED_VALUE"""),1.0)</f>
        <v>1</v>
      </c>
      <c r="V442" s="35">
        <f>IFERROR(__xludf.DUMMYFUNCTION("""COMPUTED_VALUE"""),1.0)</f>
        <v>1</v>
      </c>
      <c r="W442" s="35">
        <f>IFERROR(__xludf.DUMMYFUNCTION("""COMPUTED_VALUE"""),1.0)</f>
        <v>1</v>
      </c>
      <c r="X442" s="35">
        <f>IFERROR(__xludf.DUMMYFUNCTION("""COMPUTED_VALUE"""),1.0)</f>
        <v>1</v>
      </c>
      <c r="Y442" s="35">
        <f>IFERROR(__xludf.DUMMYFUNCTION("""COMPUTED_VALUE"""),3.0)</f>
        <v>3</v>
      </c>
      <c r="Z442" s="35">
        <f>IFERROR(__xludf.DUMMYFUNCTION("""COMPUTED_VALUE"""),3.0)</f>
        <v>3</v>
      </c>
    </row>
    <row r="443" ht="15.75" customHeight="1">
      <c r="C443" s="34">
        <v>6562.0</v>
      </c>
      <c r="D443" s="70" t="s">
        <v>594</v>
      </c>
      <c r="E443" s="71" t="str">
        <f>vlookup(C443,'NOC-List'!B$2:C$502,2,False)</f>
        <v>Estheticians, electrologists and related occupations</v>
      </c>
      <c r="F443" s="72">
        <v>3.0</v>
      </c>
      <c r="G443" s="72">
        <v>3.0</v>
      </c>
      <c r="H443" s="72">
        <v>4.0</v>
      </c>
      <c r="I443" s="72">
        <v>4.0</v>
      </c>
      <c r="J443" s="72">
        <v>3.0</v>
      </c>
      <c r="K443" s="72">
        <v>4.0</v>
      </c>
      <c r="L443" s="72">
        <v>3.0</v>
      </c>
      <c r="M443" s="72">
        <v>2.0</v>
      </c>
      <c r="N443" s="72">
        <v>3.0</v>
      </c>
      <c r="O443" s="73"/>
      <c r="P443" s="35">
        <f>IFERROR(__xludf.DUMMYFUNCTION("""COMPUTED_VALUE"""),431.0)</f>
        <v>431</v>
      </c>
      <c r="Q443" s="35" t="str">
        <f>IFERROR(__xludf.DUMMYFUNCTION("query(C443:N1436,""Select D,E,F,G,H,I,J,K,L,M WHERE ""&amp;P443&amp;"" =C Limit 1"")"),"Commissioned Police Officers")</f>
        <v>Commissioned Police Officers</v>
      </c>
      <c r="R443" s="35" t="str">
        <f>IFERROR(__xludf.DUMMYFUNCTION("""COMPUTED_VALUE"""),"Commissioned police officers")</f>
        <v>Commissioned police officers</v>
      </c>
      <c r="S443" s="35">
        <f>IFERROR(__xludf.DUMMYFUNCTION("""COMPUTED_VALUE"""),2.0)</f>
        <v>2</v>
      </c>
      <c r="T443" s="35">
        <f>IFERROR(__xludf.DUMMYFUNCTION("""COMPUTED_VALUE"""),2.0)</f>
        <v>2</v>
      </c>
      <c r="U443" s="35">
        <f>IFERROR(__xludf.DUMMYFUNCTION("""COMPUTED_VALUE"""),3.0)</f>
        <v>3</v>
      </c>
      <c r="V443" s="35">
        <f>IFERROR(__xludf.DUMMYFUNCTION("""COMPUTED_VALUE"""),4.0)</f>
        <v>4</v>
      </c>
      <c r="W443" s="35">
        <f>IFERROR(__xludf.DUMMYFUNCTION("""COMPUTED_VALUE"""),4.0)</f>
        <v>4</v>
      </c>
      <c r="X443" s="35">
        <f>IFERROR(__xludf.DUMMYFUNCTION("""COMPUTED_VALUE"""),4.0)</f>
        <v>4</v>
      </c>
      <c r="Y443" s="35">
        <f>IFERROR(__xludf.DUMMYFUNCTION("""COMPUTED_VALUE"""),4.0)</f>
        <v>4</v>
      </c>
      <c r="Z443" s="35">
        <f>IFERROR(__xludf.DUMMYFUNCTION("""COMPUTED_VALUE"""),4.0)</f>
        <v>4</v>
      </c>
    </row>
    <row r="444" ht="15.75" customHeight="1">
      <c r="C444" s="34">
        <v>1251.0</v>
      </c>
      <c r="D444" s="70" t="s">
        <v>595</v>
      </c>
      <c r="E444" s="71" t="str">
        <f>vlookup(C444,'NOC-List'!B$2:C$502,2,False)</f>
        <v>Court reporters, medical transcriptionists and related occupations</v>
      </c>
      <c r="F444" s="72">
        <v>3.0</v>
      </c>
      <c r="G444" s="72">
        <v>2.0</v>
      </c>
      <c r="H444" s="72">
        <v>4.0</v>
      </c>
      <c r="I444" s="72">
        <v>4.0</v>
      </c>
      <c r="J444" s="72">
        <v>4.0</v>
      </c>
      <c r="K444" s="72">
        <v>3.0</v>
      </c>
      <c r="L444" s="72">
        <v>3.0</v>
      </c>
      <c r="M444" s="72">
        <v>3.0</v>
      </c>
      <c r="N444" s="72">
        <v>3.0</v>
      </c>
      <c r="O444" s="73"/>
      <c r="P444" s="35">
        <f>IFERROR(__xludf.DUMMYFUNCTION("""COMPUTED_VALUE"""),2173.0)</f>
        <v>2173</v>
      </c>
      <c r="Q444" s="35" t="str">
        <f>IFERROR(__xludf.DUMMYFUNCTION("query(C444:N1437,""Select D,E,F,G,H,I,J,K,L,M WHERE ""&amp;P444&amp;"" =C Limit 1"")"),"Computer and Telecommunications Hardware Engineers")</f>
        <v>Computer and Telecommunications Hardware Engineers</v>
      </c>
      <c r="R444" s="35" t="str">
        <f>IFERROR(__xludf.DUMMYFUNCTION("""COMPUTED_VALUE"""),"Software engineers and designers")</f>
        <v>Software engineers and designers</v>
      </c>
      <c r="S444" s="35">
        <f>IFERROR(__xludf.DUMMYFUNCTION("""COMPUTED_VALUE"""),1.0)</f>
        <v>1</v>
      </c>
      <c r="T444" s="35">
        <f>IFERROR(__xludf.DUMMYFUNCTION("""COMPUTED_VALUE"""),2.0)</f>
        <v>2</v>
      </c>
      <c r="U444" s="35">
        <f>IFERROR(__xludf.DUMMYFUNCTION("""COMPUTED_VALUE"""),1.0)</f>
        <v>1</v>
      </c>
      <c r="V444" s="35">
        <f>IFERROR(__xludf.DUMMYFUNCTION("""COMPUTED_VALUE"""),3.0)</f>
        <v>3</v>
      </c>
      <c r="W444" s="35">
        <f>IFERROR(__xludf.DUMMYFUNCTION("""COMPUTED_VALUE"""),3.0)</f>
        <v>3</v>
      </c>
      <c r="X444" s="35">
        <f>IFERROR(__xludf.DUMMYFUNCTION("""COMPUTED_VALUE"""),3.0)</f>
        <v>3</v>
      </c>
      <c r="Y444" s="35">
        <f>IFERROR(__xludf.DUMMYFUNCTION("""COMPUTED_VALUE"""),4.0)</f>
        <v>4</v>
      </c>
      <c r="Z444" s="35">
        <f>IFERROR(__xludf.DUMMYFUNCTION("""COMPUTED_VALUE"""),4.0)</f>
        <v>4</v>
      </c>
    </row>
    <row r="445" ht="15.75" customHeight="1">
      <c r="C445" s="34">
        <v>7513.0</v>
      </c>
      <c r="D445" s="70" t="s">
        <v>596</v>
      </c>
      <c r="E445" s="71" t="str">
        <f>vlookup(C445,'NOC-List'!B$2:C$502,2,False)</f>
        <v>Taxi and limousine drivers and chauffeurs</v>
      </c>
      <c r="F445" s="72">
        <v>4.0</v>
      </c>
      <c r="G445" s="72">
        <v>4.0</v>
      </c>
      <c r="H445" s="72">
        <v>4.0</v>
      </c>
      <c r="I445" s="72">
        <v>3.0</v>
      </c>
      <c r="J445" s="72">
        <v>4.0</v>
      </c>
      <c r="K445" s="72">
        <v>4.0</v>
      </c>
      <c r="L445" s="72">
        <v>3.0</v>
      </c>
      <c r="M445" s="72">
        <v>4.0</v>
      </c>
      <c r="N445" s="72">
        <v>3.0</v>
      </c>
      <c r="O445" s="73"/>
      <c r="P445" s="35">
        <f>IFERROR(__xludf.DUMMYFUNCTION("""COMPUTED_VALUE"""),7611.0)</f>
        <v>7611</v>
      </c>
      <c r="Q445" s="35" t="str">
        <f>IFERROR(__xludf.DUMMYFUNCTION("query(C445:N1438,""Select D,E,F,G,H,I,J,K,L,M WHERE ""&amp;P445&amp;"" =C Limit 1"")"),"Construction Trades Helpers and Labourers")</f>
        <v>Construction Trades Helpers and Labourers</v>
      </c>
      <c r="R445" s="35" t="str">
        <f>IFERROR(__xludf.DUMMYFUNCTION("""COMPUTED_VALUE"""),"Construction trades helpers and labourers")</f>
        <v>Construction trades helpers and labourers</v>
      </c>
      <c r="S445" s="35">
        <f>IFERROR(__xludf.DUMMYFUNCTION("""COMPUTED_VALUE"""),4.0)</f>
        <v>4</v>
      </c>
      <c r="T445" s="35">
        <f>IFERROR(__xludf.DUMMYFUNCTION("""COMPUTED_VALUE"""),4.0)</f>
        <v>4</v>
      </c>
      <c r="U445" s="35">
        <f>IFERROR(__xludf.DUMMYFUNCTION("""COMPUTED_VALUE"""),4.0)</f>
        <v>4</v>
      </c>
      <c r="V445" s="35">
        <f>IFERROR(__xludf.DUMMYFUNCTION("""COMPUTED_VALUE"""),4.0)</f>
        <v>4</v>
      </c>
      <c r="W445" s="35">
        <f>IFERROR(__xludf.DUMMYFUNCTION("""COMPUTED_VALUE"""),4.0)</f>
        <v>4</v>
      </c>
      <c r="X445" s="35">
        <f>IFERROR(__xludf.DUMMYFUNCTION("""COMPUTED_VALUE"""),5.0)</f>
        <v>5</v>
      </c>
      <c r="Y445" s="35">
        <f>IFERROR(__xludf.DUMMYFUNCTION("""COMPUTED_VALUE"""),4.0)</f>
        <v>4</v>
      </c>
      <c r="Z445" s="35">
        <f>IFERROR(__xludf.DUMMYFUNCTION("""COMPUTED_VALUE"""),4.0)</f>
        <v>4</v>
      </c>
    </row>
    <row r="446" ht="15.75" customHeight="1">
      <c r="C446" s="34">
        <v>5212.0</v>
      </c>
      <c r="D446" s="70" t="s">
        <v>597</v>
      </c>
      <c r="E446" s="71" t="str">
        <f>vlookup(C446,'NOC-List'!B$2:C$502,2,False)</f>
        <v>Technical occupations related to museums and art galleries</v>
      </c>
      <c r="F446" s="72">
        <v>3.0</v>
      </c>
      <c r="G446" s="72">
        <v>3.0</v>
      </c>
      <c r="H446" s="72">
        <v>3.0</v>
      </c>
      <c r="I446" s="72">
        <v>4.0</v>
      </c>
      <c r="J446" s="72">
        <v>4.0</v>
      </c>
      <c r="K446" s="72">
        <v>3.0</v>
      </c>
      <c r="L446" s="72">
        <v>3.0</v>
      </c>
      <c r="M446" s="72">
        <v>3.0</v>
      </c>
      <c r="N446" s="72">
        <v>3.0</v>
      </c>
      <c r="O446" s="73"/>
      <c r="P446" s="35">
        <f>IFERROR(__xludf.DUMMYFUNCTION("""COMPUTED_VALUE"""),4033.0)</f>
        <v>4033</v>
      </c>
      <c r="Q446" s="35" t="str">
        <f>IFERROR(__xludf.DUMMYFUNCTION("query(C446:N1439,""Select D,E,F,G,H,I,J,K,L,M WHERE ""&amp;P446&amp;"" =C Limit 1"")"),"Educational Counsellors")</f>
        <v>Educational Counsellors</v>
      </c>
      <c r="R446" s="35" t="str">
        <f>IFERROR(__xludf.DUMMYFUNCTION("""COMPUTED_VALUE"""),"Educational counsellors")</f>
        <v>Educational counsellors</v>
      </c>
      <c r="S446" s="35">
        <f>IFERROR(__xludf.DUMMYFUNCTION("""COMPUTED_VALUE"""),2.0)</f>
        <v>2</v>
      </c>
      <c r="T446" s="35">
        <f>IFERROR(__xludf.DUMMYFUNCTION("""COMPUTED_VALUE"""),2.0)</f>
        <v>2</v>
      </c>
      <c r="U446" s="35">
        <f>IFERROR(__xludf.DUMMYFUNCTION("""COMPUTED_VALUE"""),3.0)</f>
        <v>3</v>
      </c>
      <c r="V446" s="35">
        <f>IFERROR(__xludf.DUMMYFUNCTION("""COMPUTED_VALUE"""),4.0)</f>
        <v>4</v>
      </c>
      <c r="W446" s="35">
        <f>IFERROR(__xludf.DUMMYFUNCTION("""COMPUTED_VALUE"""),4.0)</f>
        <v>4</v>
      </c>
      <c r="X446" s="35">
        <f>IFERROR(__xludf.DUMMYFUNCTION("""COMPUTED_VALUE"""),4.0)</f>
        <v>4</v>
      </c>
      <c r="Y446" s="35">
        <f>IFERROR(__xludf.DUMMYFUNCTION("""COMPUTED_VALUE"""),4.0)</f>
        <v>4</v>
      </c>
      <c r="Z446" s="35">
        <f>IFERROR(__xludf.DUMMYFUNCTION("""COMPUTED_VALUE"""),4.0)</f>
        <v>4</v>
      </c>
    </row>
    <row r="447" ht="15.75" customHeight="1">
      <c r="C447" s="34">
        <v>5112.0</v>
      </c>
      <c r="D447" s="70" t="s">
        <v>598</v>
      </c>
      <c r="E447" s="71" t="str">
        <f>vlookup(C447,'NOC-List'!B$2:C$502,2,False)</f>
        <v>Conservators and curators</v>
      </c>
      <c r="F447" s="72">
        <v>2.0</v>
      </c>
      <c r="G447" s="72">
        <v>2.0</v>
      </c>
      <c r="H447" s="72">
        <v>3.0</v>
      </c>
      <c r="I447" s="72">
        <v>3.0</v>
      </c>
      <c r="J447" s="72">
        <v>2.0</v>
      </c>
      <c r="K447" s="72">
        <v>4.0</v>
      </c>
      <c r="L447" s="72">
        <v>3.0</v>
      </c>
      <c r="M447" s="72">
        <v>3.0</v>
      </c>
      <c r="N447" s="72">
        <v>3.0</v>
      </c>
      <c r="O447" s="73"/>
      <c r="P447" s="35">
        <f>IFERROR(__xludf.DUMMYFUNCTION("""COMPUTED_VALUE"""),4156.0)</f>
        <v>4156</v>
      </c>
      <c r="Q447" s="35" t="str">
        <f>IFERROR(__xludf.DUMMYFUNCTION("query(C447:N1440,""Select D,E,F,G,H,I,J,K,L,M WHERE ""&amp;P447&amp;"" =C Limit 1"")"),"Employment Counsellors")</f>
        <v>Employment Counsellors</v>
      </c>
      <c r="R447" s="35" t="str">
        <f>IFERROR(__xludf.DUMMYFUNCTION("""COMPUTED_VALUE"""),"Employment counsellors")</f>
        <v>Employment counsellors</v>
      </c>
      <c r="S447" s="35">
        <f>IFERROR(__xludf.DUMMYFUNCTION("""COMPUTED_VALUE"""),3.0)</f>
        <v>3</v>
      </c>
      <c r="T447" s="35">
        <f>IFERROR(__xludf.DUMMYFUNCTION("""COMPUTED_VALUE"""),2.0)</f>
        <v>2</v>
      </c>
      <c r="U447" s="35">
        <f>IFERROR(__xludf.DUMMYFUNCTION("""COMPUTED_VALUE"""),3.0)</f>
        <v>3</v>
      </c>
      <c r="V447" s="35">
        <f>IFERROR(__xludf.DUMMYFUNCTION("""COMPUTED_VALUE"""),4.0)</f>
        <v>4</v>
      </c>
      <c r="W447" s="35">
        <f>IFERROR(__xludf.DUMMYFUNCTION("""COMPUTED_VALUE"""),4.0)</f>
        <v>4</v>
      </c>
      <c r="X447" s="35">
        <f>IFERROR(__xludf.DUMMYFUNCTION("""COMPUTED_VALUE"""),3.0)</f>
        <v>3</v>
      </c>
      <c r="Y447" s="35">
        <f>IFERROR(__xludf.DUMMYFUNCTION("""COMPUTED_VALUE"""),4.0)</f>
        <v>4</v>
      </c>
      <c r="Z447" s="35">
        <f>IFERROR(__xludf.DUMMYFUNCTION("""COMPUTED_VALUE"""),4.0)</f>
        <v>4</v>
      </c>
    </row>
    <row r="448" ht="15.75" customHeight="1">
      <c r="C448" s="34">
        <v>9472.0</v>
      </c>
      <c r="D448" s="70" t="s">
        <v>599</v>
      </c>
      <c r="E448" s="71" t="str">
        <f>vlookup(C448,'NOC-List'!B$2:C$502,2,False)</f>
        <v>Camera, platemaking and other prepress occupations</v>
      </c>
      <c r="F448" s="72">
        <v>3.0</v>
      </c>
      <c r="G448" s="72">
        <v>3.0</v>
      </c>
      <c r="H448" s="72">
        <v>3.0</v>
      </c>
      <c r="I448" s="72">
        <v>3.0</v>
      </c>
      <c r="J448" s="72">
        <v>2.0</v>
      </c>
      <c r="K448" s="72">
        <v>4.0</v>
      </c>
      <c r="L448" s="72">
        <v>3.0</v>
      </c>
      <c r="M448" s="72">
        <v>3.0</v>
      </c>
      <c r="N448" s="72">
        <v>3.0</v>
      </c>
      <c r="O448" s="73"/>
      <c r="P448" s="35">
        <f>IFERROR(__xludf.DUMMYFUNCTION("""COMPUTED_VALUE"""),4153.0)</f>
        <v>4153</v>
      </c>
      <c r="Q448" s="35" t="str">
        <f>IFERROR(__xludf.DUMMYFUNCTION("query(C448:N1441,""Select D,E,F,G,H,I,J,K,L,M WHERE ""&amp;P448&amp;"" =C Limit 1"")"),"Family, Marriage and Other Related Counsellors")</f>
        <v>Family, Marriage and Other Related Counsellors</v>
      </c>
      <c r="R448" s="35" t="str">
        <f>IFERROR(__xludf.DUMMYFUNCTION("""COMPUTED_VALUE"""),"Family, marriage and other related counsellors")</f>
        <v>Family, marriage and other related counsellors</v>
      </c>
      <c r="S448" s="35">
        <f>IFERROR(__xludf.DUMMYFUNCTION("""COMPUTED_VALUE"""),2.0)</f>
        <v>2</v>
      </c>
      <c r="T448" s="35">
        <f>IFERROR(__xludf.DUMMYFUNCTION("""COMPUTED_VALUE"""),2.0)</f>
        <v>2</v>
      </c>
      <c r="U448" s="35">
        <f>IFERROR(__xludf.DUMMYFUNCTION("""COMPUTED_VALUE"""),3.0)</f>
        <v>3</v>
      </c>
      <c r="V448" s="35">
        <f>IFERROR(__xludf.DUMMYFUNCTION("""COMPUTED_VALUE"""),4.0)</f>
        <v>4</v>
      </c>
      <c r="W448" s="35">
        <f>IFERROR(__xludf.DUMMYFUNCTION("""COMPUTED_VALUE"""),4.0)</f>
        <v>4</v>
      </c>
      <c r="X448" s="35">
        <f>IFERROR(__xludf.DUMMYFUNCTION("""COMPUTED_VALUE"""),4.0)</f>
        <v>4</v>
      </c>
      <c r="Y448" s="35">
        <f>IFERROR(__xludf.DUMMYFUNCTION("""COMPUTED_VALUE"""),4.0)</f>
        <v>4</v>
      </c>
      <c r="Z448" s="35">
        <f>IFERROR(__xludf.DUMMYFUNCTION("""COMPUTED_VALUE"""),4.0)</f>
        <v>4</v>
      </c>
    </row>
    <row r="449" ht="15.75" customHeight="1">
      <c r="C449" s="34">
        <v>2273.0</v>
      </c>
      <c r="D449" s="70" t="s">
        <v>600</v>
      </c>
      <c r="E449" s="71" t="str">
        <f>vlookup(C449,'NOC-List'!B$2:C$502,2,False)</f>
        <v>Deck officers, water transport</v>
      </c>
      <c r="F449" s="72">
        <v>3.0</v>
      </c>
      <c r="G449" s="72">
        <v>2.0</v>
      </c>
      <c r="H449" s="72">
        <v>3.0</v>
      </c>
      <c r="I449" s="72">
        <v>2.0</v>
      </c>
      <c r="J449" s="72">
        <v>2.0</v>
      </c>
      <c r="K449" s="72">
        <v>3.0</v>
      </c>
      <c r="L449" s="72">
        <v>3.0</v>
      </c>
      <c r="M449" s="72">
        <v>4.0</v>
      </c>
      <c r="N449" s="72">
        <v>3.0</v>
      </c>
      <c r="O449" s="73"/>
      <c r="P449" s="35">
        <f>IFERROR(__xludf.DUMMYFUNCTION("""COMPUTED_VALUE"""),1114.0)</f>
        <v>1114</v>
      </c>
      <c r="Q449" s="35" t="str">
        <f>IFERROR(__xludf.DUMMYFUNCTION("query(C449:N1442,""Select D,E,F,G,H,I,J,K,L,M WHERE ""&amp;P449&amp;"" =C Limit 1"")"),"Financial Planners")</f>
        <v>Financial Planners</v>
      </c>
      <c r="R449" s="35" t="str">
        <f>IFERROR(__xludf.DUMMYFUNCTION("""COMPUTED_VALUE"""),"Other financial officers")</f>
        <v>Other financial officers</v>
      </c>
      <c r="S449" s="35">
        <f>IFERROR(__xludf.DUMMYFUNCTION("""COMPUTED_VALUE"""),2.0)</f>
        <v>2</v>
      </c>
      <c r="T449" s="35">
        <f>IFERROR(__xludf.DUMMYFUNCTION("""COMPUTED_VALUE"""),2.0)</f>
        <v>2</v>
      </c>
      <c r="U449" s="35">
        <f>IFERROR(__xludf.DUMMYFUNCTION("""COMPUTED_VALUE"""),2.0)</f>
        <v>2</v>
      </c>
      <c r="V449" s="35">
        <f>IFERROR(__xludf.DUMMYFUNCTION("""COMPUTED_VALUE"""),4.0)</f>
        <v>4</v>
      </c>
      <c r="W449" s="35">
        <f>IFERROR(__xludf.DUMMYFUNCTION("""COMPUTED_VALUE"""),4.0)</f>
        <v>4</v>
      </c>
      <c r="X449" s="35">
        <f>IFERROR(__xludf.DUMMYFUNCTION("""COMPUTED_VALUE"""),3.0)</f>
        <v>3</v>
      </c>
      <c r="Y449" s="35">
        <f>IFERROR(__xludf.DUMMYFUNCTION("""COMPUTED_VALUE"""),4.0)</f>
        <v>4</v>
      </c>
      <c r="Z449" s="35">
        <f>IFERROR(__xludf.DUMMYFUNCTION("""COMPUTED_VALUE"""),4.0)</f>
        <v>4</v>
      </c>
    </row>
    <row r="450" ht="15.75" customHeight="1">
      <c r="C450" s="34">
        <v>9421.0</v>
      </c>
      <c r="D450" s="70" t="s">
        <v>601</v>
      </c>
      <c r="E450" s="71" t="str">
        <f>vlookup(C450,'NOC-List'!B$2:C$502,2,False)</f>
        <v>Chemical plant machine operators</v>
      </c>
      <c r="F450" s="72">
        <v>3.0</v>
      </c>
      <c r="G450" s="72">
        <v>4.0</v>
      </c>
      <c r="H450" s="72">
        <v>4.0</v>
      </c>
      <c r="I450" s="72">
        <v>4.0</v>
      </c>
      <c r="J450" s="72">
        <v>4.0</v>
      </c>
      <c r="K450" s="72">
        <v>4.0</v>
      </c>
      <c r="L450" s="72">
        <v>3.0</v>
      </c>
      <c r="M450" s="72">
        <v>4.0</v>
      </c>
      <c r="N450" s="72">
        <v>3.0</v>
      </c>
      <c r="O450" s="73"/>
      <c r="P450" s="35">
        <f>IFERROR(__xludf.DUMMYFUNCTION("""COMPUTED_VALUE"""),121.0)</f>
        <v>121</v>
      </c>
      <c r="Q450" s="35" t="str">
        <f>IFERROR(__xludf.DUMMYFUNCTION("query(C450:N1443,""Select D,E,F,G,H,I,J,K,L,M WHERE ""&amp;P450&amp;"" =C Limit 1"")"),"Insurance Managers")</f>
        <v>Insurance Managers</v>
      </c>
      <c r="R450" s="35" t="str">
        <f>IFERROR(__xludf.DUMMYFUNCTION("""COMPUTED_VALUE"""),"Insurance, real estate and financial brokerage managers")</f>
        <v>Insurance, real estate and financial brokerage managers</v>
      </c>
      <c r="S450" s="35">
        <f>IFERROR(__xludf.DUMMYFUNCTION("""COMPUTED_VALUE"""),2.0)</f>
        <v>2</v>
      </c>
      <c r="T450" s="35">
        <f>IFERROR(__xludf.DUMMYFUNCTION("""COMPUTED_VALUE"""),2.0)</f>
        <v>2</v>
      </c>
      <c r="U450" s="35">
        <f>IFERROR(__xludf.DUMMYFUNCTION("""COMPUTED_VALUE"""),2.0)</f>
        <v>2</v>
      </c>
      <c r="V450" s="35">
        <f>IFERROR(__xludf.DUMMYFUNCTION("""COMPUTED_VALUE"""),4.0)</f>
        <v>4</v>
      </c>
      <c r="W450" s="35">
        <f>IFERROR(__xludf.DUMMYFUNCTION("""COMPUTED_VALUE"""),4.0)</f>
        <v>4</v>
      </c>
      <c r="X450" s="35">
        <f>IFERROR(__xludf.DUMMYFUNCTION("""COMPUTED_VALUE"""),3.0)</f>
        <v>3</v>
      </c>
      <c r="Y450" s="35">
        <f>IFERROR(__xludf.DUMMYFUNCTION("""COMPUTED_VALUE"""),4.0)</f>
        <v>4</v>
      </c>
      <c r="Z450" s="35">
        <f>IFERROR(__xludf.DUMMYFUNCTION("""COMPUTED_VALUE"""),4.0)</f>
        <v>4</v>
      </c>
    </row>
    <row r="451" ht="15.75" customHeight="1">
      <c r="C451" s="34">
        <v>3411.0</v>
      </c>
      <c r="D451" s="70" t="s">
        <v>602</v>
      </c>
      <c r="E451" s="71" t="str">
        <f>vlookup(C451,'NOC-List'!B$2:C$502,2,False)</f>
        <v>Dental assistants</v>
      </c>
      <c r="F451" s="72">
        <v>3.0</v>
      </c>
      <c r="G451" s="72">
        <v>3.0</v>
      </c>
      <c r="H451" s="72">
        <v>3.0</v>
      </c>
      <c r="I451" s="72">
        <v>4.0</v>
      </c>
      <c r="J451" s="72">
        <v>3.0</v>
      </c>
      <c r="K451" s="72">
        <v>4.0</v>
      </c>
      <c r="L451" s="72">
        <v>3.0</v>
      </c>
      <c r="M451" s="72">
        <v>3.0</v>
      </c>
      <c r="N451" s="72">
        <v>3.0</v>
      </c>
      <c r="O451" s="73"/>
      <c r="P451" s="35">
        <f>IFERROR(__xludf.DUMMYFUNCTION("""COMPUTED_VALUE"""),1313.0)</f>
        <v>1313</v>
      </c>
      <c r="Q451" s="35" t="str">
        <f>IFERROR(__xludf.DUMMYFUNCTION("query(C451:N1444,""Select D,E,F,G,H,I,J,K,L,M WHERE ""&amp;P451&amp;"" =C Limit 1"")"),"Insurance Underwriters")</f>
        <v>Insurance Underwriters</v>
      </c>
      <c r="R451" s="35" t="str">
        <f>IFERROR(__xludf.DUMMYFUNCTION("""COMPUTED_VALUE"""),"Insurance underwriters")</f>
        <v>Insurance underwriters</v>
      </c>
      <c r="S451" s="35">
        <f>IFERROR(__xludf.DUMMYFUNCTION("""COMPUTED_VALUE"""),2.0)</f>
        <v>2</v>
      </c>
      <c r="T451" s="35">
        <f>IFERROR(__xludf.DUMMYFUNCTION("""COMPUTED_VALUE"""),2.0)</f>
        <v>2</v>
      </c>
      <c r="U451" s="35">
        <f>IFERROR(__xludf.DUMMYFUNCTION("""COMPUTED_VALUE"""),2.0)</f>
        <v>2</v>
      </c>
      <c r="V451" s="35">
        <f>IFERROR(__xludf.DUMMYFUNCTION("""COMPUTED_VALUE"""),4.0)</f>
        <v>4</v>
      </c>
      <c r="W451" s="35">
        <f>IFERROR(__xludf.DUMMYFUNCTION("""COMPUTED_VALUE"""),3.0)</f>
        <v>3</v>
      </c>
      <c r="X451" s="35">
        <f>IFERROR(__xludf.DUMMYFUNCTION("""COMPUTED_VALUE"""),2.0)</f>
        <v>2</v>
      </c>
      <c r="Y451" s="35">
        <f>IFERROR(__xludf.DUMMYFUNCTION("""COMPUTED_VALUE"""),4.0)</f>
        <v>4</v>
      </c>
      <c r="Z451" s="35">
        <f>IFERROR(__xludf.DUMMYFUNCTION("""COMPUTED_VALUE"""),4.0)</f>
        <v>4</v>
      </c>
    </row>
    <row r="452" ht="15.75" customHeight="1">
      <c r="C452" s="34">
        <v>3113.0</v>
      </c>
      <c r="D452" s="70" t="s">
        <v>603</v>
      </c>
      <c r="E452" s="71" t="str">
        <f>vlookup(C452,'NOC-List'!B$2:C$502,2,False)</f>
        <v>Dentists</v>
      </c>
      <c r="F452" s="72">
        <v>1.0</v>
      </c>
      <c r="G452" s="72">
        <v>1.0</v>
      </c>
      <c r="H452" s="72">
        <v>2.0</v>
      </c>
      <c r="I452" s="72">
        <v>1.0</v>
      </c>
      <c r="J452" s="72">
        <v>2.0</v>
      </c>
      <c r="K452" s="72">
        <v>3.0</v>
      </c>
      <c r="L452" s="72">
        <v>1.0</v>
      </c>
      <c r="M452" s="72">
        <v>1.0</v>
      </c>
      <c r="N452" s="72">
        <v>1.0</v>
      </c>
      <c r="O452" s="73"/>
      <c r="P452" s="35">
        <f>IFERROR(__xludf.DUMMYFUNCTION("""COMPUTED_VALUE"""),5123.0)</f>
        <v>5123</v>
      </c>
      <c r="Q452" s="35" t="str">
        <f>IFERROR(__xludf.DUMMYFUNCTION("query(C452:N1445,""Select D,E,F,G,H,I,J,K,L,M WHERE ""&amp;P452&amp;"" =C Limit 1"")"),"Journalists")</f>
        <v>Journalists</v>
      </c>
      <c r="R452" s="35" t="str">
        <f>IFERROR(__xludf.DUMMYFUNCTION("""COMPUTED_VALUE"""),"Journalists")</f>
        <v>Journalists</v>
      </c>
      <c r="S452" s="35">
        <f>IFERROR(__xludf.DUMMYFUNCTION("""COMPUTED_VALUE"""),2.0)</f>
        <v>2</v>
      </c>
      <c r="T452" s="35">
        <f>IFERROR(__xludf.DUMMYFUNCTION("""COMPUTED_VALUE"""),1.0)</f>
        <v>1</v>
      </c>
      <c r="U452" s="35">
        <f>IFERROR(__xludf.DUMMYFUNCTION("""COMPUTED_VALUE"""),3.0)</f>
        <v>3</v>
      </c>
      <c r="V452" s="35">
        <f>IFERROR(__xludf.DUMMYFUNCTION("""COMPUTED_VALUE"""),4.0)</f>
        <v>4</v>
      </c>
      <c r="W452" s="35">
        <f>IFERROR(__xludf.DUMMYFUNCTION("""COMPUTED_VALUE"""),4.0)</f>
        <v>4</v>
      </c>
      <c r="X452" s="35">
        <f>IFERROR(__xludf.DUMMYFUNCTION("""COMPUTED_VALUE"""),3.0)</f>
        <v>3</v>
      </c>
      <c r="Y452" s="35">
        <f>IFERROR(__xludf.DUMMYFUNCTION("""COMPUTED_VALUE"""),4.0)</f>
        <v>4</v>
      </c>
      <c r="Z452" s="35">
        <f>IFERROR(__xludf.DUMMYFUNCTION("""COMPUTED_VALUE"""),4.0)</f>
        <v>4</v>
      </c>
    </row>
    <row r="453" ht="15.75" customHeight="1">
      <c r="C453" s="34">
        <v>513.0</v>
      </c>
      <c r="D453" s="70" t="s">
        <v>604</v>
      </c>
      <c r="E453" s="71" t="str">
        <f>vlookup(C453,'NOC-List'!B$2:C$502,2,False)</f>
        <v>Recreation, sports and fitness program and service directors</v>
      </c>
      <c r="F453" s="72">
        <v>2.0</v>
      </c>
      <c r="G453" s="72">
        <v>2.0</v>
      </c>
      <c r="H453" s="72">
        <v>3.0</v>
      </c>
      <c r="I453" s="72">
        <v>2.0</v>
      </c>
      <c r="J453" s="72">
        <v>3.0</v>
      </c>
      <c r="K453" s="72">
        <v>3.0</v>
      </c>
      <c r="L453" s="72">
        <v>4.0</v>
      </c>
      <c r="M453" s="72">
        <v>4.0</v>
      </c>
      <c r="N453" s="72">
        <v>4.0</v>
      </c>
      <c r="O453" s="73"/>
      <c r="P453" s="35">
        <f>IFERROR(__xludf.DUMMYFUNCTION("""COMPUTED_VALUE"""),9615.0)</f>
        <v>9615</v>
      </c>
      <c r="Q453" s="35" t="str">
        <f>IFERROR(__xludf.DUMMYFUNCTION("query(C453:N1446,""Select D,E,F,G,H,I,J,K,L,M WHERE ""&amp;P453&amp;"" =C Limit 1"")"),"Labourers in Rubber and Plastic Products Manufacturing")</f>
        <v>Labourers in Rubber and Plastic Products Manufacturing</v>
      </c>
      <c r="R453" s="35" t="str">
        <f>IFERROR(__xludf.DUMMYFUNCTION("""COMPUTED_VALUE"""),"Labourers in rubber and plastic products manufacturing")</f>
        <v>Labourers in rubber and plastic products manufacturing</v>
      </c>
      <c r="S453" s="35">
        <f>IFERROR(__xludf.DUMMYFUNCTION("""COMPUTED_VALUE"""),4.0)</f>
        <v>4</v>
      </c>
      <c r="T453" s="35">
        <f>IFERROR(__xludf.DUMMYFUNCTION("""COMPUTED_VALUE"""),5.0)</f>
        <v>5</v>
      </c>
      <c r="U453" s="35">
        <f>IFERROR(__xludf.DUMMYFUNCTION("""COMPUTED_VALUE"""),5.0)</f>
        <v>5</v>
      </c>
      <c r="V453" s="35">
        <f>IFERROR(__xludf.DUMMYFUNCTION("""COMPUTED_VALUE"""),4.0)</f>
        <v>4</v>
      </c>
      <c r="W453" s="35">
        <f>IFERROR(__xludf.DUMMYFUNCTION("""COMPUTED_VALUE"""),4.0)</f>
        <v>4</v>
      </c>
      <c r="X453" s="35">
        <f>IFERROR(__xludf.DUMMYFUNCTION("""COMPUTED_VALUE"""),5.0)</f>
        <v>5</v>
      </c>
      <c r="Y453" s="35">
        <f>IFERROR(__xludf.DUMMYFUNCTION("""COMPUTED_VALUE"""),4.0)</f>
        <v>4</v>
      </c>
      <c r="Z453" s="35">
        <f>IFERROR(__xludf.DUMMYFUNCTION("""COMPUTED_VALUE"""),4.0)</f>
        <v>4</v>
      </c>
    </row>
    <row r="454" ht="15.75" customHeight="1">
      <c r="C454" s="34">
        <v>5131.0</v>
      </c>
      <c r="D454" s="70" t="s">
        <v>605</v>
      </c>
      <c r="E454" s="71" t="str">
        <f>vlookup(C454,'NOC-List'!B$2:C$502,2,False)</f>
        <v>Producers, directors, choreographers and related occupations</v>
      </c>
      <c r="F454" s="72">
        <v>2.0</v>
      </c>
      <c r="G454" s="72">
        <v>2.0</v>
      </c>
      <c r="H454" s="72">
        <v>3.0</v>
      </c>
      <c r="I454" s="72">
        <v>2.0</v>
      </c>
      <c r="J454" s="72">
        <v>3.0</v>
      </c>
      <c r="K454" s="72">
        <v>3.0</v>
      </c>
      <c r="L454" s="72">
        <v>4.0</v>
      </c>
      <c r="M454" s="72">
        <v>4.0</v>
      </c>
      <c r="N454" s="72">
        <v>4.0</v>
      </c>
      <c r="O454" s="73"/>
      <c r="P454" s="35">
        <f>IFERROR(__xludf.DUMMYFUNCTION("""COMPUTED_VALUE"""),9614.0)</f>
        <v>9614</v>
      </c>
      <c r="Q454" s="35" t="str">
        <f>IFERROR(__xludf.DUMMYFUNCTION("query(C454:N1447,""Select D,E,F,G,H,I,J,K,L,M WHERE ""&amp;P454&amp;"" =C Limit 1"")"),"Labourers in Wood, Pulp and Paper Processing")</f>
        <v>Labourers in Wood, Pulp and Paper Processing</v>
      </c>
      <c r="R454" s="35" t="str">
        <f>IFERROR(__xludf.DUMMYFUNCTION("""COMPUTED_VALUE"""),"Labourers in wood, pulp and paper processing")</f>
        <v>Labourers in wood, pulp and paper processing</v>
      </c>
      <c r="S454" s="35">
        <f>IFERROR(__xludf.DUMMYFUNCTION("""COMPUTED_VALUE"""),4.0)</f>
        <v>4</v>
      </c>
      <c r="T454" s="35">
        <f>IFERROR(__xludf.DUMMYFUNCTION("""COMPUTED_VALUE"""),4.0)</f>
        <v>4</v>
      </c>
      <c r="U454" s="35">
        <f>IFERROR(__xludf.DUMMYFUNCTION("""COMPUTED_VALUE"""),5.0)</f>
        <v>5</v>
      </c>
      <c r="V454" s="35">
        <f>IFERROR(__xludf.DUMMYFUNCTION("""COMPUTED_VALUE"""),4.0)</f>
        <v>4</v>
      </c>
      <c r="W454" s="35">
        <f>IFERROR(__xludf.DUMMYFUNCTION("""COMPUTED_VALUE"""),4.0)</f>
        <v>4</v>
      </c>
      <c r="X454" s="35">
        <f>IFERROR(__xludf.DUMMYFUNCTION("""COMPUTED_VALUE"""),5.0)</f>
        <v>5</v>
      </c>
      <c r="Y454" s="35">
        <f>IFERROR(__xludf.DUMMYFUNCTION("""COMPUTED_VALUE"""),4.0)</f>
        <v>4</v>
      </c>
      <c r="Z454" s="35">
        <f>IFERROR(__xludf.DUMMYFUNCTION("""COMPUTED_VALUE"""),4.0)</f>
        <v>4</v>
      </c>
    </row>
    <row r="455" ht="15.75" customHeight="1">
      <c r="C455" s="81">
        <v>4216.0</v>
      </c>
      <c r="D455" s="70" t="s">
        <v>606</v>
      </c>
      <c r="E455" s="71" t="str">
        <f>vlookup(C455,'NOC-List'!B$2:C$502,2,False)</f>
        <v>Other instructors</v>
      </c>
      <c r="F455" s="72">
        <v>3.0</v>
      </c>
      <c r="G455" s="72">
        <v>3.0</v>
      </c>
      <c r="H455" s="72">
        <v>4.0</v>
      </c>
      <c r="I455" s="72">
        <v>3.0</v>
      </c>
      <c r="J455" s="72">
        <v>4.0</v>
      </c>
      <c r="K455" s="72">
        <v>4.0</v>
      </c>
      <c r="L455" s="72">
        <v>3.0</v>
      </c>
      <c r="M455" s="72">
        <v>4.0</v>
      </c>
      <c r="N455" s="72">
        <v>3.0</v>
      </c>
      <c r="O455" s="73"/>
      <c r="P455" s="35">
        <f>IFERROR(__xludf.DUMMYFUNCTION("""COMPUTED_VALUE"""),6731.0)</f>
        <v>6731</v>
      </c>
      <c r="Q455" s="35" t="str">
        <f>IFERROR(__xludf.DUMMYFUNCTION("query(C455:N1448,""Select D,E,F,G,H,I,J,K,L,M WHERE ""&amp;P455&amp;"" =C Limit 1"")"),"Light Duty Cleaners")</f>
        <v>Light Duty Cleaners</v>
      </c>
      <c r="R455" s="35" t="str">
        <f>IFERROR(__xludf.DUMMYFUNCTION("""COMPUTED_VALUE"""),"Light duty cleaners")</f>
        <v>Light duty cleaners</v>
      </c>
      <c r="S455" s="35">
        <f>IFERROR(__xludf.DUMMYFUNCTION("""COMPUTED_VALUE"""),4.0)</f>
        <v>4</v>
      </c>
      <c r="T455" s="35">
        <f>IFERROR(__xludf.DUMMYFUNCTION("""COMPUTED_VALUE"""),4.0)</f>
        <v>4</v>
      </c>
      <c r="U455" s="35">
        <f>IFERROR(__xludf.DUMMYFUNCTION("""COMPUTED_VALUE"""),5.0)</f>
        <v>5</v>
      </c>
      <c r="V455" s="35">
        <f>IFERROR(__xludf.DUMMYFUNCTION("""COMPUTED_VALUE"""),4.0)</f>
        <v>4</v>
      </c>
      <c r="W455" s="35">
        <f>IFERROR(__xludf.DUMMYFUNCTION("""COMPUTED_VALUE"""),4.0)</f>
        <v>4</v>
      </c>
      <c r="X455" s="35">
        <f>IFERROR(__xludf.DUMMYFUNCTION("""COMPUTED_VALUE"""),5.0)</f>
        <v>5</v>
      </c>
      <c r="Y455" s="35">
        <f>IFERROR(__xludf.DUMMYFUNCTION("""COMPUTED_VALUE"""),4.0)</f>
        <v>4</v>
      </c>
      <c r="Z455" s="35">
        <f>IFERROR(__xludf.DUMMYFUNCTION("""COMPUTED_VALUE"""),4.0)</f>
        <v>4</v>
      </c>
    </row>
    <row r="456" ht="15.75" customHeight="1">
      <c r="C456" s="34">
        <v>7371.0</v>
      </c>
      <c r="D456" s="70" t="s">
        <v>607</v>
      </c>
      <c r="E456" s="71" t="str">
        <f>vlookup(C456,'NOC-List'!B$2:C$502,2,False)</f>
        <v>Crane operators</v>
      </c>
      <c r="F456" s="72">
        <v>3.0</v>
      </c>
      <c r="G456" s="72">
        <v>4.0</v>
      </c>
      <c r="H456" s="72">
        <v>5.0</v>
      </c>
      <c r="I456" s="72">
        <v>3.0</v>
      </c>
      <c r="J456" s="72">
        <v>4.0</v>
      </c>
      <c r="K456" s="72">
        <v>4.0</v>
      </c>
      <c r="L456" s="72">
        <v>3.0</v>
      </c>
      <c r="M456" s="72">
        <v>4.0</v>
      </c>
      <c r="N456" s="72">
        <v>3.0</v>
      </c>
      <c r="O456" s="73"/>
      <c r="P456" s="35">
        <f>IFERROR(__xludf.DUMMYFUNCTION("""COMPUTED_VALUE"""),6235.0)</f>
        <v>6235</v>
      </c>
      <c r="Q456" s="35" t="str">
        <f>IFERROR(__xludf.DUMMYFUNCTION("query(C456:N1449,""Select D,E,F,G,H,I,J,K,L,M WHERE ""&amp;P456&amp;"" =C Limit 1"")"),"Loan Officers")</f>
        <v>Loan Officers</v>
      </c>
      <c r="R456" s="35" t="str">
        <f>IFERROR(__xludf.DUMMYFUNCTION("""COMPUTED_VALUE"""),"Financial sales representatives")</f>
        <v>Financial sales representatives</v>
      </c>
      <c r="S456" s="35">
        <f>IFERROR(__xludf.DUMMYFUNCTION("""COMPUTED_VALUE"""),2.0)</f>
        <v>2</v>
      </c>
      <c r="T456" s="35">
        <f>IFERROR(__xludf.DUMMYFUNCTION("""COMPUTED_VALUE"""),3.0)</f>
        <v>3</v>
      </c>
      <c r="U456" s="35">
        <f>IFERROR(__xludf.DUMMYFUNCTION("""COMPUTED_VALUE"""),2.0)</f>
        <v>2</v>
      </c>
      <c r="V456" s="35">
        <f>IFERROR(__xludf.DUMMYFUNCTION("""COMPUTED_VALUE"""),4.0)</f>
        <v>4</v>
      </c>
      <c r="W456" s="35">
        <f>IFERROR(__xludf.DUMMYFUNCTION("""COMPUTED_VALUE"""),4.0)</f>
        <v>4</v>
      </c>
      <c r="X456" s="35">
        <f>IFERROR(__xludf.DUMMYFUNCTION("""COMPUTED_VALUE"""),2.0)</f>
        <v>2</v>
      </c>
      <c r="Y456" s="35">
        <f>IFERROR(__xludf.DUMMYFUNCTION("""COMPUTED_VALUE"""),4.0)</f>
        <v>4</v>
      </c>
      <c r="Z456" s="35">
        <f>IFERROR(__xludf.DUMMYFUNCTION("""COMPUTED_VALUE"""),4.0)</f>
        <v>4</v>
      </c>
    </row>
    <row r="457" ht="15.75" customHeight="1">
      <c r="C457" s="34">
        <v>9523.0</v>
      </c>
      <c r="D457" s="70" t="s">
        <v>608</v>
      </c>
      <c r="E457" s="71" t="str">
        <f>vlookup(C457,'NOC-List'!B$2:C$502,2,False)</f>
        <v>Electronics assemblers, fabricators, inspectors and testers</v>
      </c>
      <c r="F457" s="72">
        <v>3.0</v>
      </c>
      <c r="G457" s="72">
        <v>3.0</v>
      </c>
      <c r="H457" s="72">
        <v>3.0</v>
      </c>
      <c r="I457" s="72">
        <v>4.0</v>
      </c>
      <c r="J457" s="72">
        <v>3.0</v>
      </c>
      <c r="K457" s="72">
        <v>4.0</v>
      </c>
      <c r="L457" s="72">
        <v>3.0</v>
      </c>
      <c r="M457" s="72">
        <v>3.0</v>
      </c>
      <c r="N457" s="72">
        <v>3.0</v>
      </c>
      <c r="O457" s="73"/>
      <c r="P457" s="35">
        <f>IFERROR(__xludf.DUMMYFUNCTION("""COMPUTED_VALUE"""),8616.0)</f>
        <v>8616</v>
      </c>
      <c r="Q457" s="35" t="str">
        <f>IFERROR(__xludf.DUMMYFUNCTION("query(C457:N1450,""Select D,E,F,G,H,I,J,K,L,M WHERE ""&amp;P457&amp;"" =C Limit 1"")"),"Logging and Forestry Labourers")</f>
        <v>Logging and Forestry Labourers</v>
      </c>
      <c r="R457" s="35" t="str">
        <f>IFERROR(__xludf.DUMMYFUNCTION("""COMPUTED_VALUE"""),"Logging and forestry labourers")</f>
        <v>Logging and forestry labourers</v>
      </c>
      <c r="S457" s="35">
        <f>IFERROR(__xludf.DUMMYFUNCTION("""COMPUTED_VALUE"""),4.0)</f>
        <v>4</v>
      </c>
      <c r="T457" s="35">
        <f>IFERROR(__xludf.DUMMYFUNCTION("""COMPUTED_VALUE"""),4.0)</f>
        <v>4</v>
      </c>
      <c r="U457" s="35">
        <f>IFERROR(__xludf.DUMMYFUNCTION("""COMPUTED_VALUE"""),5.0)</f>
        <v>5</v>
      </c>
      <c r="V457" s="35">
        <f>IFERROR(__xludf.DUMMYFUNCTION("""COMPUTED_VALUE"""),4.0)</f>
        <v>4</v>
      </c>
      <c r="W457" s="35">
        <f>IFERROR(__xludf.DUMMYFUNCTION("""COMPUTED_VALUE"""),4.0)</f>
        <v>4</v>
      </c>
      <c r="X457" s="35">
        <f>IFERROR(__xludf.DUMMYFUNCTION("""COMPUTED_VALUE"""),5.0)</f>
        <v>5</v>
      </c>
      <c r="Y457" s="35">
        <f>IFERROR(__xludf.DUMMYFUNCTION("""COMPUTED_VALUE"""),4.0)</f>
        <v>4</v>
      </c>
      <c r="Z457" s="35">
        <f>IFERROR(__xludf.DUMMYFUNCTION("""COMPUTED_VALUE"""),4.0)</f>
        <v>4</v>
      </c>
    </row>
    <row r="458" ht="15.75" customHeight="1">
      <c r="C458" s="34">
        <v>7514.0</v>
      </c>
      <c r="D458" s="70" t="s">
        <v>609</v>
      </c>
      <c r="E458" s="71" t="str">
        <f>vlookup(C458,'NOC-List'!B$2:C$502,2,False)</f>
        <v>Delivery and courier service drivers</v>
      </c>
      <c r="F458" s="72">
        <v>4.0</v>
      </c>
      <c r="G458" s="72">
        <v>4.0</v>
      </c>
      <c r="H458" s="72">
        <v>4.0</v>
      </c>
      <c r="I458" s="72">
        <v>3.0</v>
      </c>
      <c r="J458" s="72">
        <v>4.0</v>
      </c>
      <c r="K458" s="72">
        <v>4.0</v>
      </c>
      <c r="L458" s="72">
        <v>3.0</v>
      </c>
      <c r="M458" s="72">
        <v>4.0</v>
      </c>
      <c r="N458" s="72">
        <v>3.0</v>
      </c>
      <c r="O458" s="73"/>
      <c r="P458" s="35">
        <f>IFERROR(__xludf.DUMMYFUNCTION("""COMPUTED_VALUE"""),1122.0)</f>
        <v>1122</v>
      </c>
      <c r="Q458" s="35" t="str">
        <f>IFERROR(__xludf.DUMMYFUNCTION("query(C458:N1451,""Select D,E,F,G,H,I,J,K,L,M WHERE ""&amp;P458&amp;"" =C Limit 1"")"),"Management Consultants")</f>
        <v>Management Consultants</v>
      </c>
      <c r="R458" s="35" t="str">
        <f>IFERROR(__xludf.DUMMYFUNCTION("""COMPUTED_VALUE"""),"Professional occupations in business management consulting")</f>
        <v>Professional occupations in business management consulting</v>
      </c>
      <c r="S458" s="35">
        <f>IFERROR(__xludf.DUMMYFUNCTION("""COMPUTED_VALUE"""),2.0)</f>
        <v>2</v>
      </c>
      <c r="T458" s="35">
        <f>IFERROR(__xludf.DUMMYFUNCTION("""COMPUTED_VALUE"""),2.0)</f>
        <v>2</v>
      </c>
      <c r="U458" s="35">
        <f>IFERROR(__xludf.DUMMYFUNCTION("""COMPUTED_VALUE"""),3.0)</f>
        <v>3</v>
      </c>
      <c r="V458" s="35">
        <f>IFERROR(__xludf.DUMMYFUNCTION("""COMPUTED_VALUE"""),4.0)</f>
        <v>4</v>
      </c>
      <c r="W458" s="35">
        <f>IFERROR(__xludf.DUMMYFUNCTION("""COMPUTED_VALUE"""),4.0)</f>
        <v>4</v>
      </c>
      <c r="X458" s="35">
        <f>IFERROR(__xludf.DUMMYFUNCTION("""COMPUTED_VALUE"""),2.0)</f>
        <v>2</v>
      </c>
      <c r="Y458" s="35">
        <f>IFERROR(__xludf.DUMMYFUNCTION("""COMPUTED_VALUE"""),4.0)</f>
        <v>4</v>
      </c>
      <c r="Z458" s="35">
        <f>IFERROR(__xludf.DUMMYFUNCTION("""COMPUTED_VALUE"""),4.0)</f>
        <v>4</v>
      </c>
    </row>
    <row r="459" ht="15.75" customHeight="1">
      <c r="C459" s="34">
        <v>5131.0</v>
      </c>
      <c r="D459" s="70" t="s">
        <v>610</v>
      </c>
      <c r="E459" s="71" t="str">
        <f>vlookup(C459,'NOC-List'!B$2:C$502,2,False)</f>
        <v>Producers, directors, choreographers and related occupations</v>
      </c>
      <c r="F459" s="72">
        <v>2.0</v>
      </c>
      <c r="G459" s="72">
        <v>2.0</v>
      </c>
      <c r="H459" s="72">
        <v>3.0</v>
      </c>
      <c r="I459" s="72">
        <v>2.0</v>
      </c>
      <c r="J459" s="72">
        <v>3.0</v>
      </c>
      <c r="K459" s="72">
        <v>3.0</v>
      </c>
      <c r="L459" s="72">
        <v>4.0</v>
      </c>
      <c r="M459" s="72">
        <v>4.0</v>
      </c>
      <c r="N459" s="72">
        <v>4.0</v>
      </c>
      <c r="O459" s="73"/>
      <c r="P459" s="35">
        <f>IFERROR(__xludf.DUMMYFUNCTION("""COMPUTED_VALUE"""),512.0)</f>
        <v>512</v>
      </c>
      <c r="Q459" s="35" t="str">
        <f>IFERROR(__xludf.DUMMYFUNCTION("query(C459:N1452,""Select D,E,F,G,H,I,J,K,L,M WHERE ""&amp;P459&amp;"" =C Limit 1"")"),"Managers  Publishing, Motion Pictures, Broadcasting and Performing Arts")</f>
        <v>Managers _x0013_ Publishing, Motion Pictures, Broadcasting and Performing Arts</v>
      </c>
      <c r="R459" s="35" t="str">
        <f>IFERROR(__xludf.DUMMYFUNCTION("""COMPUTED_VALUE"""),"Managers - publishing, motion pictures, broadcasting and performing arts")</f>
        <v>Managers - publishing, motion pictures, broadcasting and performing arts</v>
      </c>
      <c r="S459" s="35">
        <f>IFERROR(__xludf.DUMMYFUNCTION("""COMPUTED_VALUE"""),2.0)</f>
        <v>2</v>
      </c>
      <c r="T459" s="35">
        <f>IFERROR(__xludf.DUMMYFUNCTION("""COMPUTED_VALUE"""),1.0)</f>
        <v>1</v>
      </c>
      <c r="U459" s="35">
        <f>IFERROR(__xludf.DUMMYFUNCTION("""COMPUTED_VALUE"""),3.0)</f>
        <v>3</v>
      </c>
      <c r="V459" s="35">
        <f>IFERROR(__xludf.DUMMYFUNCTION("""COMPUTED_VALUE"""),4.0)</f>
        <v>4</v>
      </c>
      <c r="W459" s="35">
        <f>IFERROR(__xludf.DUMMYFUNCTION("""COMPUTED_VALUE"""),4.0)</f>
        <v>4</v>
      </c>
      <c r="X459" s="35">
        <f>IFERROR(__xludf.DUMMYFUNCTION("""COMPUTED_VALUE"""),3.0)</f>
        <v>3</v>
      </c>
      <c r="Y459" s="35">
        <f>IFERROR(__xludf.DUMMYFUNCTION("""COMPUTED_VALUE"""),4.0)</f>
        <v>4</v>
      </c>
      <c r="Z459" s="35">
        <f>IFERROR(__xludf.DUMMYFUNCTION("""COMPUTED_VALUE"""),4.0)</f>
        <v>4</v>
      </c>
    </row>
    <row r="460" ht="15.75" customHeight="1">
      <c r="C460" s="81">
        <v>5227.0</v>
      </c>
      <c r="D460" s="70" t="s">
        <v>611</v>
      </c>
      <c r="E460" s="71" t="str">
        <f>vlookup(C460,'NOC-List'!B$2:C$502,2,False)</f>
        <v>Support occupations in motion pictures, broadcasting, photography and the performing arts</v>
      </c>
      <c r="F460" s="72">
        <v>2.0</v>
      </c>
      <c r="G460" s="72">
        <v>2.0</v>
      </c>
      <c r="H460" s="72">
        <v>3.0</v>
      </c>
      <c r="I460" s="72">
        <v>2.0</v>
      </c>
      <c r="J460" s="72">
        <v>3.0</v>
      </c>
      <c r="K460" s="72">
        <v>3.0</v>
      </c>
      <c r="L460" s="72">
        <v>4.0</v>
      </c>
      <c r="M460" s="72">
        <v>4.0</v>
      </c>
      <c r="N460" s="72">
        <v>4.0</v>
      </c>
      <c r="O460" s="73"/>
      <c r="P460" s="35">
        <f>IFERROR(__xludf.DUMMYFUNCTION("""COMPUTED_VALUE"""),2132.0)</f>
        <v>2132</v>
      </c>
      <c r="Q460" s="35" t="str">
        <f>IFERROR(__xludf.DUMMYFUNCTION("query(C460:N1453,""Select D,E,F,G,H,I,J,K,L,M WHERE ""&amp;P460&amp;"" =C Limit 1"")"),"Mechanical Engineers")</f>
        <v>Mechanical Engineers</v>
      </c>
      <c r="R460" s="35" t="str">
        <f>IFERROR(__xludf.DUMMYFUNCTION("""COMPUTED_VALUE"""),"Mechanical engineers")</f>
        <v>Mechanical engineers</v>
      </c>
      <c r="S460" s="35">
        <f>IFERROR(__xludf.DUMMYFUNCTION("""COMPUTED_VALUE"""),1.0)</f>
        <v>1</v>
      </c>
      <c r="T460" s="35">
        <f>IFERROR(__xludf.DUMMYFUNCTION("""COMPUTED_VALUE"""),2.0)</f>
        <v>2</v>
      </c>
      <c r="U460" s="35">
        <f>IFERROR(__xludf.DUMMYFUNCTION("""COMPUTED_VALUE"""),1.0)</f>
        <v>1</v>
      </c>
      <c r="V460" s="35">
        <f>IFERROR(__xludf.DUMMYFUNCTION("""COMPUTED_VALUE"""),2.0)</f>
        <v>2</v>
      </c>
      <c r="W460" s="35">
        <f>IFERROR(__xludf.DUMMYFUNCTION("""COMPUTED_VALUE"""),3.0)</f>
        <v>3</v>
      </c>
      <c r="X460" s="35">
        <f>IFERROR(__xludf.DUMMYFUNCTION("""COMPUTED_VALUE"""),4.0)</f>
        <v>4</v>
      </c>
      <c r="Y460" s="35">
        <f>IFERROR(__xludf.DUMMYFUNCTION("""COMPUTED_VALUE"""),4.0)</f>
        <v>4</v>
      </c>
      <c r="Z460" s="35">
        <f>IFERROR(__xludf.DUMMYFUNCTION("""COMPUTED_VALUE"""),4.0)</f>
        <v>4</v>
      </c>
    </row>
    <row r="461" ht="15.75" customHeight="1">
      <c r="C461" s="34">
        <v>4312.0</v>
      </c>
      <c r="D461" s="70" t="s">
        <v>612</v>
      </c>
      <c r="E461" s="71" t="str">
        <f>vlookup(C461,'NOC-List'!B$2:C$502,2,False)</f>
        <v>Firefighters</v>
      </c>
      <c r="F461" s="72">
        <v>3.0</v>
      </c>
      <c r="G461" s="72">
        <v>3.0</v>
      </c>
      <c r="H461" s="72">
        <v>4.0</v>
      </c>
      <c r="I461" s="72">
        <v>3.0</v>
      </c>
      <c r="J461" s="72">
        <v>3.0</v>
      </c>
      <c r="K461" s="72">
        <v>5.0</v>
      </c>
      <c r="L461" s="72">
        <v>3.0</v>
      </c>
      <c r="M461" s="72">
        <v>4.0</v>
      </c>
      <c r="N461" s="72">
        <v>3.0</v>
      </c>
      <c r="O461" s="73"/>
      <c r="P461" s="35">
        <f>IFERROR(__xludf.DUMMYFUNCTION("""COMPUTED_VALUE"""),8614.0)</f>
        <v>8614</v>
      </c>
      <c r="Q461" s="35" t="str">
        <f>IFERROR(__xludf.DUMMYFUNCTION("query(C461:N1454,""Select D,E,F,G,H,I,J,K,L,M WHERE ""&amp;P461&amp;"" =C Limit 1"")"),"Mine Labourers")</f>
        <v>Mine Labourers</v>
      </c>
      <c r="R461" s="35" t="str">
        <f>IFERROR(__xludf.DUMMYFUNCTION("""COMPUTED_VALUE"""),"Mine labourers")</f>
        <v>Mine labourers</v>
      </c>
      <c r="S461" s="35">
        <f>IFERROR(__xludf.DUMMYFUNCTION("""COMPUTED_VALUE"""),4.0)</f>
        <v>4</v>
      </c>
      <c r="T461" s="35">
        <f>IFERROR(__xludf.DUMMYFUNCTION("""COMPUTED_VALUE"""),4.0)</f>
        <v>4</v>
      </c>
      <c r="U461" s="35">
        <f>IFERROR(__xludf.DUMMYFUNCTION("""COMPUTED_VALUE"""),5.0)</f>
        <v>5</v>
      </c>
      <c r="V461" s="35">
        <f>IFERROR(__xludf.DUMMYFUNCTION("""COMPUTED_VALUE"""),4.0)</f>
        <v>4</v>
      </c>
      <c r="W461" s="35">
        <f>IFERROR(__xludf.DUMMYFUNCTION("""COMPUTED_VALUE"""),4.0)</f>
        <v>4</v>
      </c>
      <c r="X461" s="35">
        <f>IFERROR(__xludf.DUMMYFUNCTION("""COMPUTED_VALUE"""),5.0)</f>
        <v>5</v>
      </c>
      <c r="Y461" s="35">
        <f>IFERROR(__xludf.DUMMYFUNCTION("""COMPUTED_VALUE"""),4.0)</f>
        <v>4</v>
      </c>
      <c r="Z461" s="35">
        <f>IFERROR(__xludf.DUMMYFUNCTION("""COMPUTED_VALUE"""),4.0)</f>
        <v>4</v>
      </c>
    </row>
    <row r="462" ht="15.75" customHeight="1">
      <c r="C462" s="34">
        <v>1414.0</v>
      </c>
      <c r="D462" s="70" t="s">
        <v>613</v>
      </c>
      <c r="E462" s="71" t="str">
        <f>vlookup(C462,'NOC-List'!B$2:C$502,2,False)</f>
        <v>Receptionists</v>
      </c>
      <c r="F462" s="72">
        <v>3.0</v>
      </c>
      <c r="G462" s="72">
        <v>3.0</v>
      </c>
      <c r="H462" s="72">
        <v>4.0</v>
      </c>
      <c r="I462" s="72">
        <v>4.0</v>
      </c>
      <c r="J462" s="72">
        <v>4.0</v>
      </c>
      <c r="K462" s="72">
        <v>3.0</v>
      </c>
      <c r="L462" s="72">
        <v>3.0</v>
      </c>
      <c r="M462" s="72">
        <v>3.0</v>
      </c>
      <c r="N462" s="72">
        <v>4.0</v>
      </c>
      <c r="O462" s="73"/>
      <c r="P462" s="35">
        <f>IFERROR(__xludf.DUMMYFUNCTION("""COMPUTED_VALUE"""),4154.0)</f>
        <v>4154</v>
      </c>
      <c r="Q462" s="35" t="str">
        <f>IFERROR(__xludf.DUMMYFUNCTION("query(C462:N1455,""Select D,E,F,G,H,I,J,K,L,M WHERE ""&amp;P462&amp;"" =C Limit 1"")"),"Ministers of Religion")</f>
        <v>Ministers of Religion</v>
      </c>
      <c r="R462" s="35" t="str">
        <f>IFERROR(__xludf.DUMMYFUNCTION("""COMPUTED_VALUE"""),"Professional occupations in religion")</f>
        <v>Professional occupations in religion</v>
      </c>
      <c r="S462" s="35">
        <f>IFERROR(__xludf.DUMMYFUNCTION("""COMPUTED_VALUE"""),2.0)</f>
        <v>2</v>
      </c>
      <c r="T462" s="35">
        <f>IFERROR(__xludf.DUMMYFUNCTION("""COMPUTED_VALUE"""),2.0)</f>
        <v>2</v>
      </c>
      <c r="U462" s="35">
        <f>IFERROR(__xludf.DUMMYFUNCTION("""COMPUTED_VALUE"""),3.0)</f>
        <v>3</v>
      </c>
      <c r="V462" s="35">
        <f>IFERROR(__xludf.DUMMYFUNCTION("""COMPUTED_VALUE"""),4.0)</f>
        <v>4</v>
      </c>
      <c r="W462" s="35">
        <f>IFERROR(__xludf.DUMMYFUNCTION("""COMPUTED_VALUE"""),4.0)</f>
        <v>4</v>
      </c>
      <c r="X462" s="35">
        <f>IFERROR(__xludf.DUMMYFUNCTION("""COMPUTED_VALUE"""),4.0)</f>
        <v>4</v>
      </c>
      <c r="Y462" s="35">
        <f>IFERROR(__xludf.DUMMYFUNCTION("""COMPUTED_VALUE"""),4.0)</f>
        <v>4</v>
      </c>
      <c r="Z462" s="35">
        <f>IFERROR(__xludf.DUMMYFUNCTION("""COMPUTED_VALUE"""),4.0)</f>
        <v>4</v>
      </c>
    </row>
    <row r="463" ht="15.75" customHeight="1">
      <c r="C463" s="34">
        <v>7284.0</v>
      </c>
      <c r="D463" s="70" t="s">
        <v>614</v>
      </c>
      <c r="E463" s="71" t="str">
        <f>vlookup(C463,'NOC-List'!B$2:C$502,2,False)</f>
        <v>Plasterers, drywall installers and finishers and lathers</v>
      </c>
      <c r="F463" s="72">
        <v>3.0</v>
      </c>
      <c r="G463" s="72">
        <v>4.0</v>
      </c>
      <c r="H463" s="72">
        <v>4.0</v>
      </c>
      <c r="I463" s="72">
        <v>3.0</v>
      </c>
      <c r="J463" s="72">
        <v>4.0</v>
      </c>
      <c r="K463" s="72">
        <v>5.0</v>
      </c>
      <c r="L463" s="72">
        <v>3.0</v>
      </c>
      <c r="M463" s="72">
        <v>4.0</v>
      </c>
      <c r="N463" s="72">
        <v>3.0</v>
      </c>
      <c r="O463" s="73"/>
      <c r="P463" s="35">
        <f>IFERROR(__xludf.DUMMYFUNCTION("""COMPUTED_VALUE"""),114.0)</f>
        <v>114</v>
      </c>
      <c r="Q463" s="35" t="str">
        <f>IFERROR(__xludf.DUMMYFUNCTION("query(C463:N1456,""Select D,E,F,G,H,I,J,K,L,M WHERE ""&amp;P463&amp;"" =C Limit 1"")"),"Other Administrative Services Managers")</f>
        <v>Other Administrative Services Managers</v>
      </c>
      <c r="R463" s="35" t="str">
        <f>IFERROR(__xludf.DUMMYFUNCTION("""COMPUTED_VALUE"""),"Other administrative services managers")</f>
        <v>Other administrative services managers</v>
      </c>
      <c r="S463" s="35">
        <f>IFERROR(__xludf.DUMMYFUNCTION("""COMPUTED_VALUE"""),2.0)</f>
        <v>2</v>
      </c>
      <c r="T463" s="35">
        <f>IFERROR(__xludf.DUMMYFUNCTION("""COMPUTED_VALUE"""),2.0)</f>
        <v>2</v>
      </c>
      <c r="U463" s="35">
        <f>IFERROR(__xludf.DUMMYFUNCTION("""COMPUTED_VALUE"""),2.0)</f>
        <v>2</v>
      </c>
      <c r="V463" s="35">
        <f>IFERROR(__xludf.DUMMYFUNCTION("""COMPUTED_VALUE"""),4.0)</f>
        <v>4</v>
      </c>
      <c r="W463" s="35">
        <f>IFERROR(__xludf.DUMMYFUNCTION("""COMPUTED_VALUE"""),4.0)</f>
        <v>4</v>
      </c>
      <c r="X463" s="35">
        <f>IFERROR(__xludf.DUMMYFUNCTION("""COMPUTED_VALUE"""),3.0)</f>
        <v>3</v>
      </c>
      <c r="Y463" s="35">
        <f>IFERROR(__xludf.DUMMYFUNCTION("""COMPUTED_VALUE"""),4.0)</f>
        <v>4</v>
      </c>
      <c r="Z463" s="35">
        <f>IFERROR(__xludf.DUMMYFUNCTION("""COMPUTED_VALUE"""),4.0)</f>
        <v>4</v>
      </c>
    </row>
    <row r="464" ht="15.75" customHeight="1">
      <c r="C464" s="34">
        <v>9445.0</v>
      </c>
      <c r="D464" s="70" t="s">
        <v>615</v>
      </c>
      <c r="E464" s="71" t="str">
        <f>vlookup(C464,'NOC-List'!B$2:C$502,2,False)</f>
        <v>Fabric, fur and leather cutters</v>
      </c>
      <c r="F464" s="72">
        <v>3.0</v>
      </c>
      <c r="G464" s="72">
        <v>4.0</v>
      </c>
      <c r="H464" s="72">
        <v>4.0</v>
      </c>
      <c r="I464" s="72">
        <v>4.0</v>
      </c>
      <c r="J464" s="72">
        <v>4.0</v>
      </c>
      <c r="K464" s="72">
        <v>4.0</v>
      </c>
      <c r="L464" s="72">
        <v>3.0</v>
      </c>
      <c r="M464" s="72">
        <v>4.0</v>
      </c>
      <c r="N464" s="72">
        <v>3.0</v>
      </c>
      <c r="O464" s="73"/>
      <c r="P464" s="35">
        <f>IFERROR(__xludf.DUMMYFUNCTION("""COMPUTED_VALUE"""),125.0)</f>
        <v>125</v>
      </c>
      <c r="Q464" s="35" t="str">
        <f>IFERROR(__xludf.DUMMYFUNCTION("query(C464:N1457,""Select D,E,F,G,H,I,J,K,L,M WHERE ""&amp;P464&amp;"" =C Limit 1"")"),"Other Business Services Managers")</f>
        <v>Other Business Services Managers</v>
      </c>
      <c r="R464" s="35" t="str">
        <f>IFERROR(__xludf.DUMMYFUNCTION("""COMPUTED_VALUE"""),"Other business services managers")</f>
        <v>Other business services managers</v>
      </c>
      <c r="S464" s="35">
        <f>IFERROR(__xludf.DUMMYFUNCTION("""COMPUTED_VALUE"""),2.0)</f>
        <v>2</v>
      </c>
      <c r="T464" s="35">
        <f>IFERROR(__xludf.DUMMYFUNCTION("""COMPUTED_VALUE"""),2.0)</f>
        <v>2</v>
      </c>
      <c r="U464" s="35">
        <f>IFERROR(__xludf.DUMMYFUNCTION("""COMPUTED_VALUE"""),2.0)</f>
        <v>2</v>
      </c>
      <c r="V464" s="35">
        <f>IFERROR(__xludf.DUMMYFUNCTION("""COMPUTED_VALUE"""),4.0)</f>
        <v>4</v>
      </c>
      <c r="W464" s="35">
        <f>IFERROR(__xludf.DUMMYFUNCTION("""COMPUTED_VALUE"""),4.0)</f>
        <v>4</v>
      </c>
      <c r="X464" s="35">
        <f>IFERROR(__xludf.DUMMYFUNCTION("""COMPUTED_VALUE"""),3.0)</f>
        <v>3</v>
      </c>
      <c r="Y464" s="35">
        <f>IFERROR(__xludf.DUMMYFUNCTION("""COMPUTED_VALUE"""),4.0)</f>
        <v>4</v>
      </c>
      <c r="Z464" s="35">
        <f>IFERROR(__xludf.DUMMYFUNCTION("""COMPUTED_VALUE"""),4.0)</f>
        <v>4</v>
      </c>
    </row>
    <row r="465" ht="15.75" customHeight="1">
      <c r="C465" s="81">
        <v>1411.0</v>
      </c>
      <c r="D465" s="70" t="s">
        <v>616</v>
      </c>
      <c r="E465" s="71" t="str">
        <f>vlookup(C465,'NOC-List'!B$2:C$502,2,False)</f>
        <v>General office support workers</v>
      </c>
      <c r="F465" s="72">
        <v>3.0</v>
      </c>
      <c r="G465" s="72">
        <v>3.0</v>
      </c>
      <c r="H465" s="72">
        <v>4.0</v>
      </c>
      <c r="I465" s="72">
        <v>4.0</v>
      </c>
      <c r="J465" s="72">
        <v>4.0</v>
      </c>
      <c r="K465" s="72">
        <v>3.0</v>
      </c>
      <c r="L465" s="72">
        <v>3.0</v>
      </c>
      <c r="M465" s="72">
        <v>3.0</v>
      </c>
      <c r="N465" s="72">
        <v>4.0</v>
      </c>
      <c r="O465" s="73"/>
      <c r="P465" s="35">
        <f>IFERROR(__xludf.DUMMYFUNCTION("""COMPUTED_VALUE"""),414.0)</f>
        <v>414</v>
      </c>
      <c r="Q465" s="35" t="str">
        <f>IFERROR(__xludf.DUMMYFUNCTION("query(C465:N1458,""Select D,E,F,G,H,I,J,K,L,M WHERE ""&amp;P465&amp;"" =C Limit 1"")"),"Other Managers in Public Administration")</f>
        <v>Other Managers in Public Administration</v>
      </c>
      <c r="R465" s="35" t="str">
        <f>IFERROR(__xludf.DUMMYFUNCTION("""COMPUTED_VALUE"""),"Other managers in public administration")</f>
        <v>Other managers in public administration</v>
      </c>
      <c r="S465" s="35">
        <f>IFERROR(__xludf.DUMMYFUNCTION("""COMPUTED_VALUE"""),2.0)</f>
        <v>2</v>
      </c>
      <c r="T465" s="35">
        <f>IFERROR(__xludf.DUMMYFUNCTION("""COMPUTED_VALUE"""),2.0)</f>
        <v>2</v>
      </c>
      <c r="U465" s="35">
        <f>IFERROR(__xludf.DUMMYFUNCTION("""COMPUTED_VALUE"""),2.0)</f>
        <v>2</v>
      </c>
      <c r="V465" s="35">
        <f>IFERROR(__xludf.DUMMYFUNCTION("""COMPUTED_VALUE"""),4.0)</f>
        <v>4</v>
      </c>
      <c r="W465" s="35">
        <f>IFERROR(__xludf.DUMMYFUNCTION("""COMPUTED_VALUE"""),4.0)</f>
        <v>4</v>
      </c>
      <c r="X465" s="35">
        <f>IFERROR(__xludf.DUMMYFUNCTION("""COMPUTED_VALUE"""),3.0)</f>
        <v>3</v>
      </c>
      <c r="Y465" s="35">
        <f>IFERROR(__xludf.DUMMYFUNCTION("""COMPUTED_VALUE"""),4.0)</f>
        <v>4</v>
      </c>
      <c r="Z465" s="35">
        <f>IFERROR(__xludf.DUMMYFUNCTION("""COMPUTED_VALUE"""),4.0)</f>
        <v>4</v>
      </c>
    </row>
    <row r="466" ht="15.75" customHeight="1">
      <c r="C466" s="34">
        <v>9445.0</v>
      </c>
      <c r="D466" s="70" t="s">
        <v>617</v>
      </c>
      <c r="E466" s="71" t="str">
        <f>vlookup(C466,'NOC-List'!B$2:C$502,2,False)</f>
        <v>Fabric, fur and leather cutters</v>
      </c>
      <c r="F466" s="72">
        <v>3.0</v>
      </c>
      <c r="G466" s="72">
        <v>4.0</v>
      </c>
      <c r="H466" s="72">
        <v>4.0</v>
      </c>
      <c r="I466" s="72">
        <v>4.0</v>
      </c>
      <c r="J466" s="72">
        <v>4.0</v>
      </c>
      <c r="K466" s="72">
        <v>4.0</v>
      </c>
      <c r="L466" s="72">
        <v>3.0</v>
      </c>
      <c r="M466" s="72">
        <v>4.0</v>
      </c>
      <c r="N466" s="72">
        <v>3.0</v>
      </c>
      <c r="O466" s="73"/>
      <c r="P466" s="35">
        <f>IFERROR(__xludf.DUMMYFUNCTION("""COMPUTED_VALUE"""),4217.0)</f>
        <v>4217</v>
      </c>
      <c r="Q466" s="35" t="str">
        <f>IFERROR(__xludf.DUMMYFUNCTION("query(C466:N1459,""Select D,E,F,G,H,I,J,K,L,M WHERE ""&amp;P466&amp;"" =C Limit 1"")"),"Other Religious Occupations")</f>
        <v>Other Religious Occupations</v>
      </c>
      <c r="R466" s="35" t="str">
        <f>IFERROR(__xludf.DUMMYFUNCTION("""COMPUTED_VALUE"""),"Other religious occupations")</f>
        <v>Other religious occupations</v>
      </c>
      <c r="S466" s="35">
        <f>IFERROR(__xludf.DUMMYFUNCTION("""COMPUTED_VALUE"""),3.0)</f>
        <v>3</v>
      </c>
      <c r="T466" s="35">
        <f>IFERROR(__xludf.DUMMYFUNCTION("""COMPUTED_VALUE"""),3.0)</f>
        <v>3</v>
      </c>
      <c r="U466" s="35">
        <f>IFERROR(__xludf.DUMMYFUNCTION("""COMPUTED_VALUE"""),3.0)</f>
        <v>3</v>
      </c>
      <c r="V466" s="35">
        <f>IFERROR(__xludf.DUMMYFUNCTION("""COMPUTED_VALUE"""),4.0)</f>
        <v>4</v>
      </c>
      <c r="W466" s="35">
        <f>IFERROR(__xludf.DUMMYFUNCTION("""COMPUTED_VALUE"""),4.0)</f>
        <v>4</v>
      </c>
      <c r="X466" s="35">
        <f>IFERROR(__xludf.DUMMYFUNCTION("""COMPUTED_VALUE"""),4.0)</f>
        <v>4</v>
      </c>
      <c r="Y466" s="35">
        <f>IFERROR(__xludf.DUMMYFUNCTION("""COMPUTED_VALUE"""),4.0)</f>
        <v>4</v>
      </c>
      <c r="Z466" s="35">
        <f>IFERROR(__xludf.DUMMYFUNCTION("""COMPUTED_VALUE"""),4.0)</f>
        <v>4</v>
      </c>
    </row>
    <row r="467" ht="15.75" customHeight="1">
      <c r="C467" s="34">
        <v>9532.0</v>
      </c>
      <c r="D467" s="70" t="s">
        <v>618</v>
      </c>
      <c r="E467" s="71" t="str">
        <f>vlookup(C467,'NOC-List'!B$2:C$502,2,False)</f>
        <v>Furniture and fixture assemblers and inspectors</v>
      </c>
      <c r="F467" s="72">
        <v>4.0</v>
      </c>
      <c r="G467" s="72">
        <v>4.0</v>
      </c>
      <c r="H467" s="72">
        <v>4.0</v>
      </c>
      <c r="I467" s="72">
        <v>3.0</v>
      </c>
      <c r="J467" s="72">
        <v>4.0</v>
      </c>
      <c r="K467" s="72">
        <v>4.0</v>
      </c>
      <c r="L467" s="72">
        <v>3.0</v>
      </c>
      <c r="M467" s="72">
        <v>4.0</v>
      </c>
      <c r="N467" s="72">
        <v>3.0</v>
      </c>
      <c r="O467" s="73"/>
      <c r="P467" s="35">
        <f>IFERROR(__xludf.DUMMYFUNCTION("""COMPUTED_VALUE"""),113.0)</f>
        <v>113</v>
      </c>
      <c r="Q467" s="35" t="str">
        <f>IFERROR(__xludf.DUMMYFUNCTION("query(C467:N1460,""Select D,E,F,G,H,I,J,K,L,M WHERE ""&amp;P467&amp;"" =C Limit 1"")"),"Purchasing Managers")</f>
        <v>Purchasing Managers</v>
      </c>
      <c r="R467" s="35" t="str">
        <f>IFERROR(__xludf.DUMMYFUNCTION("""COMPUTED_VALUE"""),"Purchasing managers")</f>
        <v>Purchasing managers</v>
      </c>
      <c r="S467" s="35">
        <f>IFERROR(__xludf.DUMMYFUNCTION("""COMPUTED_VALUE"""),2.0)</f>
        <v>2</v>
      </c>
      <c r="T467" s="35">
        <f>IFERROR(__xludf.DUMMYFUNCTION("""COMPUTED_VALUE"""),2.0)</f>
        <v>2</v>
      </c>
      <c r="U467" s="35">
        <f>IFERROR(__xludf.DUMMYFUNCTION("""COMPUTED_VALUE"""),2.0)</f>
        <v>2</v>
      </c>
      <c r="V467" s="35">
        <f>IFERROR(__xludf.DUMMYFUNCTION("""COMPUTED_VALUE"""),4.0)</f>
        <v>4</v>
      </c>
      <c r="W467" s="35">
        <f>IFERROR(__xludf.DUMMYFUNCTION("""COMPUTED_VALUE"""),4.0)</f>
        <v>4</v>
      </c>
      <c r="X467" s="35">
        <f>IFERROR(__xludf.DUMMYFUNCTION("""COMPUTED_VALUE"""),3.0)</f>
        <v>3</v>
      </c>
      <c r="Y467" s="35">
        <f>IFERROR(__xludf.DUMMYFUNCTION("""COMPUTED_VALUE"""),4.0)</f>
        <v>4</v>
      </c>
      <c r="Z467" s="35">
        <f>IFERROR(__xludf.DUMMYFUNCTION("""COMPUTED_VALUE"""),4.0)</f>
        <v>4</v>
      </c>
    </row>
    <row r="468" ht="15.75" customHeight="1">
      <c r="C468" s="34">
        <v>9413.0</v>
      </c>
      <c r="D468" s="70" t="s">
        <v>619</v>
      </c>
      <c r="E468" s="71" t="str">
        <f>vlookup(C468,'NOC-List'!B$2:C$502,2,False)</f>
        <v>Glass forming and finishing machine operators and glass cutters</v>
      </c>
      <c r="F468" s="72">
        <v>3.0</v>
      </c>
      <c r="G468" s="72">
        <v>4.0</v>
      </c>
      <c r="H468" s="72">
        <v>4.0</v>
      </c>
      <c r="I468" s="72">
        <v>4.0</v>
      </c>
      <c r="J468" s="72">
        <v>4.0</v>
      </c>
      <c r="K468" s="72">
        <v>4.0</v>
      </c>
      <c r="L468" s="72">
        <v>3.0</v>
      </c>
      <c r="M468" s="72">
        <v>4.0</v>
      </c>
      <c r="N468" s="72">
        <v>3.0</v>
      </c>
      <c r="O468" s="73"/>
      <c r="P468" s="35">
        <f>IFERROR(__xludf.DUMMYFUNCTION("""COMPUTED_VALUE"""),601.0)</f>
        <v>601</v>
      </c>
      <c r="Q468" s="35" t="str">
        <f>IFERROR(__xludf.DUMMYFUNCTION("query(C468:N1461,""Select D,E,F,G,H,I,J,K,L,M WHERE ""&amp;P468&amp;"" =C Limit 1"")"),"Sales Managers")</f>
        <v>Sales Managers</v>
      </c>
      <c r="R468" s="35" t="str">
        <f>IFERROR(__xludf.DUMMYFUNCTION("""COMPUTED_VALUE"""),"Corporate sales managers")</f>
        <v>Corporate sales managers</v>
      </c>
      <c r="S468" s="35">
        <f>IFERROR(__xludf.DUMMYFUNCTION("""COMPUTED_VALUE"""),2.0)</f>
        <v>2</v>
      </c>
      <c r="T468" s="35">
        <f>IFERROR(__xludf.DUMMYFUNCTION("""COMPUTED_VALUE"""),2.0)</f>
        <v>2</v>
      </c>
      <c r="U468" s="35">
        <f>IFERROR(__xludf.DUMMYFUNCTION("""COMPUTED_VALUE"""),2.0)</f>
        <v>2</v>
      </c>
      <c r="V468" s="35">
        <f>IFERROR(__xludf.DUMMYFUNCTION("""COMPUTED_VALUE"""),4.0)</f>
        <v>4</v>
      </c>
      <c r="W468" s="35">
        <f>IFERROR(__xludf.DUMMYFUNCTION("""COMPUTED_VALUE"""),4.0)</f>
        <v>4</v>
      </c>
      <c r="X468" s="35">
        <f>IFERROR(__xludf.DUMMYFUNCTION("""COMPUTED_VALUE"""),3.0)</f>
        <v>3</v>
      </c>
      <c r="Y468" s="35">
        <f>IFERROR(__xludf.DUMMYFUNCTION("""COMPUTED_VALUE"""),4.0)</f>
        <v>4</v>
      </c>
      <c r="Z468" s="35">
        <f>IFERROR(__xludf.DUMMYFUNCTION("""COMPUTED_VALUE"""),4.0)</f>
        <v>4</v>
      </c>
    </row>
    <row r="469" ht="15.75" customHeight="1">
      <c r="C469" s="34">
        <v>6562.0</v>
      </c>
      <c r="D469" s="70" t="s">
        <v>620</v>
      </c>
      <c r="E469" s="71" t="str">
        <f>vlookup(C469,'NOC-List'!B$2:C$502,2,False)</f>
        <v>Estheticians, electrologists and related occupations</v>
      </c>
      <c r="F469" s="72">
        <v>3.0</v>
      </c>
      <c r="G469" s="72">
        <v>3.0</v>
      </c>
      <c r="H469" s="72">
        <v>4.0</v>
      </c>
      <c r="I469" s="72">
        <v>4.0</v>
      </c>
      <c r="J469" s="72">
        <v>3.0</v>
      </c>
      <c r="K469" s="72">
        <v>4.0</v>
      </c>
      <c r="L469" s="72">
        <v>3.0</v>
      </c>
      <c r="M469" s="72">
        <v>2.0</v>
      </c>
      <c r="N469" s="72">
        <v>3.0</v>
      </c>
      <c r="O469" s="73"/>
      <c r="P469" s="35">
        <f>IFERROR(__xludf.DUMMYFUNCTION("""COMPUTED_VALUE"""),1213.0)</f>
        <v>1213</v>
      </c>
      <c r="Q469" s="35" t="str">
        <f>IFERROR(__xludf.DUMMYFUNCTION("query(C469:N1462,""Select D,E,F,G,H,I,J,K,L,M WHERE ""&amp;P469&amp;"" =C Limit 1"")"),"Supervisors, Library, Correspondence and Related Information Clerks")</f>
        <v>Supervisors, Library, Correspondence and Related Information Clerks</v>
      </c>
      <c r="R469" s="35" t="str">
        <f>IFERROR(__xludf.DUMMYFUNCTION("""COMPUTED_VALUE"""),"Supervisors, library, correspondence and related information workers")</f>
        <v>Supervisors, library, correspondence and related information workers</v>
      </c>
      <c r="S469" s="35">
        <f>IFERROR(__xludf.DUMMYFUNCTION("""COMPUTED_VALUE"""),3.0)</f>
        <v>3</v>
      </c>
      <c r="T469" s="35">
        <f>IFERROR(__xludf.DUMMYFUNCTION("""COMPUTED_VALUE"""),3.0)</f>
        <v>3</v>
      </c>
      <c r="U469" s="35">
        <f>IFERROR(__xludf.DUMMYFUNCTION("""COMPUTED_VALUE"""),3.0)</f>
        <v>3</v>
      </c>
      <c r="V469" s="35">
        <f>IFERROR(__xludf.DUMMYFUNCTION("""COMPUTED_VALUE"""),4.0)</f>
        <v>4</v>
      </c>
      <c r="W469" s="35">
        <f>IFERROR(__xludf.DUMMYFUNCTION("""COMPUTED_VALUE"""),4.0)</f>
        <v>4</v>
      </c>
      <c r="X469" s="35">
        <f>IFERROR(__xludf.DUMMYFUNCTION("""COMPUTED_VALUE"""),2.0)</f>
        <v>2</v>
      </c>
      <c r="Y469" s="35">
        <f>IFERROR(__xludf.DUMMYFUNCTION("""COMPUTED_VALUE"""),4.0)</f>
        <v>4</v>
      </c>
      <c r="Z469" s="35">
        <f>IFERROR(__xludf.DUMMYFUNCTION("""COMPUTED_VALUE"""),4.0)</f>
        <v>4</v>
      </c>
    </row>
    <row r="470" ht="15.75" customHeight="1">
      <c r="C470" s="34">
        <v>6341.0</v>
      </c>
      <c r="D470" s="70" t="s">
        <v>621</v>
      </c>
      <c r="E470" s="71" t="str">
        <f>vlookup(C470,'NOC-List'!B$2:C$502,2,False)</f>
        <v>Hairstylists and barbers</v>
      </c>
      <c r="F470" s="72">
        <v>3.0</v>
      </c>
      <c r="G470" s="72">
        <v>3.0</v>
      </c>
      <c r="H470" s="72">
        <v>4.0</v>
      </c>
      <c r="I470" s="72">
        <v>4.0</v>
      </c>
      <c r="J470" s="72">
        <v>3.0</v>
      </c>
      <c r="K470" s="72">
        <v>4.0</v>
      </c>
      <c r="L470" s="72">
        <v>3.0</v>
      </c>
      <c r="M470" s="72">
        <v>2.0</v>
      </c>
      <c r="N470" s="72">
        <v>3.0</v>
      </c>
      <c r="O470" s="73"/>
      <c r="P470" s="35">
        <f>IFERROR(__xludf.DUMMYFUNCTION("""COMPUTED_VALUE"""),1214.0)</f>
        <v>1214</v>
      </c>
      <c r="Q470" s="35" t="str">
        <f>IFERROR(__xludf.DUMMYFUNCTION("query(C470:N1463,""Select D,E,F,G,H,I,J,K,L,M WHERE ""&amp;P470&amp;"" =C Limit 1"")"),"Supervisors, Mail and Message Distribution Occupations")</f>
        <v>Supervisors, Mail and Message Distribution Occupations</v>
      </c>
      <c r="R470" s="35" t="str">
        <f>IFERROR(__xludf.DUMMYFUNCTION("""COMPUTED_VALUE"""),"Supervisors, mail and message distribution occupations")</f>
        <v>Supervisors, mail and message distribution occupations</v>
      </c>
      <c r="S470" s="35">
        <f>IFERROR(__xludf.DUMMYFUNCTION("""COMPUTED_VALUE"""),3.0)</f>
        <v>3</v>
      </c>
      <c r="T470" s="35">
        <f>IFERROR(__xludf.DUMMYFUNCTION("""COMPUTED_VALUE"""),3.0)</f>
        <v>3</v>
      </c>
      <c r="U470" s="35">
        <f>IFERROR(__xludf.DUMMYFUNCTION("""COMPUTED_VALUE"""),3.0)</f>
        <v>3</v>
      </c>
      <c r="V470" s="35">
        <f>IFERROR(__xludf.DUMMYFUNCTION("""COMPUTED_VALUE"""),4.0)</f>
        <v>4</v>
      </c>
      <c r="W470" s="35">
        <f>IFERROR(__xludf.DUMMYFUNCTION("""COMPUTED_VALUE"""),4.0)</f>
        <v>4</v>
      </c>
      <c r="X470" s="35">
        <f>IFERROR(__xludf.DUMMYFUNCTION("""COMPUTED_VALUE"""),2.0)</f>
        <v>2</v>
      </c>
      <c r="Y470" s="35">
        <f>IFERROR(__xludf.DUMMYFUNCTION("""COMPUTED_VALUE"""),4.0)</f>
        <v>4</v>
      </c>
      <c r="Z470" s="35">
        <f>IFERROR(__xludf.DUMMYFUNCTION("""COMPUTED_VALUE"""),4.0)</f>
        <v>4</v>
      </c>
    </row>
    <row r="471" ht="15.75" customHeight="1">
      <c r="C471" s="34">
        <v>9413.0</v>
      </c>
      <c r="D471" s="70" t="s">
        <v>622</v>
      </c>
      <c r="E471" s="71" t="str">
        <f>vlookup(C471,'NOC-List'!B$2:C$502,2,False)</f>
        <v>Glass forming and finishing machine operators and glass cutters</v>
      </c>
      <c r="F471" s="72">
        <v>3.0</v>
      </c>
      <c r="G471" s="72">
        <v>4.0</v>
      </c>
      <c r="H471" s="72">
        <v>4.0</v>
      </c>
      <c r="I471" s="72">
        <v>4.0</v>
      </c>
      <c r="J471" s="72">
        <v>4.0</v>
      </c>
      <c r="K471" s="72">
        <v>4.0</v>
      </c>
      <c r="L471" s="72">
        <v>3.0</v>
      </c>
      <c r="M471" s="72">
        <v>4.0</v>
      </c>
      <c r="N471" s="72">
        <v>3.0</v>
      </c>
      <c r="O471" s="73"/>
      <c r="P471" s="35">
        <f>IFERROR(__xludf.DUMMYFUNCTION("""COMPUTED_VALUE"""),4011.0)</f>
        <v>4011</v>
      </c>
      <c r="Q471" s="35" t="str">
        <f>IFERROR(__xludf.DUMMYFUNCTION("query(C471:N1464,""Select D,E,F,G,H,I,J,K,L,M WHERE ""&amp;P471&amp;"" =C Limit 1"")"),"University Professors")</f>
        <v>University Professors</v>
      </c>
      <c r="R471" s="35" t="str">
        <f>IFERROR(__xludf.DUMMYFUNCTION("""COMPUTED_VALUE"""),"University professors and lecturers")</f>
        <v>University professors and lecturers</v>
      </c>
      <c r="S471" s="35">
        <f>IFERROR(__xludf.DUMMYFUNCTION("""COMPUTED_VALUE"""),1.0)</f>
        <v>1</v>
      </c>
      <c r="T471" s="35">
        <f>IFERROR(__xludf.DUMMYFUNCTION("""COMPUTED_VALUE"""),1.0)</f>
        <v>1</v>
      </c>
      <c r="U471" s="35">
        <f>IFERROR(__xludf.DUMMYFUNCTION("""COMPUTED_VALUE"""),2.0)</f>
        <v>2</v>
      </c>
      <c r="V471" s="35">
        <f>IFERROR(__xludf.DUMMYFUNCTION("""COMPUTED_VALUE"""),3.0)</f>
        <v>3</v>
      </c>
      <c r="W471" s="35">
        <f>IFERROR(__xludf.DUMMYFUNCTION("""COMPUTED_VALUE"""),3.0)</f>
        <v>3</v>
      </c>
      <c r="X471" s="35">
        <f>IFERROR(__xludf.DUMMYFUNCTION("""COMPUTED_VALUE"""),3.0)</f>
        <v>3</v>
      </c>
      <c r="Y471" s="35">
        <f>IFERROR(__xludf.DUMMYFUNCTION("""COMPUTED_VALUE"""),4.0)</f>
        <v>4</v>
      </c>
      <c r="Z471" s="35">
        <f>IFERROR(__xludf.DUMMYFUNCTION("""COMPUTED_VALUE"""),4.0)</f>
        <v>4</v>
      </c>
    </row>
    <row r="472" ht="15.75" customHeight="1">
      <c r="C472" s="34">
        <v>9413.0</v>
      </c>
      <c r="D472" s="70" t="s">
        <v>623</v>
      </c>
      <c r="E472" s="71" t="str">
        <f>vlookup(C472,'NOC-List'!B$2:C$502,2,False)</f>
        <v>Glass forming and finishing machine operators and glass cutters</v>
      </c>
      <c r="F472" s="72">
        <v>3.0</v>
      </c>
      <c r="G472" s="72">
        <v>4.0</v>
      </c>
      <c r="H472" s="72">
        <v>4.0</v>
      </c>
      <c r="I472" s="72">
        <v>4.0</v>
      </c>
      <c r="J472" s="72">
        <v>4.0</v>
      </c>
      <c r="K472" s="72">
        <v>4.0</v>
      </c>
      <c r="L472" s="72">
        <v>3.0</v>
      </c>
      <c r="M472" s="72">
        <v>4.0</v>
      </c>
      <c r="N472" s="72">
        <v>3.0</v>
      </c>
      <c r="O472" s="73"/>
      <c r="P472" s="35">
        <f>IFERROR(__xludf.DUMMYFUNCTION("""COMPUTED_VALUE"""),2175.0)</f>
        <v>2175</v>
      </c>
      <c r="Q472" s="35" t="str">
        <f>IFERROR(__xludf.DUMMYFUNCTION("query(C472:N1465,""Select D,E,F,G,H,I,J,K,L,M WHERE ""&amp;P472&amp;"" =C Limit 1"")"),"Web Designers and Developers")</f>
        <v>Web Designers and Developers</v>
      </c>
      <c r="R472" s="35" t="str">
        <f>IFERROR(__xludf.DUMMYFUNCTION("""COMPUTED_VALUE"""),"Web designers and developers")</f>
        <v>Web designers and developers</v>
      </c>
      <c r="S472" s="35">
        <f>IFERROR(__xludf.DUMMYFUNCTION("""COMPUTED_VALUE"""),2.0)</f>
        <v>2</v>
      </c>
      <c r="T472" s="35">
        <f>IFERROR(__xludf.DUMMYFUNCTION("""COMPUTED_VALUE"""),2.0)</f>
        <v>2</v>
      </c>
      <c r="U472" s="35">
        <f>IFERROR(__xludf.DUMMYFUNCTION("""COMPUTED_VALUE"""),2.0)</f>
        <v>2</v>
      </c>
      <c r="V472" s="35">
        <f>IFERROR(__xludf.DUMMYFUNCTION("""COMPUTED_VALUE"""),3.0)</f>
        <v>3</v>
      </c>
      <c r="W472" s="35">
        <f>IFERROR(__xludf.DUMMYFUNCTION("""COMPUTED_VALUE"""),3.0)</f>
        <v>3</v>
      </c>
      <c r="X472" s="35">
        <f>IFERROR(__xludf.DUMMYFUNCTION("""COMPUTED_VALUE"""),1.0)</f>
        <v>1</v>
      </c>
      <c r="Y472" s="35">
        <f>IFERROR(__xludf.DUMMYFUNCTION("""COMPUTED_VALUE"""),4.0)</f>
        <v>4</v>
      </c>
      <c r="Z472" s="35">
        <f>IFERROR(__xludf.DUMMYFUNCTION("""COMPUTED_VALUE"""),4.0)</f>
        <v>4</v>
      </c>
    </row>
    <row r="473" ht="15.75" customHeight="1">
      <c r="C473" s="34">
        <v>1414.0</v>
      </c>
      <c r="D473" s="70" t="s">
        <v>624</v>
      </c>
      <c r="E473" s="71" t="str">
        <f>vlookup(C473,'NOC-List'!B$2:C$502,2,False)</f>
        <v>Receptionists</v>
      </c>
      <c r="F473" s="72">
        <v>3.0</v>
      </c>
      <c r="G473" s="72">
        <v>3.0</v>
      </c>
      <c r="H473" s="72">
        <v>4.0</v>
      </c>
      <c r="I473" s="72">
        <v>4.0</v>
      </c>
      <c r="J473" s="72">
        <v>4.0</v>
      </c>
      <c r="K473" s="72">
        <v>3.0</v>
      </c>
      <c r="L473" s="72">
        <v>3.0</v>
      </c>
      <c r="M473" s="72">
        <v>3.0</v>
      </c>
      <c r="N473" s="72">
        <v>4.0</v>
      </c>
      <c r="O473" s="73"/>
      <c r="P473" s="35">
        <f>IFERROR(__xludf.DUMMYFUNCTION("""COMPUTED_VALUE"""),2161.0)</f>
        <v>2161</v>
      </c>
      <c r="Q473" s="35" t="str">
        <f>IFERROR(__xludf.DUMMYFUNCTION("query(C473:N1466,""Select D,E,F,G,H,I,J,K,L,M WHERE ""&amp;P473&amp;"" =C Limit 1"")"),"Actuaries")</f>
        <v>Actuaries</v>
      </c>
      <c r="R473" s="35" t="str">
        <f>IFERROR(__xludf.DUMMYFUNCTION("""COMPUTED_VALUE"""),"Mathematicians, statisticians and actuaries")</f>
        <v>Mathematicians, statisticians and actuaries</v>
      </c>
      <c r="S473" s="35">
        <f>IFERROR(__xludf.DUMMYFUNCTION("""COMPUTED_VALUE"""),1.0)</f>
        <v>1</v>
      </c>
      <c r="T473" s="35">
        <f>IFERROR(__xludf.DUMMYFUNCTION("""COMPUTED_VALUE"""),2.0)</f>
        <v>2</v>
      </c>
      <c r="U473" s="35">
        <f>IFERROR(__xludf.DUMMYFUNCTION("""COMPUTED_VALUE"""),1.0)</f>
        <v>1</v>
      </c>
      <c r="V473" s="35">
        <f>IFERROR(__xludf.DUMMYFUNCTION("""COMPUTED_VALUE"""),2.0)</f>
        <v>2</v>
      </c>
      <c r="W473" s="35">
        <f>IFERROR(__xludf.DUMMYFUNCTION("""COMPUTED_VALUE"""),3.0)</f>
        <v>3</v>
      </c>
      <c r="X473" s="35">
        <f>IFERROR(__xludf.DUMMYFUNCTION("""COMPUTED_VALUE"""),1.0)</f>
        <v>1</v>
      </c>
      <c r="Y473" s="35">
        <f>IFERROR(__xludf.DUMMYFUNCTION("""COMPUTED_VALUE"""),4.0)</f>
        <v>4</v>
      </c>
      <c r="Z473" s="35">
        <f>IFERROR(__xludf.DUMMYFUNCTION("""COMPUTED_VALUE"""),4.0)</f>
        <v>4</v>
      </c>
    </row>
    <row r="474" ht="15.75" customHeight="1">
      <c r="C474" s="34">
        <v>7521.0</v>
      </c>
      <c r="D474" s="70" t="s">
        <v>625</v>
      </c>
      <c r="E474" s="71" t="str">
        <f>vlookup(C474,'NOC-List'!B$2:C$502,2,False)</f>
        <v>Heavy equipment operators (except crane)</v>
      </c>
      <c r="F474" s="72">
        <v>3.0</v>
      </c>
      <c r="G474" s="72">
        <v>4.0</v>
      </c>
      <c r="H474" s="72">
        <v>4.0</v>
      </c>
      <c r="I474" s="72">
        <v>3.0</v>
      </c>
      <c r="J474" s="72">
        <v>4.0</v>
      </c>
      <c r="K474" s="72">
        <v>5.0</v>
      </c>
      <c r="L474" s="72">
        <v>3.0</v>
      </c>
      <c r="M474" s="72">
        <v>4.0</v>
      </c>
      <c r="N474" s="72">
        <v>3.0</v>
      </c>
      <c r="O474" s="73"/>
      <c r="P474" s="35">
        <f>IFERROR(__xludf.DUMMYFUNCTION("""COMPUTED_VALUE"""),422.0)</f>
        <v>422</v>
      </c>
      <c r="Q474" s="35" t="str">
        <f>IFERROR(__xludf.DUMMYFUNCTION("query(C474:N1467,""Select D,E,F,G,H,I,J,K,L,M WHERE ""&amp;P474&amp;"" =C Limit 1"")"),"Administrators of Elementary and Secondary Education")</f>
        <v>Administrators of Elementary and Secondary Education</v>
      </c>
      <c r="R474" s="35" t="str">
        <f>IFERROR(__xludf.DUMMYFUNCTION("""COMPUTED_VALUE"""),"School principals and administrators of elementary and secondary education")</f>
        <v>School principals and administrators of elementary and secondary education</v>
      </c>
      <c r="S474" s="35">
        <f>IFERROR(__xludf.DUMMYFUNCTION("""COMPUTED_VALUE"""),1.0)</f>
        <v>1</v>
      </c>
      <c r="T474" s="35">
        <f>IFERROR(__xludf.DUMMYFUNCTION("""COMPUTED_VALUE"""),2.0)</f>
        <v>2</v>
      </c>
      <c r="U474" s="35">
        <f>IFERROR(__xludf.DUMMYFUNCTION("""COMPUTED_VALUE"""),2.0)</f>
        <v>2</v>
      </c>
      <c r="V474" s="35">
        <f>IFERROR(__xludf.DUMMYFUNCTION("""COMPUTED_VALUE"""),4.0)</f>
        <v>4</v>
      </c>
      <c r="W474" s="35">
        <f>IFERROR(__xludf.DUMMYFUNCTION("""COMPUTED_VALUE"""),4.0)</f>
        <v>4</v>
      </c>
      <c r="X474" s="35">
        <f>IFERROR(__xludf.DUMMYFUNCTION("""COMPUTED_VALUE"""),3.0)</f>
        <v>3</v>
      </c>
      <c r="Y474" s="35">
        <f>IFERROR(__xludf.DUMMYFUNCTION("""COMPUTED_VALUE"""),4.0)</f>
        <v>4</v>
      </c>
      <c r="Z474" s="35">
        <f>IFERROR(__xludf.DUMMYFUNCTION("""COMPUTED_VALUE"""),4.0)</f>
        <v>4</v>
      </c>
    </row>
    <row r="475" ht="15.75" customHeight="1">
      <c r="C475" s="34">
        <v>2233.0</v>
      </c>
      <c r="D475" s="70" t="s">
        <v>626</v>
      </c>
      <c r="E475" s="71" t="str">
        <f>vlookup(C475,'NOC-List'!B$2:C$502,2,False)</f>
        <v>Industrial engineering and manufacturing technologists and technicians</v>
      </c>
      <c r="F475" s="72">
        <v>2.0</v>
      </c>
      <c r="G475" s="72">
        <v>2.0</v>
      </c>
      <c r="H475" s="72">
        <v>2.0</v>
      </c>
      <c r="I475" s="72">
        <v>2.0</v>
      </c>
      <c r="J475" s="72">
        <v>3.0</v>
      </c>
      <c r="K475" s="72">
        <v>3.0</v>
      </c>
      <c r="L475" s="72">
        <v>4.0</v>
      </c>
      <c r="M475" s="72">
        <v>4.0</v>
      </c>
      <c r="N475" s="72">
        <v>3.0</v>
      </c>
      <c r="O475" s="73"/>
      <c r="P475" s="35">
        <f>IFERROR(__xludf.DUMMYFUNCTION("""COMPUTED_VALUE"""),421.0)</f>
        <v>421</v>
      </c>
      <c r="Q475" s="35" t="str">
        <f>IFERROR(__xludf.DUMMYFUNCTION("query(C475:N1468,""Select D,E,F,G,H,I,J,K,L,M WHERE ""&amp;P475&amp;"" =C Limit 1"")"),"Administrators of Vocational Training Schools")</f>
        <v>Administrators of Vocational Training Schools</v>
      </c>
      <c r="R475" s="35" t="str">
        <f>IFERROR(__xludf.DUMMYFUNCTION("""COMPUTED_VALUE"""),"Administrators - post-secondary education and vocational training")</f>
        <v>Administrators - post-secondary education and vocational training</v>
      </c>
      <c r="S475" s="35">
        <f>IFERROR(__xludf.DUMMYFUNCTION("""COMPUTED_VALUE"""),1.0)</f>
        <v>1</v>
      </c>
      <c r="T475" s="35">
        <f>IFERROR(__xludf.DUMMYFUNCTION("""COMPUTED_VALUE"""),2.0)</f>
        <v>2</v>
      </c>
      <c r="U475" s="35">
        <f>IFERROR(__xludf.DUMMYFUNCTION("""COMPUTED_VALUE"""),2.0)</f>
        <v>2</v>
      </c>
      <c r="V475" s="35">
        <f>IFERROR(__xludf.DUMMYFUNCTION("""COMPUTED_VALUE"""),4.0)</f>
        <v>4</v>
      </c>
      <c r="W475" s="35">
        <f>IFERROR(__xludf.DUMMYFUNCTION("""COMPUTED_VALUE"""),4.0)</f>
        <v>4</v>
      </c>
      <c r="X475" s="35">
        <f>IFERROR(__xludf.DUMMYFUNCTION("""COMPUTED_VALUE"""),3.0)</f>
        <v>3</v>
      </c>
      <c r="Y475" s="35">
        <f>IFERROR(__xludf.DUMMYFUNCTION("""COMPUTED_VALUE"""),4.0)</f>
        <v>4</v>
      </c>
      <c r="Z475" s="35">
        <f>IFERROR(__xludf.DUMMYFUNCTION("""COMPUTED_VALUE"""),4.0)</f>
        <v>4</v>
      </c>
    </row>
    <row r="476" ht="15.75" customHeight="1">
      <c r="C476" s="34">
        <v>3131.0</v>
      </c>
      <c r="D476" s="70" t="s">
        <v>627</v>
      </c>
      <c r="E476" s="71" t="str">
        <f>vlookup(C476,'NOC-List'!B$2:C$502,2,False)</f>
        <v>Pharmacists</v>
      </c>
      <c r="F476" s="72">
        <v>2.0</v>
      </c>
      <c r="G476" s="72">
        <v>2.0</v>
      </c>
      <c r="H476" s="72">
        <v>2.0</v>
      </c>
      <c r="I476" s="72">
        <v>3.0</v>
      </c>
      <c r="J476" s="72">
        <v>2.0</v>
      </c>
      <c r="K476" s="72">
        <v>3.0</v>
      </c>
      <c r="L476" s="72">
        <v>3.0</v>
      </c>
      <c r="M476" s="72">
        <v>3.0</v>
      </c>
      <c r="N476" s="72">
        <v>3.0</v>
      </c>
      <c r="O476" s="73"/>
      <c r="P476" s="35">
        <f>IFERROR(__xludf.DUMMYFUNCTION("""COMPUTED_VALUE"""),4169.0)</f>
        <v>4169</v>
      </c>
      <c r="Q476" s="35" t="str">
        <f>IFERROR(__xludf.DUMMYFUNCTION("query(C476:N1469,""Select D,E,F,G,H,I,J,K,L,M WHERE ""&amp;P476&amp;"" =C Limit 1"")"),"Anthropologists")</f>
        <v>Anthropologists</v>
      </c>
      <c r="R476" s="35" t="str">
        <f>IFERROR(__xludf.DUMMYFUNCTION("""COMPUTED_VALUE"""),"Other professional occupations in social science, n.e.c.")</f>
        <v>Other professional occupations in social science, n.e.c.</v>
      </c>
      <c r="S476" s="35">
        <f>IFERROR(__xludf.DUMMYFUNCTION("""COMPUTED_VALUE"""),1.0)</f>
        <v>1</v>
      </c>
      <c r="T476" s="35">
        <f>IFERROR(__xludf.DUMMYFUNCTION("""COMPUTED_VALUE"""),2.0)</f>
        <v>2</v>
      </c>
      <c r="U476" s="35">
        <f>IFERROR(__xludf.DUMMYFUNCTION("""COMPUTED_VALUE"""),3.0)</f>
        <v>3</v>
      </c>
      <c r="V476" s="35">
        <f>IFERROR(__xludf.DUMMYFUNCTION("""COMPUTED_VALUE"""),4.0)</f>
        <v>4</v>
      </c>
      <c r="W476" s="35">
        <f>IFERROR(__xludf.DUMMYFUNCTION("""COMPUTED_VALUE"""),4.0)</f>
        <v>4</v>
      </c>
      <c r="X476" s="35">
        <f>IFERROR(__xludf.DUMMYFUNCTION("""COMPUTED_VALUE"""),4.0)</f>
        <v>4</v>
      </c>
      <c r="Y476" s="35">
        <f>IFERROR(__xludf.DUMMYFUNCTION("""COMPUTED_VALUE"""),4.0)</f>
        <v>4</v>
      </c>
      <c r="Z476" s="35">
        <f>IFERROR(__xludf.DUMMYFUNCTION("""COMPUTED_VALUE"""),4.0)</f>
        <v>4</v>
      </c>
    </row>
    <row r="477" ht="15.75" customHeight="1">
      <c r="C477" s="34">
        <v>9441.0</v>
      </c>
      <c r="D477" s="70" t="s">
        <v>628</v>
      </c>
      <c r="E477" s="71" t="str">
        <f>vlookup(C477,'NOC-List'!B$2:C$502,2,False)</f>
        <v>Textile fibre and yarn, hide and pelt processing machine operators and workers</v>
      </c>
      <c r="F477" s="72">
        <v>4.0</v>
      </c>
      <c r="G477" s="72">
        <v>4.0</v>
      </c>
      <c r="H477" s="72">
        <v>4.0</v>
      </c>
      <c r="I477" s="72">
        <v>4.0</v>
      </c>
      <c r="J477" s="72">
        <v>3.0</v>
      </c>
      <c r="K477" s="72">
        <v>4.0</v>
      </c>
      <c r="L477" s="72">
        <v>3.0</v>
      </c>
      <c r="M477" s="72">
        <v>4.0</v>
      </c>
      <c r="N477" s="72">
        <v>3.0</v>
      </c>
      <c r="O477" s="73"/>
      <c r="P477" s="35">
        <f>IFERROR(__xludf.DUMMYFUNCTION("""COMPUTED_VALUE"""),2131.0)</f>
        <v>2131</v>
      </c>
      <c r="Q477" s="35" t="str">
        <f>IFERROR(__xludf.DUMMYFUNCTION("query(C477:N1470,""Select D,E,F,G,H,I,J,K,L,M WHERE ""&amp;P477&amp;"" =C Limit 1"")"),"Civil Engineers")</f>
        <v>Civil Engineers</v>
      </c>
      <c r="R477" s="35" t="str">
        <f>IFERROR(__xludf.DUMMYFUNCTION("""COMPUTED_VALUE"""),"Civil engineers")</f>
        <v>Civil engineers</v>
      </c>
      <c r="S477" s="35">
        <f>IFERROR(__xludf.DUMMYFUNCTION("""COMPUTED_VALUE"""),1.0)</f>
        <v>1</v>
      </c>
      <c r="T477" s="35">
        <f>IFERROR(__xludf.DUMMYFUNCTION("""COMPUTED_VALUE"""),1.0)</f>
        <v>1</v>
      </c>
      <c r="U477" s="35">
        <f>IFERROR(__xludf.DUMMYFUNCTION("""COMPUTED_VALUE"""),1.0)</f>
        <v>1</v>
      </c>
      <c r="V477" s="35">
        <f>IFERROR(__xludf.DUMMYFUNCTION("""COMPUTED_VALUE"""),1.0)</f>
        <v>1</v>
      </c>
      <c r="W477" s="35">
        <f>IFERROR(__xludf.DUMMYFUNCTION("""COMPUTED_VALUE"""),2.0)</f>
        <v>2</v>
      </c>
      <c r="X477" s="35">
        <f>IFERROR(__xludf.DUMMYFUNCTION("""COMPUTED_VALUE"""),4.0)</f>
        <v>4</v>
      </c>
      <c r="Y477" s="35">
        <f>IFERROR(__xludf.DUMMYFUNCTION("""COMPUTED_VALUE"""),4.0)</f>
        <v>4</v>
      </c>
      <c r="Z477" s="35">
        <f>IFERROR(__xludf.DUMMYFUNCTION("""COMPUTED_VALUE"""),4.0)</f>
        <v>4</v>
      </c>
    </row>
    <row r="478" ht="15.75" customHeight="1">
      <c r="C478" s="34">
        <v>2262.0</v>
      </c>
      <c r="D478" s="70" t="s">
        <v>629</v>
      </c>
      <c r="E478" s="71" t="str">
        <f>vlookup(C478,'NOC-List'!B$2:C$502,2,False)</f>
        <v>Engineering inspectors and regulatory officers</v>
      </c>
      <c r="F478" s="72">
        <v>2.0</v>
      </c>
      <c r="G478" s="72">
        <v>3.0</v>
      </c>
      <c r="H478" s="72">
        <v>3.0</v>
      </c>
      <c r="I478" s="72">
        <v>3.0</v>
      </c>
      <c r="J478" s="72">
        <v>3.0</v>
      </c>
      <c r="K478" s="72">
        <v>3.0</v>
      </c>
      <c r="L478" s="72">
        <v>4.0</v>
      </c>
      <c r="M478" s="72">
        <v>4.0</v>
      </c>
      <c r="N478" s="72">
        <v>4.0</v>
      </c>
      <c r="O478" s="73"/>
      <c r="P478" s="35">
        <f>IFERROR(__xludf.DUMMYFUNCTION("""COMPUTED_VALUE"""),2174.0)</f>
        <v>2174</v>
      </c>
      <c r="Q478" s="35" t="str">
        <f>IFERROR(__xludf.DUMMYFUNCTION("query(C478:N1471,""Select D,E,F,G,H,I,J,K,L,M WHERE ""&amp;P478&amp;"" =C Limit 1"")"),"Computer Programmers")</f>
        <v>Computer Programmers</v>
      </c>
      <c r="R478" s="35" t="str">
        <f>IFERROR(__xludf.DUMMYFUNCTION("""COMPUTED_VALUE"""),"Computer programmers and interactive media developers")</f>
        <v>Computer programmers and interactive media developers</v>
      </c>
      <c r="S478" s="35">
        <f>IFERROR(__xludf.DUMMYFUNCTION("""COMPUTED_VALUE"""),1.0)</f>
        <v>1</v>
      </c>
      <c r="T478" s="35">
        <f>IFERROR(__xludf.DUMMYFUNCTION("""COMPUTED_VALUE"""),2.0)</f>
        <v>2</v>
      </c>
      <c r="U478" s="35">
        <f>IFERROR(__xludf.DUMMYFUNCTION("""COMPUTED_VALUE"""),1.0)</f>
        <v>1</v>
      </c>
      <c r="V478" s="35">
        <f>IFERROR(__xludf.DUMMYFUNCTION("""COMPUTED_VALUE"""),2.0)</f>
        <v>2</v>
      </c>
      <c r="W478" s="35">
        <f>IFERROR(__xludf.DUMMYFUNCTION("""COMPUTED_VALUE"""),3.0)</f>
        <v>3</v>
      </c>
      <c r="X478" s="35">
        <f>IFERROR(__xludf.DUMMYFUNCTION("""COMPUTED_VALUE"""),1.0)</f>
        <v>1</v>
      </c>
      <c r="Y478" s="35">
        <f>IFERROR(__xludf.DUMMYFUNCTION("""COMPUTED_VALUE"""),4.0)</f>
        <v>4</v>
      </c>
      <c r="Z478" s="35">
        <f>IFERROR(__xludf.DUMMYFUNCTION("""COMPUTED_VALUE"""),4.0)</f>
        <v>4</v>
      </c>
    </row>
    <row r="479" ht="15.75" customHeight="1">
      <c r="C479" s="34">
        <v>4215.0</v>
      </c>
      <c r="D479" s="70" t="s">
        <v>630</v>
      </c>
      <c r="E479" s="71" t="str">
        <f>vlookup(C479,'NOC-List'!B$2:C$502,2,False)</f>
        <v>Instructors of persons with disabilities</v>
      </c>
      <c r="F479" s="72">
        <v>2.0</v>
      </c>
      <c r="G479" s="72">
        <v>2.0</v>
      </c>
      <c r="H479" s="72">
        <v>3.0</v>
      </c>
      <c r="I479" s="72">
        <v>4.0</v>
      </c>
      <c r="J479" s="72">
        <v>4.0</v>
      </c>
      <c r="K479" s="72">
        <v>3.0</v>
      </c>
      <c r="L479" s="72">
        <v>3.0</v>
      </c>
      <c r="M479" s="72">
        <v>3.0</v>
      </c>
      <c r="N479" s="72">
        <v>3.0</v>
      </c>
      <c r="O479" s="73"/>
      <c r="P479" s="35">
        <f>IFERROR(__xludf.DUMMYFUNCTION("""COMPUTED_VALUE"""),2133.0)</f>
        <v>2133</v>
      </c>
      <c r="Q479" s="35" t="str">
        <f>IFERROR(__xludf.DUMMYFUNCTION("query(C479:N1472,""Select D,E,F,G,H,I,J,K,L,M WHERE ""&amp;P479&amp;"" =C Limit 1"")"),"Electrical and Electronics Engineers")</f>
        <v>Electrical and Electronics Engineers</v>
      </c>
      <c r="R479" s="35" t="str">
        <f>IFERROR(__xludf.DUMMYFUNCTION("""COMPUTED_VALUE"""),"Electrical and electronics engineers")</f>
        <v>Electrical and electronics engineers</v>
      </c>
      <c r="S479" s="35">
        <f>IFERROR(__xludf.DUMMYFUNCTION("""COMPUTED_VALUE"""),1.0)</f>
        <v>1</v>
      </c>
      <c r="T479" s="35">
        <f>IFERROR(__xludf.DUMMYFUNCTION("""COMPUTED_VALUE"""),2.0)</f>
        <v>2</v>
      </c>
      <c r="U479" s="35">
        <f>IFERROR(__xludf.DUMMYFUNCTION("""COMPUTED_VALUE"""),1.0)</f>
        <v>1</v>
      </c>
      <c r="V479" s="35">
        <f>IFERROR(__xludf.DUMMYFUNCTION("""COMPUTED_VALUE"""),2.0)</f>
        <v>2</v>
      </c>
      <c r="W479" s="35">
        <f>IFERROR(__xludf.DUMMYFUNCTION("""COMPUTED_VALUE"""),2.0)</f>
        <v>2</v>
      </c>
      <c r="X479" s="35">
        <f>IFERROR(__xludf.DUMMYFUNCTION("""COMPUTED_VALUE"""),4.0)</f>
        <v>4</v>
      </c>
      <c r="Y479" s="35">
        <f>IFERROR(__xludf.DUMMYFUNCTION("""COMPUTED_VALUE"""),4.0)</f>
        <v>4</v>
      </c>
      <c r="Z479" s="35">
        <f>IFERROR(__xludf.DUMMYFUNCTION("""COMPUTED_VALUE"""),4.0)</f>
        <v>4</v>
      </c>
    </row>
    <row r="480" ht="15.75" customHeight="1">
      <c r="C480" s="34">
        <v>2225.0</v>
      </c>
      <c r="D480" s="70" t="s">
        <v>631</v>
      </c>
      <c r="E480" s="71" t="str">
        <f>vlookup(C480,'NOC-List'!B$2:C$502,2,False)</f>
        <v>Landscape and horticulture technicians and specialists</v>
      </c>
      <c r="F480" s="72">
        <v>3.0</v>
      </c>
      <c r="G480" s="72">
        <v>3.0</v>
      </c>
      <c r="H480" s="72">
        <v>3.0</v>
      </c>
      <c r="I480" s="72">
        <v>3.0</v>
      </c>
      <c r="J480" s="72">
        <v>3.0</v>
      </c>
      <c r="K480" s="72">
        <v>4.0</v>
      </c>
      <c r="L480" s="72">
        <v>3.0</v>
      </c>
      <c r="M480" s="72">
        <v>4.0</v>
      </c>
      <c r="N480" s="72">
        <v>3.0</v>
      </c>
      <c r="O480" s="73"/>
      <c r="P480" s="35">
        <f>IFERROR(__xludf.DUMMYFUNCTION("""COMPUTED_VALUE"""),412.0)</f>
        <v>412</v>
      </c>
      <c r="Q480" s="35" t="str">
        <f>IFERROR(__xludf.DUMMYFUNCTION("query(C480:N1473,""Select D,E,F,G,H,I,J,K,L,M WHERE ""&amp;P480&amp;"" =C Limit 1"")"),"Government Managers - Economic Analysis, Policy Development and Program Administration")</f>
        <v>Government Managers - Economic Analysis, Policy Development and Program Administration</v>
      </c>
      <c r="R480" s="35" t="str">
        <f>IFERROR(__xludf.DUMMYFUNCTION("""COMPUTED_VALUE"""),"Government managers - economic analysis, policy development and program administration")</f>
        <v>Government managers - economic analysis, policy development and program administration</v>
      </c>
      <c r="S480" s="35">
        <f>IFERROR(__xludf.DUMMYFUNCTION("""COMPUTED_VALUE"""),2.0)</f>
        <v>2</v>
      </c>
      <c r="T480" s="35">
        <f>IFERROR(__xludf.DUMMYFUNCTION("""COMPUTED_VALUE"""),2.0)</f>
        <v>2</v>
      </c>
      <c r="U480" s="35">
        <f>IFERROR(__xludf.DUMMYFUNCTION("""COMPUTED_VALUE"""),1.0)</f>
        <v>1</v>
      </c>
      <c r="V480" s="35">
        <f>IFERROR(__xludf.DUMMYFUNCTION("""COMPUTED_VALUE"""),4.0)</f>
        <v>4</v>
      </c>
      <c r="W480" s="35">
        <f>IFERROR(__xludf.DUMMYFUNCTION("""COMPUTED_VALUE"""),4.0)</f>
        <v>4</v>
      </c>
      <c r="X480" s="35">
        <f>IFERROR(__xludf.DUMMYFUNCTION("""COMPUTED_VALUE"""),3.0)</f>
        <v>3</v>
      </c>
      <c r="Y480" s="35">
        <f>IFERROR(__xludf.DUMMYFUNCTION("""COMPUTED_VALUE"""),4.0)</f>
        <v>4</v>
      </c>
      <c r="Z480" s="35">
        <f>IFERROR(__xludf.DUMMYFUNCTION("""COMPUTED_VALUE"""),4.0)</f>
        <v>4</v>
      </c>
    </row>
    <row r="481" ht="15.75" customHeight="1">
      <c r="C481" s="81">
        <v>8255.0</v>
      </c>
      <c r="D481" s="70" t="s">
        <v>632</v>
      </c>
      <c r="E481" s="71" t="str">
        <f>vlookup(C481,'NOC-List'!B$2:C$502,2,False)</f>
        <v>Contractors and supervisors, landscaping, grounds maintenance and horticulture services</v>
      </c>
      <c r="F481" s="72">
        <v>2.0</v>
      </c>
      <c r="G481" s="72">
        <v>3.0</v>
      </c>
      <c r="H481" s="72">
        <v>3.0</v>
      </c>
      <c r="I481" s="72">
        <v>2.0</v>
      </c>
      <c r="J481" s="72">
        <v>3.0</v>
      </c>
      <c r="K481" s="72">
        <v>4.0</v>
      </c>
      <c r="L481" s="72">
        <v>4.0</v>
      </c>
      <c r="M481" s="72">
        <v>4.0</v>
      </c>
      <c r="N481" s="72">
        <v>4.0</v>
      </c>
      <c r="O481" s="73"/>
      <c r="P481" s="35">
        <f>IFERROR(__xludf.DUMMYFUNCTION("""COMPUTED_VALUE"""),413.0)</f>
        <v>413</v>
      </c>
      <c r="Q481" s="35" t="str">
        <f>IFERROR(__xludf.DUMMYFUNCTION("query(C481:N1474,""Select D,E,F,G,H,I,J,K,L,M WHERE ""&amp;P481&amp;"" =C Limit 1"")"),"Government Managers - Education Policy Development and Program Administration")</f>
        <v>Government Managers - Education Policy Development and Program Administration</v>
      </c>
      <c r="R481" s="35" t="str">
        <f>IFERROR(__xludf.DUMMYFUNCTION("""COMPUTED_VALUE"""),"Government managers - education policy development and program administration")</f>
        <v>Government managers - education policy development and program administration</v>
      </c>
      <c r="S481" s="35">
        <f>IFERROR(__xludf.DUMMYFUNCTION("""COMPUTED_VALUE"""),2.0)</f>
        <v>2</v>
      </c>
      <c r="T481" s="35">
        <f>IFERROR(__xludf.DUMMYFUNCTION("""COMPUTED_VALUE"""),1.0)</f>
        <v>1</v>
      </c>
      <c r="U481" s="35">
        <f>IFERROR(__xludf.DUMMYFUNCTION("""COMPUTED_VALUE"""),2.0)</f>
        <v>2</v>
      </c>
      <c r="V481" s="35">
        <f>IFERROR(__xludf.DUMMYFUNCTION("""COMPUTED_VALUE"""),4.0)</f>
        <v>4</v>
      </c>
      <c r="W481" s="35">
        <f>IFERROR(__xludf.DUMMYFUNCTION("""COMPUTED_VALUE"""),4.0)</f>
        <v>4</v>
      </c>
      <c r="X481" s="35">
        <f>IFERROR(__xludf.DUMMYFUNCTION("""COMPUTED_VALUE"""),3.0)</f>
        <v>3</v>
      </c>
      <c r="Y481" s="35">
        <f>IFERROR(__xludf.DUMMYFUNCTION("""COMPUTED_VALUE"""),4.0)</f>
        <v>4</v>
      </c>
      <c r="Z481" s="35">
        <f>IFERROR(__xludf.DUMMYFUNCTION("""COMPUTED_VALUE"""),4.0)</f>
        <v>4</v>
      </c>
    </row>
    <row r="482" ht="15.75" customHeight="1">
      <c r="C482" s="34">
        <v>4412.0</v>
      </c>
      <c r="D482" s="70" t="s">
        <v>633</v>
      </c>
      <c r="E482" s="71" t="str">
        <f>vlookup(C482,'NOC-List'!B$2:C$502,2,False)</f>
        <v>Home support workers, housekeepers and related occupations</v>
      </c>
      <c r="F482" s="72">
        <v>3.0</v>
      </c>
      <c r="G482" s="72">
        <v>4.0</v>
      </c>
      <c r="H482" s="72">
        <v>4.0</v>
      </c>
      <c r="I482" s="72">
        <v>4.0</v>
      </c>
      <c r="J482" s="72">
        <v>4.0</v>
      </c>
      <c r="K482" s="72">
        <v>4.0</v>
      </c>
      <c r="L482" s="72">
        <v>3.0</v>
      </c>
      <c r="M482" s="72">
        <v>4.0</v>
      </c>
      <c r="N482" s="72">
        <v>3.0</v>
      </c>
      <c r="O482" s="73"/>
      <c r="P482" s="35">
        <f>IFERROR(__xludf.DUMMYFUNCTION("""COMPUTED_VALUE"""),411.0)</f>
        <v>411</v>
      </c>
      <c r="Q482" s="35" t="str">
        <f>IFERROR(__xludf.DUMMYFUNCTION("query(C482:N1475,""Select D,E,F,G,H,I,J,K,L,M WHERE ""&amp;P482&amp;"" =C Limit 1"")"),"Government Managers - Health and Social Policy Development and Program Administration")</f>
        <v>Government Managers - Health and Social Policy Development and Program Administration</v>
      </c>
      <c r="R482" s="35" t="str">
        <f>IFERROR(__xludf.DUMMYFUNCTION("""COMPUTED_VALUE"""),"Government managers - health and social policy development and program administration")</f>
        <v>Government managers - health and social policy development and program administration</v>
      </c>
      <c r="S482" s="35">
        <f>IFERROR(__xludf.DUMMYFUNCTION("""COMPUTED_VALUE"""),2.0)</f>
        <v>2</v>
      </c>
      <c r="T482" s="35">
        <f>IFERROR(__xludf.DUMMYFUNCTION("""COMPUTED_VALUE"""),1.0)</f>
        <v>1</v>
      </c>
      <c r="U482" s="35">
        <f>IFERROR(__xludf.DUMMYFUNCTION("""COMPUTED_VALUE"""),2.0)</f>
        <v>2</v>
      </c>
      <c r="V482" s="35">
        <f>IFERROR(__xludf.DUMMYFUNCTION("""COMPUTED_VALUE"""),4.0)</f>
        <v>4</v>
      </c>
      <c r="W482" s="35">
        <f>IFERROR(__xludf.DUMMYFUNCTION("""COMPUTED_VALUE"""),4.0)</f>
        <v>4</v>
      </c>
      <c r="X482" s="35">
        <f>IFERROR(__xludf.DUMMYFUNCTION("""COMPUTED_VALUE"""),3.0)</f>
        <v>3</v>
      </c>
      <c r="Y482" s="35">
        <f>IFERROR(__xludf.DUMMYFUNCTION("""COMPUTED_VALUE"""),4.0)</f>
        <v>4</v>
      </c>
      <c r="Z482" s="35">
        <f>IFERROR(__xludf.DUMMYFUNCTION("""COMPUTED_VALUE"""),4.0)</f>
        <v>4</v>
      </c>
    </row>
    <row r="483" ht="15.75" customHeight="1">
      <c r="C483" s="81">
        <v>1242.0</v>
      </c>
      <c r="D483" s="70" t="s">
        <v>634</v>
      </c>
      <c r="E483" s="71" t="str">
        <f>vlookup(C483,'NOC-List'!B$2:C$502,2,False)</f>
        <v>Legal administrative assistants</v>
      </c>
      <c r="F483" s="72">
        <v>3.0</v>
      </c>
      <c r="G483" s="72">
        <v>3.0</v>
      </c>
      <c r="H483" s="72">
        <v>3.0</v>
      </c>
      <c r="I483" s="72">
        <v>4.0</v>
      </c>
      <c r="J483" s="72">
        <v>3.0</v>
      </c>
      <c r="K483" s="72">
        <v>2.0</v>
      </c>
      <c r="L483" s="72">
        <v>3.0</v>
      </c>
      <c r="M483" s="72">
        <v>3.0</v>
      </c>
      <c r="N483" s="72">
        <v>3.0</v>
      </c>
      <c r="O483" s="73"/>
      <c r="P483" s="35">
        <f>IFERROR(__xludf.DUMMYFUNCTION("""COMPUTED_VALUE"""),2141.0)</f>
        <v>2141</v>
      </c>
      <c r="Q483" s="35" t="str">
        <f>IFERROR(__xludf.DUMMYFUNCTION("query(C483:N1476,""Select D,E,F,G,H,I,J,K,L,M WHERE ""&amp;P483&amp;"" =C Limit 1"")"),"Industrial and Manufacturing Engineers")</f>
        <v>Industrial and Manufacturing Engineers</v>
      </c>
      <c r="R483" s="35" t="str">
        <f>IFERROR(__xludf.DUMMYFUNCTION("""COMPUTED_VALUE"""),"Industrial and manufacturing engineers")</f>
        <v>Industrial and manufacturing engineers</v>
      </c>
      <c r="S483" s="35">
        <f>IFERROR(__xludf.DUMMYFUNCTION("""COMPUTED_VALUE"""),1.0)</f>
        <v>1</v>
      </c>
      <c r="T483" s="35">
        <f>IFERROR(__xludf.DUMMYFUNCTION("""COMPUTED_VALUE"""),2.0)</f>
        <v>2</v>
      </c>
      <c r="U483" s="35">
        <f>IFERROR(__xludf.DUMMYFUNCTION("""COMPUTED_VALUE"""),1.0)</f>
        <v>1</v>
      </c>
      <c r="V483" s="35">
        <f>IFERROR(__xludf.DUMMYFUNCTION("""COMPUTED_VALUE"""),2.0)</f>
        <v>2</v>
      </c>
      <c r="W483" s="35">
        <f>IFERROR(__xludf.DUMMYFUNCTION("""COMPUTED_VALUE"""),2.0)</f>
        <v>2</v>
      </c>
      <c r="X483" s="35">
        <f>IFERROR(__xludf.DUMMYFUNCTION("""COMPUTED_VALUE"""),4.0)</f>
        <v>4</v>
      </c>
      <c r="Y483" s="35">
        <f>IFERROR(__xludf.DUMMYFUNCTION("""COMPUTED_VALUE"""),4.0)</f>
        <v>4</v>
      </c>
      <c r="Z483" s="35">
        <f>IFERROR(__xludf.DUMMYFUNCTION("""COMPUTED_VALUE"""),4.0)</f>
        <v>4</v>
      </c>
    </row>
    <row r="484" ht="15.75" customHeight="1">
      <c r="C484" s="34">
        <v>9415.0</v>
      </c>
      <c r="D484" s="70" t="s">
        <v>635</v>
      </c>
      <c r="E484" s="71" t="str">
        <f>vlookup(C484,'NOC-List'!B$2:C$502,2,False)</f>
        <v>Inspectors and testers, mineral and metal processing</v>
      </c>
      <c r="F484" s="72">
        <v>3.0</v>
      </c>
      <c r="G484" s="72">
        <v>4.0</v>
      </c>
      <c r="H484" s="72">
        <v>4.0</v>
      </c>
      <c r="I484" s="72">
        <v>4.0</v>
      </c>
      <c r="J484" s="72">
        <v>3.0</v>
      </c>
      <c r="K484" s="72">
        <v>4.0</v>
      </c>
      <c r="L484" s="72">
        <v>4.0</v>
      </c>
      <c r="M484" s="72">
        <v>4.0</v>
      </c>
      <c r="N484" s="72">
        <v>3.0</v>
      </c>
      <c r="O484" s="73"/>
      <c r="P484" s="35">
        <f>IFERROR(__xludf.DUMMYFUNCTION("""COMPUTED_VALUE"""),4112.0)</f>
        <v>4112</v>
      </c>
      <c r="Q484" s="35" t="str">
        <f>IFERROR(__xludf.DUMMYFUNCTION("query(C484:N1477,""Select D,E,F,G,H,I,J,K,L,M WHERE ""&amp;P484&amp;"" =C Limit 1"")"),"Lawyers and Quebec Notaries")</f>
        <v>Lawyers and Quebec Notaries</v>
      </c>
      <c r="R484" s="35" t="str">
        <f>IFERROR(__xludf.DUMMYFUNCTION("""COMPUTED_VALUE"""),"Lawyers and Quebec notaries")</f>
        <v>Lawyers and Quebec notaries</v>
      </c>
      <c r="S484" s="35">
        <f>IFERROR(__xludf.DUMMYFUNCTION("""COMPUTED_VALUE"""),1.0)</f>
        <v>1</v>
      </c>
      <c r="T484" s="35">
        <f>IFERROR(__xludf.DUMMYFUNCTION("""COMPUTED_VALUE"""),1.0)</f>
        <v>1</v>
      </c>
      <c r="U484" s="35">
        <f>IFERROR(__xludf.DUMMYFUNCTION("""COMPUTED_VALUE"""),3.0)</f>
        <v>3</v>
      </c>
      <c r="V484" s="35">
        <f>IFERROR(__xludf.DUMMYFUNCTION("""COMPUTED_VALUE"""),4.0)</f>
        <v>4</v>
      </c>
      <c r="W484" s="35">
        <f>IFERROR(__xludf.DUMMYFUNCTION("""COMPUTED_VALUE"""),4.0)</f>
        <v>4</v>
      </c>
      <c r="X484" s="35">
        <f>IFERROR(__xludf.DUMMYFUNCTION("""COMPUTED_VALUE"""),3.0)</f>
        <v>3</v>
      </c>
      <c r="Y484" s="35">
        <f>IFERROR(__xludf.DUMMYFUNCTION("""COMPUTED_VALUE"""),4.0)</f>
        <v>4</v>
      </c>
      <c r="Z484" s="35">
        <f>IFERROR(__xludf.DUMMYFUNCTION("""COMPUTED_VALUE"""),4.0)</f>
        <v>4</v>
      </c>
    </row>
    <row r="485" ht="15.75" customHeight="1">
      <c r="C485" s="81">
        <v>1451.0</v>
      </c>
      <c r="D485" s="70" t="s">
        <v>636</v>
      </c>
      <c r="E485" s="71" t="str">
        <f>vlookup(C485,'NOC-List'!B$2:C$502,2,False)</f>
        <v>Library assistants and clerks</v>
      </c>
      <c r="F485" s="72">
        <v>3.0</v>
      </c>
      <c r="G485" s="72">
        <v>3.0</v>
      </c>
      <c r="H485" s="72">
        <v>4.0</v>
      </c>
      <c r="I485" s="72">
        <v>4.0</v>
      </c>
      <c r="J485" s="72">
        <v>3.0</v>
      </c>
      <c r="K485" s="72">
        <v>3.0</v>
      </c>
      <c r="L485" s="72">
        <v>3.0</v>
      </c>
      <c r="M485" s="72">
        <v>4.0</v>
      </c>
      <c r="N485" s="72">
        <v>4.0</v>
      </c>
      <c r="O485" s="73"/>
      <c r="P485" s="35">
        <f>IFERROR(__xludf.DUMMYFUNCTION("""COMPUTED_VALUE"""),511.0)</f>
        <v>511</v>
      </c>
      <c r="Q485" s="35" t="str">
        <f>IFERROR(__xludf.DUMMYFUNCTION("query(C485:N1478,""Select D,E,F,G,H,I,J,K,L,M WHERE ""&amp;P485&amp;"" =C Limit 1"")"),"Library, Archive, Museum and Art Gallery Managers")</f>
        <v>Library, Archive, Museum and Art Gallery Managers</v>
      </c>
      <c r="R485" s="35" t="str">
        <f>IFERROR(__xludf.DUMMYFUNCTION("""COMPUTED_VALUE"""),"Library, archive, museum and art gallery managers")</f>
        <v>Library, archive, museum and art gallery managers</v>
      </c>
      <c r="S485" s="35">
        <f>IFERROR(__xludf.DUMMYFUNCTION("""COMPUTED_VALUE"""),2.0)</f>
        <v>2</v>
      </c>
      <c r="T485" s="35">
        <f>IFERROR(__xludf.DUMMYFUNCTION("""COMPUTED_VALUE"""),1.0)</f>
        <v>1</v>
      </c>
      <c r="U485" s="35">
        <f>IFERROR(__xludf.DUMMYFUNCTION("""COMPUTED_VALUE"""),2.0)</f>
        <v>2</v>
      </c>
      <c r="V485" s="35">
        <f>IFERROR(__xludf.DUMMYFUNCTION("""COMPUTED_VALUE"""),4.0)</f>
        <v>4</v>
      </c>
      <c r="W485" s="35">
        <f>IFERROR(__xludf.DUMMYFUNCTION("""COMPUTED_VALUE"""),4.0)</f>
        <v>4</v>
      </c>
      <c r="X485" s="35">
        <f>IFERROR(__xludf.DUMMYFUNCTION("""COMPUTED_VALUE"""),3.0)</f>
        <v>3</v>
      </c>
      <c r="Y485" s="35">
        <f>IFERROR(__xludf.DUMMYFUNCTION("""COMPUTED_VALUE"""),4.0)</f>
        <v>4</v>
      </c>
      <c r="Z485" s="35">
        <f>IFERROR(__xludf.DUMMYFUNCTION("""COMPUTED_VALUE"""),4.0)</f>
        <v>4</v>
      </c>
    </row>
    <row r="486" ht="15.75" customHeight="1">
      <c r="C486" s="34">
        <v>7533.0</v>
      </c>
      <c r="D486" s="70" t="s">
        <v>637</v>
      </c>
      <c r="E486" s="71" t="str">
        <f>vlookup(C486,'NOC-List'!B$2:C$502,2,False)</f>
        <v>Boat and cable ferry operators and related occupations</v>
      </c>
      <c r="F486" s="72">
        <v>3.0</v>
      </c>
      <c r="G486" s="72">
        <v>3.0</v>
      </c>
      <c r="H486" s="72">
        <v>4.0</v>
      </c>
      <c r="I486" s="72">
        <v>3.0</v>
      </c>
      <c r="J486" s="72">
        <v>3.0</v>
      </c>
      <c r="K486" s="72">
        <v>4.0</v>
      </c>
      <c r="L486" s="72">
        <v>4.0</v>
      </c>
      <c r="M486" s="72">
        <v>4.0</v>
      </c>
      <c r="N486" s="72">
        <v>3.0</v>
      </c>
      <c r="O486" s="73"/>
      <c r="P486" s="35">
        <f>IFERROR(__xludf.DUMMYFUNCTION("""COMPUTED_VALUE"""),423.0)</f>
        <v>423</v>
      </c>
      <c r="Q486" s="35" t="str">
        <f>IFERROR(__xludf.DUMMYFUNCTION("query(C486:N1479,""Select D,E,F,G,H,I,J,K,L,M WHERE ""&amp;P486&amp;"" =C Limit 1"")"),"Managers in Social, Community and Correctional Services")</f>
        <v>Managers in Social, Community and Correctional Services</v>
      </c>
      <c r="R486" s="35" t="str">
        <f>IFERROR(__xludf.DUMMYFUNCTION("""COMPUTED_VALUE"""),"Managers in social, community and correctional services")</f>
        <v>Managers in social, community and correctional services</v>
      </c>
      <c r="S486" s="35">
        <f>IFERROR(__xludf.DUMMYFUNCTION("""COMPUTED_VALUE"""),2.0)</f>
        <v>2</v>
      </c>
      <c r="T486" s="35">
        <f>IFERROR(__xludf.DUMMYFUNCTION("""COMPUTED_VALUE"""),1.0)</f>
        <v>1</v>
      </c>
      <c r="U486" s="35">
        <f>IFERROR(__xludf.DUMMYFUNCTION("""COMPUTED_VALUE"""),2.0)</f>
        <v>2</v>
      </c>
      <c r="V486" s="35">
        <f>IFERROR(__xludf.DUMMYFUNCTION("""COMPUTED_VALUE"""),4.0)</f>
        <v>4</v>
      </c>
      <c r="W486" s="35">
        <f>IFERROR(__xludf.DUMMYFUNCTION("""COMPUTED_VALUE"""),4.0)</f>
        <v>4</v>
      </c>
      <c r="X486" s="35">
        <f>IFERROR(__xludf.DUMMYFUNCTION("""COMPUTED_VALUE"""),3.0)</f>
        <v>3</v>
      </c>
      <c r="Y486" s="35">
        <f>IFERROR(__xludf.DUMMYFUNCTION("""COMPUTED_VALUE"""),4.0)</f>
        <v>4</v>
      </c>
      <c r="Z486" s="35">
        <f>IFERROR(__xludf.DUMMYFUNCTION("""COMPUTED_VALUE"""),4.0)</f>
        <v>4</v>
      </c>
    </row>
    <row r="487" ht="15.75" customHeight="1">
      <c r="C487" s="34">
        <v>9445.0</v>
      </c>
      <c r="D487" s="70" t="s">
        <v>638</v>
      </c>
      <c r="E487" s="71" t="str">
        <f>vlookup(C487,'NOC-List'!B$2:C$502,2,False)</f>
        <v>Fabric, fur and leather cutters</v>
      </c>
      <c r="F487" s="72">
        <v>3.0</v>
      </c>
      <c r="G487" s="72">
        <v>4.0</v>
      </c>
      <c r="H487" s="72">
        <v>4.0</v>
      </c>
      <c r="I487" s="72">
        <v>4.0</v>
      </c>
      <c r="J487" s="72">
        <v>4.0</v>
      </c>
      <c r="K487" s="72">
        <v>4.0</v>
      </c>
      <c r="L487" s="72">
        <v>3.0</v>
      </c>
      <c r="M487" s="72">
        <v>4.0</v>
      </c>
      <c r="N487" s="72">
        <v>3.0</v>
      </c>
      <c r="O487" s="73"/>
      <c r="P487" s="35">
        <f>IFERROR(__xludf.DUMMYFUNCTION("""COMPUTED_VALUE"""),7622.0)</f>
        <v>7622</v>
      </c>
      <c r="Q487" s="35" t="str">
        <f>IFERROR(__xludf.DUMMYFUNCTION("query(C487:N1480,""Select D,E,F,G,H,I,J,K,L,M WHERE ""&amp;P487&amp;"" =C Limit 1"")"),"Motor Transport Labourers")</f>
        <v>Motor Transport Labourers</v>
      </c>
      <c r="R487" s="35" t="str">
        <f>IFERROR(__xludf.DUMMYFUNCTION("""COMPUTED_VALUE"""),"Railway and motor transport labourers")</f>
        <v>Railway and motor transport labourers</v>
      </c>
      <c r="S487" s="35">
        <f>IFERROR(__xludf.DUMMYFUNCTION("""COMPUTED_VALUE"""),4.0)</f>
        <v>4</v>
      </c>
      <c r="T487" s="35">
        <f>IFERROR(__xludf.DUMMYFUNCTION("""COMPUTED_VALUE"""),4.0)</f>
        <v>4</v>
      </c>
      <c r="U487" s="35">
        <f>IFERROR(__xludf.DUMMYFUNCTION("""COMPUTED_VALUE"""),5.0)</f>
        <v>5</v>
      </c>
      <c r="V487" s="35">
        <f>IFERROR(__xludf.DUMMYFUNCTION("""COMPUTED_VALUE"""),4.0)</f>
        <v>4</v>
      </c>
      <c r="W487" s="35">
        <f>IFERROR(__xludf.DUMMYFUNCTION("""COMPUTED_VALUE"""),4.0)</f>
        <v>4</v>
      </c>
      <c r="X487" s="35">
        <f>IFERROR(__xludf.DUMMYFUNCTION("""COMPUTED_VALUE"""),5.0)</f>
        <v>5</v>
      </c>
      <c r="Y487" s="35">
        <f>IFERROR(__xludf.DUMMYFUNCTION("""COMPUTED_VALUE"""),4.0)</f>
        <v>4</v>
      </c>
      <c r="Z487" s="35">
        <f>IFERROR(__xludf.DUMMYFUNCTION("""COMPUTED_VALUE"""),4.0)</f>
        <v>4</v>
      </c>
    </row>
    <row r="488" ht="15.75" customHeight="1">
      <c r="C488" s="34">
        <v>1512.0</v>
      </c>
      <c r="D488" s="70" t="s">
        <v>639</v>
      </c>
      <c r="E488" s="71" t="str">
        <f>vlookup(C488,'NOC-List'!B$2:C$502,2,False)</f>
        <v>Letter carriers</v>
      </c>
      <c r="F488" s="72">
        <v>4.0</v>
      </c>
      <c r="G488" s="72">
        <v>4.0</v>
      </c>
      <c r="H488" s="72">
        <v>4.0</v>
      </c>
      <c r="I488" s="72">
        <v>4.0</v>
      </c>
      <c r="J488" s="72">
        <v>4.0</v>
      </c>
      <c r="K488" s="72">
        <v>3.0</v>
      </c>
      <c r="L488" s="72">
        <v>3.0</v>
      </c>
      <c r="M488" s="72">
        <v>4.0</v>
      </c>
      <c r="N488" s="72">
        <v>3.0</v>
      </c>
      <c r="O488" s="73"/>
      <c r="P488" s="35">
        <f>IFERROR(__xludf.DUMMYFUNCTION("""COMPUTED_VALUE"""),4151.0)</f>
        <v>4151</v>
      </c>
      <c r="Q488" s="35" t="str">
        <f>IFERROR(__xludf.DUMMYFUNCTION("query(C488:N1481,""Select D,E,F,G,H,I,J,K,L,M WHERE ""&amp;P488&amp;"" =C Limit 1"")"),"Psychologists")</f>
        <v>Psychologists</v>
      </c>
      <c r="R488" s="35" t="str">
        <f>IFERROR(__xludf.DUMMYFUNCTION("""COMPUTED_VALUE"""),"Psychologists")</f>
        <v>Psychologists</v>
      </c>
      <c r="S488" s="35">
        <f>IFERROR(__xludf.DUMMYFUNCTION("""COMPUTED_VALUE"""),1.0)</f>
        <v>1</v>
      </c>
      <c r="T488" s="35">
        <f>IFERROR(__xludf.DUMMYFUNCTION("""COMPUTED_VALUE"""),1.0)</f>
        <v>1</v>
      </c>
      <c r="U488" s="35">
        <f>IFERROR(__xludf.DUMMYFUNCTION("""COMPUTED_VALUE"""),2.0)</f>
        <v>2</v>
      </c>
      <c r="V488" s="35">
        <f>IFERROR(__xludf.DUMMYFUNCTION("""COMPUTED_VALUE"""),3.0)</f>
        <v>3</v>
      </c>
      <c r="W488" s="35">
        <f>IFERROR(__xludf.DUMMYFUNCTION("""COMPUTED_VALUE"""),4.0)</f>
        <v>4</v>
      </c>
      <c r="X488" s="35">
        <f>IFERROR(__xludf.DUMMYFUNCTION("""COMPUTED_VALUE"""),3.0)</f>
        <v>3</v>
      </c>
      <c r="Y488" s="35">
        <f>IFERROR(__xludf.DUMMYFUNCTION("""COMPUTED_VALUE"""),4.0)</f>
        <v>4</v>
      </c>
      <c r="Z488" s="35">
        <f>IFERROR(__xludf.DUMMYFUNCTION("""COMPUTED_VALUE"""),4.0)</f>
        <v>4</v>
      </c>
    </row>
    <row r="489" ht="15.75" customHeight="1">
      <c r="C489" s="34">
        <v>9411.0</v>
      </c>
      <c r="D489" s="70" t="s">
        <v>640</v>
      </c>
      <c r="E489" s="71" t="str">
        <f>vlookup(C489,'NOC-List'!B$2:C$502,2,False)</f>
        <v>Machine operators, mineral and metal processing</v>
      </c>
      <c r="F489" s="72">
        <v>3.0</v>
      </c>
      <c r="G489" s="72">
        <v>4.0</v>
      </c>
      <c r="H489" s="72">
        <v>4.0</v>
      </c>
      <c r="I489" s="72">
        <v>4.0</v>
      </c>
      <c r="J489" s="72">
        <v>4.0</v>
      </c>
      <c r="K489" s="72">
        <v>4.0</v>
      </c>
      <c r="L489" s="72">
        <v>3.0</v>
      </c>
      <c r="M489" s="72">
        <v>4.0</v>
      </c>
      <c r="N489" s="72">
        <v>3.0</v>
      </c>
      <c r="O489" s="73"/>
      <c r="P489" s="35">
        <f>IFERROR(__xludf.DUMMYFUNCTION("""COMPUTED_VALUE"""),7621.0)</f>
        <v>7621</v>
      </c>
      <c r="Q489" s="35" t="str">
        <f>IFERROR(__xludf.DUMMYFUNCTION("query(C489:N1482,""Select D,E,F,G,H,I,J,K,L,M WHERE ""&amp;P489&amp;"" =C Limit 1"")"),"Public Works and Maintenance Labourers")</f>
        <v>Public Works and Maintenance Labourers</v>
      </c>
      <c r="R489" s="35" t="str">
        <f>IFERROR(__xludf.DUMMYFUNCTION("""COMPUTED_VALUE"""),"Public works and maintenance labourers")</f>
        <v>Public works and maintenance labourers</v>
      </c>
      <c r="S489" s="35">
        <f>IFERROR(__xludf.DUMMYFUNCTION("""COMPUTED_VALUE"""),4.0)</f>
        <v>4</v>
      </c>
      <c r="T489" s="35">
        <f>IFERROR(__xludf.DUMMYFUNCTION("""COMPUTED_VALUE"""),4.0)</f>
        <v>4</v>
      </c>
      <c r="U489" s="35">
        <f>IFERROR(__xludf.DUMMYFUNCTION("""COMPUTED_VALUE"""),5.0)</f>
        <v>5</v>
      </c>
      <c r="V489" s="35">
        <f>IFERROR(__xludf.DUMMYFUNCTION("""COMPUTED_VALUE"""),4.0)</f>
        <v>4</v>
      </c>
      <c r="W489" s="35">
        <f>IFERROR(__xludf.DUMMYFUNCTION("""COMPUTED_VALUE"""),4.0)</f>
        <v>4</v>
      </c>
      <c r="X489" s="35">
        <f>IFERROR(__xludf.DUMMYFUNCTION("""COMPUTED_VALUE"""),5.0)</f>
        <v>5</v>
      </c>
      <c r="Y489" s="35">
        <f>IFERROR(__xludf.DUMMYFUNCTION("""COMPUTED_VALUE"""),4.0)</f>
        <v>4</v>
      </c>
      <c r="Z489" s="35">
        <f>IFERROR(__xludf.DUMMYFUNCTION("""COMPUTED_VALUE"""),4.0)</f>
        <v>4</v>
      </c>
    </row>
    <row r="490" ht="15.75" customHeight="1">
      <c r="C490" s="34">
        <v>6561.0</v>
      </c>
      <c r="D490" s="70" t="s">
        <v>641</v>
      </c>
      <c r="E490" s="71" t="str">
        <f>vlookup(C490,'NOC-List'!B$2:C$502,2,False)</f>
        <v>Image, social and other personal consultants</v>
      </c>
      <c r="F490" s="72">
        <v>3.0</v>
      </c>
      <c r="G490" s="72">
        <v>3.0</v>
      </c>
      <c r="H490" s="72">
        <v>4.0</v>
      </c>
      <c r="I490" s="72">
        <v>4.0</v>
      </c>
      <c r="J490" s="72">
        <v>3.0</v>
      </c>
      <c r="K490" s="72">
        <v>3.0</v>
      </c>
      <c r="L490" s="72">
        <v>4.0</v>
      </c>
      <c r="M490" s="72">
        <v>3.0</v>
      </c>
      <c r="N490" s="72">
        <v>4.0</v>
      </c>
      <c r="O490" s="73"/>
      <c r="P490" s="35">
        <f>IFERROR(__xludf.DUMMYFUNCTION("""COMPUTED_VALUE"""),15.0)</f>
        <v>15</v>
      </c>
      <c r="Q490" s="35" t="str">
        <f>IFERROR(__xludf.DUMMYFUNCTION("query(C490:N1483,""Select D,E,F,G,H,I,J,K,L,M WHERE ""&amp;P490&amp;"" =C Limit 1"")"),"Senior Managers - Trade, Broadcasting and Other Services, n.e.c.")</f>
        <v>Senior Managers - Trade, Broadcasting and Other Services, n.e.c.</v>
      </c>
      <c r="R490" s="35" t="str">
        <f>IFERROR(__xludf.DUMMYFUNCTION("""COMPUTED_VALUE"""),"Senior managers - trade, broadcasting and other services, n.e.c.")</f>
        <v>Senior managers - trade, broadcasting and other services, n.e.c.</v>
      </c>
      <c r="S490" s="35">
        <f>IFERROR(__xludf.DUMMYFUNCTION("""COMPUTED_VALUE"""),1.0)</f>
        <v>1</v>
      </c>
      <c r="T490" s="35">
        <f>IFERROR(__xludf.DUMMYFUNCTION("""COMPUTED_VALUE"""),2.0)</f>
        <v>2</v>
      </c>
      <c r="U490" s="35">
        <f>IFERROR(__xludf.DUMMYFUNCTION("""COMPUTED_VALUE"""),2.0)</f>
        <v>2</v>
      </c>
      <c r="V490" s="35">
        <f>IFERROR(__xludf.DUMMYFUNCTION("""COMPUTED_VALUE"""),4.0)</f>
        <v>4</v>
      </c>
      <c r="W490" s="35">
        <f>IFERROR(__xludf.DUMMYFUNCTION("""COMPUTED_VALUE"""),4.0)</f>
        <v>4</v>
      </c>
      <c r="X490" s="35">
        <f>IFERROR(__xludf.DUMMYFUNCTION("""COMPUTED_VALUE"""),3.0)</f>
        <v>3</v>
      </c>
      <c r="Y490" s="35">
        <f>IFERROR(__xludf.DUMMYFUNCTION("""COMPUTED_VALUE"""),4.0)</f>
        <v>4</v>
      </c>
      <c r="Z490" s="35">
        <f>IFERROR(__xludf.DUMMYFUNCTION("""COMPUTED_VALUE"""),4.0)</f>
        <v>4</v>
      </c>
    </row>
    <row r="491" ht="15.75" customHeight="1">
      <c r="C491" s="34">
        <v>1511.0</v>
      </c>
      <c r="D491" s="70" t="s">
        <v>642</v>
      </c>
      <c r="E491" s="71" t="str">
        <f>vlookup(C491,'NOC-List'!B$2:C$502,2,False)</f>
        <v>Mail, postal and related workers</v>
      </c>
      <c r="F491" s="72">
        <v>3.0</v>
      </c>
      <c r="G491" s="72">
        <v>4.0</v>
      </c>
      <c r="H491" s="72">
        <v>4.0</v>
      </c>
      <c r="I491" s="72">
        <v>4.0</v>
      </c>
      <c r="J491" s="72">
        <v>4.0</v>
      </c>
      <c r="K491" s="72">
        <v>3.0</v>
      </c>
      <c r="L491" s="72">
        <v>4.0</v>
      </c>
      <c r="M491" s="72">
        <v>3.0</v>
      </c>
      <c r="N491" s="72">
        <v>4.0</v>
      </c>
      <c r="O491" s="73"/>
      <c r="P491" s="35">
        <f>IFERROR(__xludf.DUMMYFUNCTION("""COMPUTED_VALUE"""),1212.0)</f>
        <v>1212</v>
      </c>
      <c r="Q491" s="35" t="str">
        <f>IFERROR(__xludf.DUMMYFUNCTION("query(C491:N1484,""Select D,E,F,G,H,I,J,K,L,M WHERE ""&amp;P491&amp;"" =C Limit 1"")"),"Supervisors, Finance and Insurance Clerks")</f>
        <v>Supervisors, Finance and Insurance Clerks</v>
      </c>
      <c r="R491" s="35" t="str">
        <f>IFERROR(__xludf.DUMMYFUNCTION("""COMPUTED_VALUE"""),"Supervisors, finance and insurance office workers")</f>
        <v>Supervisors, finance and insurance office workers</v>
      </c>
      <c r="S491" s="35">
        <f>IFERROR(__xludf.DUMMYFUNCTION("""COMPUTED_VALUE"""),3.0)</f>
        <v>3</v>
      </c>
      <c r="T491" s="35">
        <f>IFERROR(__xludf.DUMMYFUNCTION("""COMPUTED_VALUE"""),3.0)</f>
        <v>3</v>
      </c>
      <c r="U491" s="35">
        <f>IFERROR(__xludf.DUMMYFUNCTION("""COMPUTED_VALUE"""),2.0)</f>
        <v>2</v>
      </c>
      <c r="V491" s="35">
        <f>IFERROR(__xludf.DUMMYFUNCTION("""COMPUTED_VALUE"""),4.0)</f>
        <v>4</v>
      </c>
      <c r="W491" s="35">
        <f>IFERROR(__xludf.DUMMYFUNCTION("""COMPUTED_VALUE"""),4.0)</f>
        <v>4</v>
      </c>
      <c r="X491" s="35">
        <f>IFERROR(__xludf.DUMMYFUNCTION("""COMPUTED_VALUE"""),2.0)</f>
        <v>2</v>
      </c>
      <c r="Y491" s="35">
        <f>IFERROR(__xludf.DUMMYFUNCTION("""COMPUTED_VALUE"""),4.0)</f>
        <v>4</v>
      </c>
      <c r="Z491" s="35">
        <f>IFERROR(__xludf.DUMMYFUNCTION("""COMPUTED_VALUE"""),4.0)</f>
        <v>4</v>
      </c>
    </row>
    <row r="492" ht="15.75" customHeight="1">
      <c r="C492" s="34">
        <v>3236.0</v>
      </c>
      <c r="D492" s="70" t="s">
        <v>643</v>
      </c>
      <c r="E492" s="71" t="str">
        <f>vlookup(C492,'NOC-List'!B$2:C$502,2,False)</f>
        <v>Massage therapists</v>
      </c>
      <c r="F492" s="72">
        <v>3.0</v>
      </c>
      <c r="G492" s="72">
        <v>3.0</v>
      </c>
      <c r="H492" s="72">
        <v>4.0</v>
      </c>
      <c r="I492" s="72">
        <v>4.0</v>
      </c>
      <c r="J492" s="72">
        <v>4.0</v>
      </c>
      <c r="K492" s="72">
        <v>4.0</v>
      </c>
      <c r="L492" s="72">
        <v>3.0</v>
      </c>
      <c r="M492" s="72">
        <v>3.0</v>
      </c>
      <c r="N492" s="72">
        <v>3.0</v>
      </c>
      <c r="O492" s="73"/>
      <c r="P492" s="35">
        <f>IFERROR(__xludf.DUMMYFUNCTION("""COMPUTED_VALUE"""),1111.0)</f>
        <v>1111</v>
      </c>
      <c r="Q492" s="35" t="str">
        <f>IFERROR(__xludf.DUMMYFUNCTION("query(C492:N1485,""Select D,E,F,G,H,I,J,K,L,M WHERE ""&amp;P492&amp;"" =C Limit 1"")"),"Accountants")</f>
        <v>Accountants</v>
      </c>
      <c r="R492" s="35" t="str">
        <f>IFERROR(__xludf.DUMMYFUNCTION("""COMPUTED_VALUE"""),"Financial auditors and accountants")</f>
        <v>Financial auditors and accountants</v>
      </c>
      <c r="S492" s="35">
        <f>IFERROR(__xludf.DUMMYFUNCTION("""COMPUTED_VALUE"""),2.0)</f>
        <v>2</v>
      </c>
      <c r="T492" s="35">
        <f>IFERROR(__xludf.DUMMYFUNCTION("""COMPUTED_VALUE"""),2.0)</f>
        <v>2</v>
      </c>
      <c r="U492" s="35">
        <f>IFERROR(__xludf.DUMMYFUNCTION("""COMPUTED_VALUE"""),1.0)</f>
        <v>1</v>
      </c>
      <c r="V492" s="35">
        <f>IFERROR(__xludf.DUMMYFUNCTION("""COMPUTED_VALUE"""),4.0)</f>
        <v>4</v>
      </c>
      <c r="W492" s="35">
        <f>IFERROR(__xludf.DUMMYFUNCTION("""COMPUTED_VALUE"""),4.0)</f>
        <v>4</v>
      </c>
      <c r="X492" s="35">
        <f>IFERROR(__xludf.DUMMYFUNCTION("""COMPUTED_VALUE"""),2.0)</f>
        <v>2</v>
      </c>
      <c r="Y492" s="35">
        <f>IFERROR(__xludf.DUMMYFUNCTION("""COMPUTED_VALUE"""),4.0)</f>
        <v>4</v>
      </c>
      <c r="Z492" s="35">
        <f>IFERROR(__xludf.DUMMYFUNCTION("""COMPUTED_VALUE"""),4.0)</f>
        <v>4</v>
      </c>
    </row>
    <row r="493" ht="15.75" customHeight="1">
      <c r="C493" s="34">
        <v>1511.0</v>
      </c>
      <c r="D493" s="70" t="s">
        <v>644</v>
      </c>
      <c r="E493" s="71" t="str">
        <f>vlookup(C493,'NOC-List'!B$2:C$502,2,False)</f>
        <v>Mail, postal and related workers</v>
      </c>
      <c r="F493" s="72">
        <v>3.0</v>
      </c>
      <c r="G493" s="72">
        <v>4.0</v>
      </c>
      <c r="H493" s="72">
        <v>4.0</v>
      </c>
      <c r="I493" s="72">
        <v>4.0</v>
      </c>
      <c r="J493" s="72">
        <v>4.0</v>
      </c>
      <c r="K493" s="72">
        <v>3.0</v>
      </c>
      <c r="L493" s="72">
        <v>4.0</v>
      </c>
      <c r="M493" s="72">
        <v>3.0</v>
      </c>
      <c r="N493" s="72">
        <v>4.0</v>
      </c>
      <c r="O493" s="73"/>
      <c r="P493" s="35">
        <f>IFERROR(__xludf.DUMMYFUNCTION("""COMPUTED_VALUE"""),2146.0)</f>
        <v>2146</v>
      </c>
      <c r="Q493" s="35" t="str">
        <f>IFERROR(__xludf.DUMMYFUNCTION("query(C493:N1486,""Select D,E,F,G,H,I,J,K,L,M WHERE ""&amp;P493&amp;"" =C Limit 1"")"),"Aerospace Engineers")</f>
        <v>Aerospace Engineers</v>
      </c>
      <c r="R493" s="35" t="str">
        <f>IFERROR(__xludf.DUMMYFUNCTION("""COMPUTED_VALUE"""),"Aerospace engineers")</f>
        <v>Aerospace engineers</v>
      </c>
      <c r="S493" s="35">
        <f>IFERROR(__xludf.DUMMYFUNCTION("""COMPUTED_VALUE"""),1.0)</f>
        <v>1</v>
      </c>
      <c r="T493" s="35">
        <f>IFERROR(__xludf.DUMMYFUNCTION("""COMPUTED_VALUE"""),1.0)</f>
        <v>1</v>
      </c>
      <c r="U493" s="35">
        <f>IFERROR(__xludf.DUMMYFUNCTION("""COMPUTED_VALUE"""),1.0)</f>
        <v>1</v>
      </c>
      <c r="V493" s="35">
        <f>IFERROR(__xludf.DUMMYFUNCTION("""COMPUTED_VALUE"""),2.0)</f>
        <v>2</v>
      </c>
      <c r="W493" s="35">
        <f>IFERROR(__xludf.DUMMYFUNCTION("""COMPUTED_VALUE"""),2.0)</f>
        <v>2</v>
      </c>
      <c r="X493" s="35">
        <f>IFERROR(__xludf.DUMMYFUNCTION("""COMPUTED_VALUE"""),4.0)</f>
        <v>4</v>
      </c>
      <c r="Y493" s="35">
        <f>IFERROR(__xludf.DUMMYFUNCTION("""COMPUTED_VALUE"""),4.0)</f>
        <v>4</v>
      </c>
      <c r="Z493" s="35">
        <f>IFERROR(__xludf.DUMMYFUNCTION("""COMPUTED_VALUE"""),4.0)</f>
        <v>4</v>
      </c>
    </row>
    <row r="494" ht="15.75" customHeight="1">
      <c r="C494" s="81">
        <v>1243.0</v>
      </c>
      <c r="D494" s="70" t="s">
        <v>645</v>
      </c>
      <c r="E494" s="71" t="str">
        <f>vlookup(C494,'NOC-List'!B$2:C$502,2,False)</f>
        <v>Medical administrative assistants</v>
      </c>
      <c r="F494" s="72">
        <v>3.0</v>
      </c>
      <c r="G494" s="72">
        <v>3.0</v>
      </c>
      <c r="H494" s="72">
        <v>4.0</v>
      </c>
      <c r="I494" s="72">
        <v>4.0</v>
      </c>
      <c r="J494" s="72">
        <v>4.0</v>
      </c>
      <c r="K494" s="72">
        <v>3.0</v>
      </c>
      <c r="L494" s="72">
        <v>3.0</v>
      </c>
      <c r="M494" s="72">
        <v>3.0</v>
      </c>
      <c r="N494" s="72">
        <v>4.0</v>
      </c>
      <c r="O494" s="73"/>
      <c r="P494" s="35">
        <f>IFERROR(__xludf.DUMMYFUNCTION("""COMPUTED_VALUE"""),122.0)</f>
        <v>122</v>
      </c>
      <c r="Q494" s="35" t="str">
        <f>IFERROR(__xludf.DUMMYFUNCTION("query(C494:N1487,""Select D,E,F,G,H,I,J,K,L,M WHERE ""&amp;P494&amp;"" =C Limit 1"")"),"Banking and Other Investment Managers")</f>
        <v>Banking and Other Investment Managers</v>
      </c>
      <c r="R494" s="35" t="str">
        <f>IFERROR(__xludf.DUMMYFUNCTION("""COMPUTED_VALUE"""),"Banking, credit and other investment managers")</f>
        <v>Banking, credit and other investment managers</v>
      </c>
      <c r="S494" s="35">
        <f>IFERROR(__xludf.DUMMYFUNCTION("""COMPUTED_VALUE"""),1.0)</f>
        <v>1</v>
      </c>
      <c r="T494" s="35">
        <f>IFERROR(__xludf.DUMMYFUNCTION("""COMPUTED_VALUE"""),2.0)</f>
        <v>2</v>
      </c>
      <c r="U494" s="35">
        <f>IFERROR(__xludf.DUMMYFUNCTION("""COMPUTED_VALUE"""),1.0)</f>
        <v>1</v>
      </c>
      <c r="V494" s="35">
        <f>IFERROR(__xludf.DUMMYFUNCTION("""COMPUTED_VALUE"""),4.0)</f>
        <v>4</v>
      </c>
      <c r="W494" s="35">
        <f>IFERROR(__xludf.DUMMYFUNCTION("""COMPUTED_VALUE"""),4.0)</f>
        <v>4</v>
      </c>
      <c r="X494" s="35">
        <f>IFERROR(__xludf.DUMMYFUNCTION("""COMPUTED_VALUE"""),3.0)</f>
        <v>3</v>
      </c>
      <c r="Y494" s="35">
        <f>IFERROR(__xludf.DUMMYFUNCTION("""COMPUTED_VALUE"""),4.0)</f>
        <v>4</v>
      </c>
      <c r="Z494" s="35">
        <f>IFERROR(__xludf.DUMMYFUNCTION("""COMPUTED_VALUE"""),4.0)</f>
        <v>4</v>
      </c>
    </row>
    <row r="495" ht="15.75" customHeight="1">
      <c r="C495" s="34">
        <v>3211.0</v>
      </c>
      <c r="D495" s="70" t="s">
        <v>646</v>
      </c>
      <c r="E495" s="71" t="str">
        <f>vlookup(C495,'NOC-List'!B$2:C$502,2,False)</f>
        <v>Medical laboratory technologists</v>
      </c>
      <c r="F495" s="72">
        <v>2.0</v>
      </c>
      <c r="G495" s="72">
        <v>2.0</v>
      </c>
      <c r="H495" s="72">
        <v>2.0</v>
      </c>
      <c r="I495" s="72">
        <v>3.0</v>
      </c>
      <c r="J495" s="72">
        <v>2.0</v>
      </c>
      <c r="K495" s="72">
        <v>3.0</v>
      </c>
      <c r="L495" s="72">
        <v>3.0</v>
      </c>
      <c r="M495" s="72">
        <v>3.0</v>
      </c>
      <c r="N495" s="72">
        <v>3.0</v>
      </c>
      <c r="O495" s="73"/>
      <c r="P495" s="35">
        <f>IFERROR(__xludf.DUMMYFUNCTION("""COMPUTED_VALUE"""),4162.0)</f>
        <v>4162</v>
      </c>
      <c r="Q495" s="35" t="str">
        <f>IFERROR(__xludf.DUMMYFUNCTION("query(C495:N1488,""Select D,E,F,G,H,I,J,K,L,M WHERE ""&amp;P495&amp;"" =C Limit 1"")"),"Economists and Economic Policy Researchers and Analysts")</f>
        <v>Economists and Economic Policy Researchers and Analysts</v>
      </c>
      <c r="R495" s="35" t="str">
        <f>IFERROR(__xludf.DUMMYFUNCTION("""COMPUTED_VALUE"""),"Economists and economic policy researchers and analysts")</f>
        <v>Economists and economic policy researchers and analysts</v>
      </c>
      <c r="S495" s="35">
        <f>IFERROR(__xludf.DUMMYFUNCTION("""COMPUTED_VALUE"""),1.0)</f>
        <v>1</v>
      </c>
      <c r="T495" s="35">
        <f>IFERROR(__xludf.DUMMYFUNCTION("""COMPUTED_VALUE"""),2.0)</f>
        <v>2</v>
      </c>
      <c r="U495" s="35">
        <f>IFERROR(__xludf.DUMMYFUNCTION("""COMPUTED_VALUE"""),1.0)</f>
        <v>1</v>
      </c>
      <c r="V495" s="35">
        <f>IFERROR(__xludf.DUMMYFUNCTION("""COMPUTED_VALUE"""),4.0)</f>
        <v>4</v>
      </c>
      <c r="W495" s="35">
        <f>IFERROR(__xludf.DUMMYFUNCTION("""COMPUTED_VALUE"""),4.0)</f>
        <v>4</v>
      </c>
      <c r="X495" s="35">
        <f>IFERROR(__xludf.DUMMYFUNCTION("""COMPUTED_VALUE"""),3.0)</f>
        <v>3</v>
      </c>
      <c r="Y495" s="35">
        <f>IFERROR(__xludf.DUMMYFUNCTION("""COMPUTED_VALUE"""),4.0)</f>
        <v>4</v>
      </c>
      <c r="Z495" s="35">
        <f>IFERROR(__xludf.DUMMYFUNCTION("""COMPUTED_VALUE"""),4.0)</f>
        <v>4</v>
      </c>
    </row>
    <row r="496" ht="15.75" customHeight="1">
      <c r="C496" s="34">
        <v>1243.0</v>
      </c>
      <c r="D496" s="70" t="s">
        <v>647</v>
      </c>
      <c r="E496" s="71" t="str">
        <f>vlookup(C496,'NOC-List'!B$2:C$502,2,False)</f>
        <v>Medical administrative assistants</v>
      </c>
      <c r="F496" s="72">
        <v>3.0</v>
      </c>
      <c r="G496" s="72">
        <v>3.0</v>
      </c>
      <c r="H496" s="72">
        <v>3.0</v>
      </c>
      <c r="I496" s="72">
        <v>4.0</v>
      </c>
      <c r="J496" s="72">
        <v>3.0</v>
      </c>
      <c r="K496" s="72">
        <v>2.0</v>
      </c>
      <c r="L496" s="72">
        <v>3.0</v>
      </c>
      <c r="M496" s="72">
        <v>3.0</v>
      </c>
      <c r="N496" s="72">
        <v>3.0</v>
      </c>
      <c r="O496" s="73"/>
      <c r="P496" s="35">
        <f>IFERROR(__xludf.DUMMYFUNCTION("""COMPUTED_VALUE"""),1254.0)</f>
        <v>1254</v>
      </c>
      <c r="Q496" s="35" t="str">
        <f>IFERROR(__xludf.DUMMYFUNCTION("query(C496:N1489,""Select D,E,F,G,H,I,J,K,L,M WHERE ""&amp;P496&amp;"" =C Limit 1"")"),"Financial Analysts")</f>
        <v>Financial Analysts</v>
      </c>
      <c r="R496" s="35" t="str">
        <f>IFERROR(__xludf.DUMMYFUNCTION("""COMPUTED_VALUE"""),"Statistical officers and related research support occupations")</f>
        <v>Statistical officers and related research support occupations</v>
      </c>
      <c r="S496" s="35">
        <f>IFERROR(__xludf.DUMMYFUNCTION("""COMPUTED_VALUE"""),2.0)</f>
        <v>2</v>
      </c>
      <c r="T496" s="35">
        <f>IFERROR(__xludf.DUMMYFUNCTION("""COMPUTED_VALUE"""),2.0)</f>
        <v>2</v>
      </c>
      <c r="U496" s="35">
        <f>IFERROR(__xludf.DUMMYFUNCTION("""COMPUTED_VALUE"""),1.0)</f>
        <v>1</v>
      </c>
      <c r="V496" s="35">
        <f>IFERROR(__xludf.DUMMYFUNCTION("""COMPUTED_VALUE"""),4.0)</f>
        <v>4</v>
      </c>
      <c r="W496" s="35">
        <f>IFERROR(__xludf.DUMMYFUNCTION("""COMPUTED_VALUE"""),4.0)</f>
        <v>4</v>
      </c>
      <c r="X496" s="35">
        <f>IFERROR(__xludf.DUMMYFUNCTION("""COMPUTED_VALUE"""),2.0)</f>
        <v>2</v>
      </c>
      <c r="Y496" s="35">
        <f>IFERROR(__xludf.DUMMYFUNCTION("""COMPUTED_VALUE"""),4.0)</f>
        <v>4</v>
      </c>
      <c r="Z496" s="35">
        <f>IFERROR(__xludf.DUMMYFUNCTION("""COMPUTED_VALUE"""),4.0)</f>
        <v>4</v>
      </c>
    </row>
    <row r="497" ht="15.75" customHeight="1">
      <c r="C497" s="34">
        <v>9412.0</v>
      </c>
      <c r="D497" s="70" t="s">
        <v>648</v>
      </c>
      <c r="E497" s="71" t="str">
        <f>vlookup(C497,'NOC-List'!B$2:C$502,2,False)</f>
        <v>Foundry workers</v>
      </c>
      <c r="F497" s="72">
        <v>4.0</v>
      </c>
      <c r="G497" s="72">
        <v>4.0</v>
      </c>
      <c r="H497" s="72">
        <v>4.0</v>
      </c>
      <c r="I497" s="72">
        <v>4.0</v>
      </c>
      <c r="J497" s="72">
        <v>3.0</v>
      </c>
      <c r="K497" s="72">
        <v>4.0</v>
      </c>
      <c r="L497" s="72">
        <v>3.0</v>
      </c>
      <c r="M497" s="72">
        <v>4.0</v>
      </c>
      <c r="N497" s="72">
        <v>3.0</v>
      </c>
      <c r="O497" s="73"/>
      <c r="P497" s="35">
        <f>IFERROR(__xludf.DUMMYFUNCTION("""COMPUTED_VALUE"""),111.0)</f>
        <v>111</v>
      </c>
      <c r="Q497" s="35" t="str">
        <f>IFERROR(__xludf.DUMMYFUNCTION("query(C497:N1490,""Select D,E,F,G,H,I,J,K,L,M WHERE ""&amp;P497&amp;"" =C Limit 1"")"),"Financial Managers")</f>
        <v>Financial Managers</v>
      </c>
      <c r="R497" s="35" t="str">
        <f>IFERROR(__xludf.DUMMYFUNCTION("""COMPUTED_VALUE"""),"Financial managers")</f>
        <v>Financial managers</v>
      </c>
      <c r="S497" s="35">
        <f>IFERROR(__xludf.DUMMYFUNCTION("""COMPUTED_VALUE"""),1.0)</f>
        <v>1</v>
      </c>
      <c r="T497" s="35">
        <f>IFERROR(__xludf.DUMMYFUNCTION("""COMPUTED_VALUE"""),2.0)</f>
        <v>2</v>
      </c>
      <c r="U497" s="35">
        <f>IFERROR(__xludf.DUMMYFUNCTION("""COMPUTED_VALUE"""),1.0)</f>
        <v>1</v>
      </c>
      <c r="V497" s="35">
        <f>IFERROR(__xludf.DUMMYFUNCTION("""COMPUTED_VALUE"""),4.0)</f>
        <v>4</v>
      </c>
      <c r="W497" s="35">
        <f>IFERROR(__xludf.DUMMYFUNCTION("""COMPUTED_VALUE"""),4.0)</f>
        <v>4</v>
      </c>
      <c r="X497" s="35">
        <f>IFERROR(__xludf.DUMMYFUNCTION("""COMPUTED_VALUE"""),3.0)</f>
        <v>3</v>
      </c>
      <c r="Y497" s="35">
        <f>IFERROR(__xludf.DUMMYFUNCTION("""COMPUTED_VALUE"""),4.0)</f>
        <v>4</v>
      </c>
      <c r="Z497" s="35">
        <f>IFERROR(__xludf.DUMMYFUNCTION("""COMPUTED_VALUE"""),4.0)</f>
        <v>4</v>
      </c>
    </row>
    <row r="498" ht="15.75" customHeight="1">
      <c r="C498" s="34">
        <v>2262.0</v>
      </c>
      <c r="D498" s="70" t="s">
        <v>649</v>
      </c>
      <c r="E498" s="71" t="str">
        <f>vlookup(C498,'NOC-List'!B$2:C$502,2,False)</f>
        <v>Engineering inspectors and regulatory officers</v>
      </c>
      <c r="F498" s="72">
        <v>2.0</v>
      </c>
      <c r="G498" s="72">
        <v>3.0</v>
      </c>
      <c r="H498" s="72">
        <v>3.0</v>
      </c>
      <c r="I498" s="72">
        <v>3.0</v>
      </c>
      <c r="J498" s="72">
        <v>3.0</v>
      </c>
      <c r="K498" s="72">
        <v>3.0</v>
      </c>
      <c r="L498" s="72">
        <v>4.0</v>
      </c>
      <c r="M498" s="72">
        <v>4.0</v>
      </c>
      <c r="N498" s="72">
        <v>4.0</v>
      </c>
      <c r="O498" s="73"/>
      <c r="P498" s="35">
        <f>IFERROR(__xludf.DUMMYFUNCTION("""COMPUTED_VALUE"""),112.0)</f>
        <v>112</v>
      </c>
      <c r="Q498" s="35" t="str">
        <f>IFERROR(__xludf.DUMMYFUNCTION("query(C498:N1491,""Select D,E,F,G,H,I,J,K,L,M WHERE ""&amp;P498&amp;"" =C Limit 1"")"),"Human Resources Managers")</f>
        <v>Human Resources Managers</v>
      </c>
      <c r="R498" s="35" t="str">
        <f>IFERROR(__xludf.DUMMYFUNCTION("""COMPUTED_VALUE"""),"Human resources managers")</f>
        <v>Human resources managers</v>
      </c>
      <c r="S498" s="35">
        <f>IFERROR(__xludf.DUMMYFUNCTION("""COMPUTED_VALUE"""),1.0)</f>
        <v>1</v>
      </c>
      <c r="T498" s="35">
        <f>IFERROR(__xludf.DUMMYFUNCTION("""COMPUTED_VALUE"""),1.0)</f>
        <v>1</v>
      </c>
      <c r="U498" s="35">
        <f>IFERROR(__xludf.DUMMYFUNCTION("""COMPUTED_VALUE"""),2.0)</f>
        <v>2</v>
      </c>
      <c r="V498" s="35">
        <f>IFERROR(__xludf.DUMMYFUNCTION("""COMPUTED_VALUE"""),4.0)</f>
        <v>4</v>
      </c>
      <c r="W498" s="35">
        <f>IFERROR(__xludf.DUMMYFUNCTION("""COMPUTED_VALUE"""),4.0)</f>
        <v>4</v>
      </c>
      <c r="X498" s="35">
        <f>IFERROR(__xludf.DUMMYFUNCTION("""COMPUTED_VALUE"""),3.0)</f>
        <v>3</v>
      </c>
      <c r="Y498" s="35">
        <f>IFERROR(__xludf.DUMMYFUNCTION("""COMPUTED_VALUE"""),4.0)</f>
        <v>4</v>
      </c>
      <c r="Z498" s="35">
        <f>IFERROR(__xludf.DUMMYFUNCTION("""COMPUTED_VALUE"""),4.0)</f>
        <v>4</v>
      </c>
    </row>
    <row r="499" ht="15.75" customHeight="1">
      <c r="C499" s="81">
        <v>2261.0</v>
      </c>
      <c r="D499" s="70" t="s">
        <v>650</v>
      </c>
      <c r="E499" s="71" t="str">
        <f>vlookup(C499,'NOC-List'!B$2:C$502,2,False)</f>
        <v>Non-destructive testers and inspection technicians</v>
      </c>
      <c r="F499" s="72">
        <v>3.0</v>
      </c>
      <c r="G499" s="72">
        <v>3.0</v>
      </c>
      <c r="H499" s="72">
        <v>3.0</v>
      </c>
      <c r="I499" s="72">
        <v>3.0</v>
      </c>
      <c r="J499" s="72">
        <v>3.0</v>
      </c>
      <c r="K499" s="72">
        <v>4.0</v>
      </c>
      <c r="L499" s="72">
        <v>3.0</v>
      </c>
      <c r="M499" s="72">
        <v>4.0</v>
      </c>
      <c r="N499" s="72">
        <v>3.0</v>
      </c>
      <c r="O499" s="73"/>
      <c r="P499" s="35">
        <f>IFERROR(__xludf.DUMMYFUNCTION("""COMPUTED_VALUE"""),1112.0)</f>
        <v>1112</v>
      </c>
      <c r="Q499" s="35" t="str">
        <f>IFERROR(__xludf.DUMMYFUNCTION("query(C499:N1492,""Select D,E,F,G,H,I,J,K,L,M WHERE ""&amp;P499&amp;"" =C Limit 1"")"),"Investment Analysts")</f>
        <v>Investment Analysts</v>
      </c>
      <c r="R499" s="35" t="str">
        <f>IFERROR(__xludf.DUMMYFUNCTION("""COMPUTED_VALUE"""),"Financial and investment analysts")</f>
        <v>Financial and investment analysts</v>
      </c>
      <c r="S499" s="35">
        <f>IFERROR(__xludf.DUMMYFUNCTION("""COMPUTED_VALUE"""),2.0)</f>
        <v>2</v>
      </c>
      <c r="T499" s="35">
        <f>IFERROR(__xludf.DUMMYFUNCTION("""COMPUTED_VALUE"""),2.0)</f>
        <v>2</v>
      </c>
      <c r="U499" s="35">
        <f>IFERROR(__xludf.DUMMYFUNCTION("""COMPUTED_VALUE"""),1.0)</f>
        <v>1</v>
      </c>
      <c r="V499" s="35">
        <f>IFERROR(__xludf.DUMMYFUNCTION("""COMPUTED_VALUE"""),4.0)</f>
        <v>4</v>
      </c>
      <c r="W499" s="35">
        <f>IFERROR(__xludf.DUMMYFUNCTION("""COMPUTED_VALUE"""),4.0)</f>
        <v>4</v>
      </c>
      <c r="X499" s="35">
        <f>IFERROR(__xludf.DUMMYFUNCTION("""COMPUTED_VALUE"""),2.0)</f>
        <v>2</v>
      </c>
      <c r="Y499" s="35">
        <f>IFERROR(__xludf.DUMMYFUNCTION("""COMPUTED_VALUE"""),4.0)</f>
        <v>4</v>
      </c>
      <c r="Z499" s="35">
        <f>IFERROR(__xludf.DUMMYFUNCTION("""COMPUTED_VALUE"""),4.0)</f>
        <v>4</v>
      </c>
    </row>
    <row r="500" ht="15.75" customHeight="1">
      <c r="C500" s="34">
        <v>3215.0</v>
      </c>
      <c r="D500" s="70" t="s">
        <v>651</v>
      </c>
      <c r="E500" s="71" t="str">
        <f>vlookup(C500,'NOC-List'!B$2:C$502,2,False)</f>
        <v>Medical radiation technologists</v>
      </c>
      <c r="F500" s="72">
        <v>2.0</v>
      </c>
      <c r="G500" s="72">
        <v>2.0</v>
      </c>
      <c r="H500" s="72">
        <v>3.0</v>
      </c>
      <c r="I500" s="72">
        <v>3.0</v>
      </c>
      <c r="J500" s="72">
        <v>2.0</v>
      </c>
      <c r="K500" s="72">
        <v>4.0</v>
      </c>
      <c r="L500" s="72">
        <v>3.0</v>
      </c>
      <c r="M500" s="72">
        <v>3.0</v>
      </c>
      <c r="N500" s="72">
        <v>3.0</v>
      </c>
      <c r="O500" s="73"/>
      <c r="P500" s="35">
        <f>IFERROR(__xludf.DUMMYFUNCTION("""COMPUTED_VALUE"""),4111.0)</f>
        <v>4111</v>
      </c>
      <c r="Q500" s="35" t="str">
        <f>IFERROR(__xludf.DUMMYFUNCTION("query(C500:N1493,""Select D,E,F,G,H,I,J,K,L,M WHERE ""&amp;P500&amp;"" =C Limit 1"")"),"Judges")</f>
        <v>Judges</v>
      </c>
      <c r="R500" s="35" t="str">
        <f>IFERROR(__xludf.DUMMYFUNCTION("""COMPUTED_VALUE"""),"Judges")</f>
        <v>Judges</v>
      </c>
      <c r="S500" s="35">
        <f>IFERROR(__xludf.DUMMYFUNCTION("""COMPUTED_VALUE"""),1.0)</f>
        <v>1</v>
      </c>
      <c r="T500" s="35">
        <f>IFERROR(__xludf.DUMMYFUNCTION("""COMPUTED_VALUE"""),1.0)</f>
        <v>1</v>
      </c>
      <c r="U500" s="35">
        <f>IFERROR(__xludf.DUMMYFUNCTION("""COMPUTED_VALUE"""),3.0)</f>
        <v>3</v>
      </c>
      <c r="V500" s="35">
        <f>IFERROR(__xludf.DUMMYFUNCTION("""COMPUTED_VALUE"""),4.0)</f>
        <v>4</v>
      </c>
      <c r="W500" s="35">
        <f>IFERROR(__xludf.DUMMYFUNCTION("""COMPUTED_VALUE"""),4.0)</f>
        <v>4</v>
      </c>
      <c r="X500" s="35">
        <f>IFERROR(__xludf.DUMMYFUNCTION("""COMPUTED_VALUE"""),4.0)</f>
        <v>4</v>
      </c>
      <c r="Y500" s="35">
        <f>IFERROR(__xludf.DUMMYFUNCTION("""COMPUTED_VALUE"""),4.0)</f>
        <v>4</v>
      </c>
      <c r="Z500" s="35">
        <f>IFERROR(__xludf.DUMMYFUNCTION("""COMPUTED_VALUE"""),4.0)</f>
        <v>4</v>
      </c>
    </row>
    <row r="501" ht="15.75" customHeight="1">
      <c r="C501" s="34">
        <v>9526.0</v>
      </c>
      <c r="D501" s="70" t="s">
        <v>652</v>
      </c>
      <c r="E501" s="71" t="str">
        <f>vlookup(C501,'NOC-List'!B$2:C$502,2,False)</f>
        <v>Mechanical assemblers and inspectors</v>
      </c>
      <c r="F501" s="72">
        <v>4.0</v>
      </c>
      <c r="G501" s="72">
        <v>4.0</v>
      </c>
      <c r="H501" s="72">
        <v>4.0</v>
      </c>
      <c r="I501" s="72">
        <v>4.0</v>
      </c>
      <c r="J501" s="72">
        <v>3.0</v>
      </c>
      <c r="K501" s="72">
        <v>4.0</v>
      </c>
      <c r="L501" s="72">
        <v>3.0</v>
      </c>
      <c r="M501" s="72">
        <v>4.0</v>
      </c>
      <c r="N501" s="72">
        <v>3.0</v>
      </c>
      <c r="O501" s="73"/>
      <c r="P501" s="35">
        <f>IFERROR(__xludf.DUMMYFUNCTION("""COMPUTED_VALUE"""),311.0)</f>
        <v>311</v>
      </c>
      <c r="Q501" s="35" t="str">
        <f>IFERROR(__xludf.DUMMYFUNCTION("query(C501:N1494,""Select D,E,F,G,H,I,J,K,L,M WHERE ""&amp;P501&amp;"" =C Limit 1"")"),"Managers in Health Care")</f>
        <v>Managers in Health Care</v>
      </c>
      <c r="R501" s="35" t="str">
        <f>IFERROR(__xludf.DUMMYFUNCTION("""COMPUTED_VALUE"""),"Managers in health care")</f>
        <v>Managers in health care</v>
      </c>
      <c r="S501" s="35">
        <f>IFERROR(__xludf.DUMMYFUNCTION("""COMPUTED_VALUE"""),1.0)</f>
        <v>1</v>
      </c>
      <c r="T501" s="35">
        <f>IFERROR(__xludf.DUMMYFUNCTION("""COMPUTED_VALUE"""),1.0)</f>
        <v>1</v>
      </c>
      <c r="U501" s="35">
        <f>IFERROR(__xludf.DUMMYFUNCTION("""COMPUTED_VALUE"""),2.0)</f>
        <v>2</v>
      </c>
      <c r="V501" s="35">
        <f>IFERROR(__xludf.DUMMYFUNCTION("""COMPUTED_VALUE"""),4.0)</f>
        <v>4</v>
      </c>
      <c r="W501" s="35">
        <f>IFERROR(__xludf.DUMMYFUNCTION("""COMPUTED_VALUE"""),4.0)</f>
        <v>4</v>
      </c>
      <c r="X501" s="35">
        <f>IFERROR(__xludf.DUMMYFUNCTION("""COMPUTED_VALUE"""),3.0)</f>
        <v>3</v>
      </c>
      <c r="Y501" s="35">
        <f>IFERROR(__xludf.DUMMYFUNCTION("""COMPUTED_VALUE"""),4.0)</f>
        <v>4</v>
      </c>
      <c r="Z501" s="35">
        <f>IFERROR(__xludf.DUMMYFUNCTION("""COMPUTED_VALUE"""),4.0)</f>
        <v>4</v>
      </c>
    </row>
    <row r="502" ht="15.75" customHeight="1">
      <c r="C502" s="81">
        <v>8232.0</v>
      </c>
      <c r="D502" s="70" t="s">
        <v>653</v>
      </c>
      <c r="E502" s="71" t="str">
        <f>vlookup(C502,'NOC-List'!B$2:C$502,2,False)</f>
        <v>Oil and gas well drillers, servicers, testers and related workers</v>
      </c>
      <c r="F502" s="72">
        <v>3.0</v>
      </c>
      <c r="G502" s="72">
        <v>3.0</v>
      </c>
      <c r="H502" s="72">
        <v>4.0</v>
      </c>
      <c r="I502" s="72">
        <v>3.0</v>
      </c>
      <c r="J502" s="72">
        <v>4.0</v>
      </c>
      <c r="K502" s="72">
        <v>4.0</v>
      </c>
      <c r="L502" s="72">
        <v>3.0</v>
      </c>
      <c r="M502" s="72">
        <v>4.0</v>
      </c>
      <c r="N502" s="72">
        <v>3.0</v>
      </c>
      <c r="O502" s="73"/>
      <c r="P502" s="35">
        <f>IFERROR(__xludf.DUMMYFUNCTION("""COMPUTED_VALUE"""),12.0)</f>
        <v>12</v>
      </c>
      <c r="Q502" s="35" t="str">
        <f>IFERROR(__xludf.DUMMYFUNCTION("query(C502:N1495,""Select D,E,F,G,H,I,J,K,L,M WHERE ""&amp;P502&amp;"" =C Limit 1"")"),"Senior Government Managers and Officials")</f>
        <v>Senior Government Managers and Officials</v>
      </c>
      <c r="R502" s="35" t="str">
        <f>IFERROR(__xludf.DUMMYFUNCTION("""COMPUTED_VALUE"""),"Senior government managers and officials")</f>
        <v>Senior government managers and officials</v>
      </c>
      <c r="S502" s="35">
        <f>IFERROR(__xludf.DUMMYFUNCTION("""COMPUTED_VALUE"""),1.0)</f>
        <v>1</v>
      </c>
      <c r="T502" s="35">
        <f>IFERROR(__xludf.DUMMYFUNCTION("""COMPUTED_VALUE"""),1.0)</f>
        <v>1</v>
      </c>
      <c r="U502" s="35">
        <f>IFERROR(__xludf.DUMMYFUNCTION("""COMPUTED_VALUE"""),2.0)</f>
        <v>2</v>
      </c>
      <c r="V502" s="35">
        <f>IFERROR(__xludf.DUMMYFUNCTION("""COMPUTED_VALUE"""),4.0)</f>
        <v>4</v>
      </c>
      <c r="W502" s="35">
        <f>IFERROR(__xludf.DUMMYFUNCTION("""COMPUTED_VALUE"""),4.0)</f>
        <v>4</v>
      </c>
      <c r="X502" s="35">
        <f>IFERROR(__xludf.DUMMYFUNCTION("""COMPUTED_VALUE"""),3.0)</f>
        <v>3</v>
      </c>
      <c r="Y502" s="35">
        <f>IFERROR(__xludf.DUMMYFUNCTION("""COMPUTED_VALUE"""),4.0)</f>
        <v>4</v>
      </c>
      <c r="Z502" s="35">
        <f>IFERROR(__xludf.DUMMYFUNCTION("""COMPUTED_VALUE"""),4.0)</f>
        <v>4</v>
      </c>
    </row>
    <row r="503" ht="15.75" customHeight="1">
      <c r="C503" s="34">
        <v>3414.0</v>
      </c>
      <c r="D503" s="70" t="s">
        <v>654</v>
      </c>
      <c r="E503" s="71" t="str">
        <f>vlookup(C503,'NOC-List'!B$2:C$502,2,False)</f>
        <v>Other assisting occupations in support of health services</v>
      </c>
      <c r="F503" s="72">
        <v>3.0</v>
      </c>
      <c r="G503" s="72">
        <v>4.0</v>
      </c>
      <c r="H503" s="72">
        <v>4.0</v>
      </c>
      <c r="I503" s="72">
        <v>4.0</v>
      </c>
      <c r="J503" s="72">
        <v>4.0</v>
      </c>
      <c r="K503" s="72">
        <v>4.0</v>
      </c>
      <c r="L503" s="72">
        <v>4.0</v>
      </c>
      <c r="M503" s="72">
        <v>3.0</v>
      </c>
      <c r="N503" s="72">
        <v>3.0</v>
      </c>
      <c r="O503" s="73"/>
      <c r="P503" s="35">
        <f>IFERROR(__xludf.DUMMYFUNCTION("""COMPUTED_VALUE"""),13.0)</f>
        <v>13</v>
      </c>
      <c r="Q503" s="35" t="str">
        <f>IFERROR(__xludf.DUMMYFUNCTION("query(C503:N1496,""Select D,E,F,G,H,I,J,K,L,M WHERE ""&amp;P503&amp;"" =C Limit 1"")"),"Senior Managers - Financial, Communications and Other Business Services")</f>
        <v>Senior Managers - Financial, Communications and Other Business Services</v>
      </c>
      <c r="R503" s="35" t="str">
        <f>IFERROR(__xludf.DUMMYFUNCTION("""COMPUTED_VALUE"""),"Senior managers - financial, communications and other business services")</f>
        <v>Senior managers - financial, communications and other business services</v>
      </c>
      <c r="S503" s="35">
        <f>IFERROR(__xludf.DUMMYFUNCTION("""COMPUTED_VALUE"""),1.0)</f>
        <v>1</v>
      </c>
      <c r="T503" s="35">
        <f>IFERROR(__xludf.DUMMYFUNCTION("""COMPUTED_VALUE"""),2.0)</f>
        <v>2</v>
      </c>
      <c r="U503" s="35">
        <f>IFERROR(__xludf.DUMMYFUNCTION("""COMPUTED_VALUE"""),1.0)</f>
        <v>1</v>
      </c>
      <c r="V503" s="35">
        <f>IFERROR(__xludf.DUMMYFUNCTION("""COMPUTED_VALUE"""),4.0)</f>
        <v>4</v>
      </c>
      <c r="W503" s="35">
        <f>IFERROR(__xludf.DUMMYFUNCTION("""COMPUTED_VALUE"""),4.0)</f>
        <v>4</v>
      </c>
      <c r="X503" s="35">
        <f>IFERROR(__xludf.DUMMYFUNCTION("""COMPUTED_VALUE"""),3.0)</f>
        <v>3</v>
      </c>
      <c r="Y503" s="35">
        <f>IFERROR(__xludf.DUMMYFUNCTION("""COMPUTED_VALUE"""),4.0)</f>
        <v>4</v>
      </c>
      <c r="Z503" s="35">
        <f>IFERROR(__xludf.DUMMYFUNCTION("""COMPUTED_VALUE"""),4.0)</f>
        <v>4</v>
      </c>
    </row>
    <row r="504" ht="15.75" customHeight="1">
      <c r="C504" s="34">
        <v>3233.0</v>
      </c>
      <c r="D504" s="70" t="s">
        <v>655</v>
      </c>
      <c r="E504" s="71" t="str">
        <f>vlookup(C504,'NOC-List'!B$2:C$502,2,False)</f>
        <v>Licensed practical nurses</v>
      </c>
      <c r="F504" s="72">
        <v>3.0</v>
      </c>
      <c r="G504" s="72">
        <v>3.0</v>
      </c>
      <c r="H504" s="72">
        <v>4.0</v>
      </c>
      <c r="I504" s="72">
        <v>4.0</v>
      </c>
      <c r="J504" s="72">
        <v>4.0</v>
      </c>
      <c r="K504" s="72">
        <v>4.0</v>
      </c>
      <c r="L504" s="72">
        <v>3.0</v>
      </c>
      <c r="M504" s="72">
        <v>3.0</v>
      </c>
      <c r="N504" s="72">
        <v>3.0</v>
      </c>
      <c r="O504" s="73"/>
      <c r="P504" s="35">
        <f>IFERROR(__xludf.DUMMYFUNCTION("""COMPUTED_VALUE"""),14.0)</f>
        <v>14</v>
      </c>
    </row>
    <row r="505" ht="15.75" customHeight="1">
      <c r="C505" s="34">
        <v>3231.0</v>
      </c>
      <c r="D505" s="70" t="s">
        <v>656</v>
      </c>
      <c r="E505" s="71" t="str">
        <f>vlookup(C505,'NOC-List'!B$2:C$502,2,False)</f>
        <v>Opticians</v>
      </c>
      <c r="F505" s="72">
        <v>3.0</v>
      </c>
      <c r="G505" s="72">
        <v>3.0</v>
      </c>
      <c r="H505" s="72">
        <v>3.0</v>
      </c>
      <c r="I505" s="72">
        <v>3.0</v>
      </c>
      <c r="J505" s="72">
        <v>3.0</v>
      </c>
      <c r="K505" s="72">
        <v>4.0</v>
      </c>
      <c r="L505" s="72">
        <v>3.0</v>
      </c>
      <c r="M505" s="72">
        <v>2.0</v>
      </c>
      <c r="N505" s="72">
        <v>3.0</v>
      </c>
      <c r="O505" s="73"/>
    </row>
    <row r="506" ht="15.75" customHeight="1">
      <c r="C506" s="81">
        <v>8412.0</v>
      </c>
      <c r="D506" s="70" t="s">
        <v>657</v>
      </c>
      <c r="E506" s="71" t="str">
        <f>vlookup(C506,'NOC-List'!B$2:C$502,2,False)</f>
        <v>Oil and gas well drilling and related workers and services operators</v>
      </c>
      <c r="F506" s="72">
        <v>3.0</v>
      </c>
      <c r="G506" s="72">
        <v>4.0</v>
      </c>
      <c r="H506" s="72">
        <v>4.0</v>
      </c>
      <c r="I506" s="72">
        <v>4.0</v>
      </c>
      <c r="J506" s="72">
        <v>4.0</v>
      </c>
      <c r="K506" s="72">
        <v>4.0</v>
      </c>
      <c r="L506" s="72">
        <v>3.0</v>
      </c>
      <c r="M506" s="72">
        <v>4.0</v>
      </c>
      <c r="N506" s="72">
        <v>3.0</v>
      </c>
      <c r="O506" s="73"/>
    </row>
    <row r="507" ht="15.75" customHeight="1">
      <c r="C507" s="34">
        <v>8412.0</v>
      </c>
      <c r="D507" s="70" t="s">
        <v>658</v>
      </c>
      <c r="E507" s="71" t="str">
        <f>vlookup(C507,'NOC-List'!B$2:C$502,2,False)</f>
        <v>Oil and gas well drilling and related workers and services operators</v>
      </c>
      <c r="F507" s="72">
        <v>3.0</v>
      </c>
      <c r="G507" s="72">
        <v>4.0</v>
      </c>
      <c r="H507" s="72">
        <v>4.0</v>
      </c>
      <c r="I507" s="72">
        <v>4.0</v>
      </c>
      <c r="J507" s="72">
        <v>4.0</v>
      </c>
      <c r="K507" s="72">
        <v>4.0</v>
      </c>
      <c r="L507" s="72">
        <v>3.0</v>
      </c>
      <c r="M507" s="72">
        <v>4.0</v>
      </c>
      <c r="N507" s="72">
        <v>3.0</v>
      </c>
      <c r="O507" s="73"/>
    </row>
    <row r="508" ht="15.75" customHeight="1">
      <c r="C508" s="81">
        <v>7335.0</v>
      </c>
      <c r="D508" s="70" t="s">
        <v>659</v>
      </c>
      <c r="E508" s="71" t="str">
        <f>vlookup(C508,'NOC-List'!B$2:C$502,2,False)</f>
        <v>Other small engine and small equipment repairers</v>
      </c>
      <c r="F508" s="72">
        <v>3.0</v>
      </c>
      <c r="G508" s="72">
        <v>3.0</v>
      </c>
      <c r="H508" s="72">
        <v>3.0</v>
      </c>
      <c r="I508" s="72">
        <v>3.0</v>
      </c>
      <c r="J508" s="72">
        <v>3.0</v>
      </c>
      <c r="K508" s="72">
        <v>4.0</v>
      </c>
      <c r="L508" s="72">
        <v>4.0</v>
      </c>
      <c r="M508" s="72">
        <v>3.0</v>
      </c>
      <c r="N508" s="72">
        <v>3.0</v>
      </c>
      <c r="O508" s="73"/>
    </row>
    <row r="509" ht="15.75" customHeight="1">
      <c r="C509" s="81">
        <v>9537.0</v>
      </c>
      <c r="D509" s="70" t="s">
        <v>660</v>
      </c>
      <c r="E509" s="71" t="str">
        <f>vlookup(C509,'NOC-List'!B$2:C$502,2,False)</f>
        <v>Other products assemblers, finishers and inspectors</v>
      </c>
      <c r="F509" s="72">
        <v>4.0</v>
      </c>
      <c r="G509" s="72">
        <v>4.0</v>
      </c>
      <c r="H509" s="72">
        <v>4.0</v>
      </c>
      <c r="I509" s="72">
        <v>4.0</v>
      </c>
      <c r="J509" s="72">
        <v>4.0</v>
      </c>
      <c r="K509" s="72">
        <v>4.0</v>
      </c>
      <c r="L509" s="72">
        <v>3.0</v>
      </c>
      <c r="M509" s="72">
        <v>3.0</v>
      </c>
      <c r="N509" s="72">
        <v>3.0</v>
      </c>
      <c r="O509" s="73"/>
    </row>
    <row r="510" ht="15.75" customHeight="1">
      <c r="C510" s="34">
        <v>7294.0</v>
      </c>
      <c r="D510" s="70" t="s">
        <v>661</v>
      </c>
      <c r="E510" s="71" t="str">
        <f>vlookup(C510,'NOC-List'!B$2:C$502,2,False)</f>
        <v>Painters and decorators (except interior decorators)</v>
      </c>
      <c r="F510" s="72">
        <v>3.0</v>
      </c>
      <c r="G510" s="72">
        <v>3.0</v>
      </c>
      <c r="H510" s="72">
        <v>3.0</v>
      </c>
      <c r="I510" s="72">
        <v>3.0</v>
      </c>
      <c r="J510" s="72">
        <v>3.0</v>
      </c>
      <c r="K510" s="72">
        <v>5.0</v>
      </c>
      <c r="L510" s="72">
        <v>3.0</v>
      </c>
      <c r="M510" s="72">
        <v>3.0</v>
      </c>
      <c r="N510" s="72">
        <v>3.0</v>
      </c>
      <c r="O510" s="73"/>
    </row>
    <row r="511" ht="15.75" customHeight="1">
      <c r="C511" s="34">
        <v>9537.0</v>
      </c>
      <c r="D511" s="70" t="s">
        <v>662</v>
      </c>
      <c r="E511" s="71" t="str">
        <f>vlookup(C511,'NOC-List'!B$2:C$502,2,False)</f>
        <v>Other products assemblers, finishers and inspectors</v>
      </c>
      <c r="F511" s="72">
        <v>4.0</v>
      </c>
      <c r="G511" s="72">
        <v>4.0</v>
      </c>
      <c r="H511" s="72">
        <v>4.0</v>
      </c>
      <c r="I511" s="72">
        <v>4.0</v>
      </c>
      <c r="J511" s="72">
        <v>4.0</v>
      </c>
      <c r="K511" s="72">
        <v>4.0</v>
      </c>
      <c r="L511" s="72">
        <v>3.0</v>
      </c>
      <c r="M511" s="72">
        <v>3.0</v>
      </c>
      <c r="N511" s="72">
        <v>3.0</v>
      </c>
      <c r="O511" s="73"/>
    </row>
    <row r="512" ht="15.75" customHeight="1">
      <c r="C512" s="34">
        <v>3212.0</v>
      </c>
      <c r="D512" s="70" t="s">
        <v>663</v>
      </c>
      <c r="E512" s="71" t="str">
        <f>vlookup(C512,'NOC-List'!B$2:C$502,2,False)</f>
        <v>Medical laboratory technicians and pathologists' assistants</v>
      </c>
      <c r="F512" s="72">
        <v>2.0</v>
      </c>
      <c r="G512" s="72">
        <v>2.0</v>
      </c>
      <c r="H512" s="72">
        <v>2.0</v>
      </c>
      <c r="I512" s="72">
        <v>3.0</v>
      </c>
      <c r="J512" s="72">
        <v>2.0</v>
      </c>
      <c r="K512" s="72">
        <v>3.0</v>
      </c>
      <c r="L512" s="72">
        <v>3.0</v>
      </c>
      <c r="M512" s="72">
        <v>3.0</v>
      </c>
      <c r="N512" s="72">
        <v>3.0</v>
      </c>
      <c r="O512" s="73"/>
    </row>
    <row r="513" ht="15.75" customHeight="1">
      <c r="C513" s="34">
        <v>1432.0</v>
      </c>
      <c r="D513" s="70" t="s">
        <v>664</v>
      </c>
      <c r="E513" s="71" t="str">
        <f>vlookup(C513,'NOC-List'!B$2:C$502,2,False)</f>
        <v>Payroll clerks</v>
      </c>
      <c r="F513" s="72">
        <v>3.0</v>
      </c>
      <c r="G513" s="72">
        <v>3.0</v>
      </c>
      <c r="H513" s="72">
        <v>3.0</v>
      </c>
      <c r="I513" s="72">
        <v>3.0</v>
      </c>
      <c r="J513" s="72">
        <v>3.0</v>
      </c>
      <c r="K513" s="72">
        <v>2.0</v>
      </c>
      <c r="L513" s="72">
        <v>3.0</v>
      </c>
      <c r="M513" s="72">
        <v>3.0</v>
      </c>
      <c r="N513" s="72">
        <v>4.0</v>
      </c>
      <c r="O513" s="73"/>
    </row>
    <row r="514" ht="15.75" customHeight="1">
      <c r="C514" s="34">
        <v>9434.0</v>
      </c>
      <c r="D514" s="70" t="s">
        <v>665</v>
      </c>
      <c r="E514" s="71" t="str">
        <f>vlookup(C514,'NOC-List'!B$2:C$502,2,False)</f>
        <v>Other wood processing machine operators</v>
      </c>
      <c r="F514" s="72">
        <v>3.0</v>
      </c>
      <c r="G514" s="72">
        <v>4.0</v>
      </c>
      <c r="H514" s="72">
        <v>4.0</v>
      </c>
      <c r="I514" s="72">
        <v>4.0</v>
      </c>
      <c r="J514" s="72">
        <v>4.0</v>
      </c>
      <c r="K514" s="72">
        <v>4.0</v>
      </c>
      <c r="L514" s="72">
        <v>3.0</v>
      </c>
      <c r="M514" s="72">
        <v>4.0</v>
      </c>
      <c r="N514" s="72">
        <v>3.0</v>
      </c>
      <c r="O514" s="73"/>
    </row>
    <row r="515" ht="15.75" customHeight="1">
      <c r="C515" s="34">
        <v>9232.0</v>
      </c>
      <c r="D515" s="70" t="s">
        <v>666</v>
      </c>
      <c r="E515" s="71" t="str">
        <f>vlookup(C515,'NOC-List'!B$2:C$502,2,False)</f>
        <v>Petroleum, gas and chemical process operators</v>
      </c>
      <c r="F515" s="72">
        <v>3.0</v>
      </c>
      <c r="G515" s="72">
        <v>3.0</v>
      </c>
      <c r="H515" s="72">
        <v>3.0</v>
      </c>
      <c r="I515" s="72">
        <v>3.0</v>
      </c>
      <c r="J515" s="72">
        <v>4.0</v>
      </c>
      <c r="K515" s="72">
        <v>4.0</v>
      </c>
      <c r="L515" s="72">
        <v>3.0</v>
      </c>
      <c r="M515" s="72">
        <v>3.0</v>
      </c>
      <c r="N515" s="72">
        <v>3.0</v>
      </c>
      <c r="O515" s="73"/>
    </row>
    <row r="516" ht="15.75" customHeight="1">
      <c r="C516" s="34">
        <v>5212.0</v>
      </c>
      <c r="D516" s="70" t="s">
        <v>667</v>
      </c>
      <c r="E516" s="71" t="str">
        <f>vlookup(C516,'NOC-List'!B$2:C$502,2,False)</f>
        <v>Technical occupations related to museums and art galleries</v>
      </c>
      <c r="F516" s="72">
        <v>3.0</v>
      </c>
      <c r="G516" s="72">
        <v>3.0</v>
      </c>
      <c r="H516" s="72">
        <v>3.0</v>
      </c>
      <c r="I516" s="72">
        <v>3.0</v>
      </c>
      <c r="J516" s="72">
        <v>4.0</v>
      </c>
      <c r="K516" s="72">
        <v>4.0</v>
      </c>
      <c r="L516" s="72">
        <v>3.0</v>
      </c>
      <c r="M516" s="72">
        <v>3.0</v>
      </c>
      <c r="N516" s="72">
        <v>3.0</v>
      </c>
      <c r="O516" s="73"/>
    </row>
    <row r="517" ht="15.75" customHeight="1">
      <c r="C517" s="34">
        <v>9435.0</v>
      </c>
      <c r="D517" s="70" t="s">
        <v>668</v>
      </c>
      <c r="E517" s="71" t="str">
        <f>vlookup(C517,'NOC-List'!B$2:C$502,2,False)</f>
        <v>Paper converting machine operators</v>
      </c>
      <c r="F517" s="72">
        <v>4.0</v>
      </c>
      <c r="G517" s="72">
        <v>4.0</v>
      </c>
      <c r="H517" s="72">
        <v>4.0</v>
      </c>
      <c r="I517" s="72">
        <v>3.0</v>
      </c>
      <c r="J517" s="72">
        <v>3.0</v>
      </c>
      <c r="K517" s="72">
        <v>4.0</v>
      </c>
      <c r="L517" s="72">
        <v>4.0</v>
      </c>
      <c r="M517" s="72">
        <v>4.0</v>
      </c>
      <c r="N517" s="72">
        <v>3.0</v>
      </c>
      <c r="O517" s="73"/>
    </row>
    <row r="518" ht="15.75" customHeight="1">
      <c r="C518" s="34">
        <v>4311.0</v>
      </c>
      <c r="D518" s="70" t="s">
        <v>669</v>
      </c>
      <c r="E518" s="71" t="str">
        <f>vlookup(C518,'NOC-List'!B$2:C$502,2,False)</f>
        <v>Police officers (except commissioned)</v>
      </c>
      <c r="F518" s="72">
        <v>3.0</v>
      </c>
      <c r="G518" s="72">
        <v>3.0</v>
      </c>
      <c r="H518" s="72">
        <v>3.0</v>
      </c>
      <c r="I518" s="72">
        <v>3.0</v>
      </c>
      <c r="J518" s="72">
        <v>3.0</v>
      </c>
      <c r="K518" s="72">
        <v>4.0</v>
      </c>
      <c r="L518" s="72">
        <v>3.0</v>
      </c>
      <c r="M518" s="72">
        <v>4.0</v>
      </c>
      <c r="N518" s="72">
        <v>3.0</v>
      </c>
      <c r="O518" s="73"/>
    </row>
    <row r="519" ht="15.75" customHeight="1">
      <c r="C519" s="34">
        <v>6563.0</v>
      </c>
      <c r="D519" s="70" t="s">
        <v>670</v>
      </c>
      <c r="E519" s="71" t="str">
        <f>vlookup(C519,'NOC-List'!B$2:C$502,2,False)</f>
        <v>Pet groomers and animal care workers</v>
      </c>
      <c r="F519" s="72">
        <v>4.0</v>
      </c>
      <c r="G519" s="72">
        <v>4.0</v>
      </c>
      <c r="H519" s="72">
        <v>4.0</v>
      </c>
      <c r="I519" s="72">
        <v>4.0</v>
      </c>
      <c r="J519" s="72">
        <v>4.0</v>
      </c>
      <c r="K519" s="72">
        <v>4.0</v>
      </c>
      <c r="L519" s="72">
        <v>3.0</v>
      </c>
      <c r="M519" s="72">
        <v>3.0</v>
      </c>
      <c r="N519" s="72">
        <v>3.0</v>
      </c>
      <c r="O519" s="73"/>
    </row>
    <row r="520" ht="15.75" customHeight="1">
      <c r="C520" s="34">
        <v>7284.0</v>
      </c>
      <c r="D520" s="70" t="s">
        <v>671</v>
      </c>
      <c r="E520" s="71" t="str">
        <f>vlookup(C520,'NOC-List'!B$2:C$502,2,False)</f>
        <v>Plasterers, drywall installers and finishers and lathers</v>
      </c>
      <c r="F520" s="72">
        <v>3.0</v>
      </c>
      <c r="G520" s="72">
        <v>4.0</v>
      </c>
      <c r="H520" s="72">
        <v>4.0</v>
      </c>
      <c r="I520" s="72">
        <v>3.0</v>
      </c>
      <c r="J520" s="72">
        <v>4.0</v>
      </c>
      <c r="K520" s="72">
        <v>5.0</v>
      </c>
      <c r="L520" s="72">
        <v>3.0</v>
      </c>
      <c r="M520" s="72">
        <v>4.0</v>
      </c>
      <c r="N520" s="72">
        <v>3.0</v>
      </c>
      <c r="O520" s="73"/>
    </row>
    <row r="521" ht="15.75" customHeight="1">
      <c r="C521" s="34">
        <v>2262.0</v>
      </c>
      <c r="D521" s="70" t="s">
        <v>672</v>
      </c>
      <c r="E521" s="71" t="str">
        <f>vlookup(C521,'NOC-List'!B$2:C$502,2,False)</f>
        <v>Engineering inspectors and regulatory officers</v>
      </c>
      <c r="F521" s="72">
        <v>2.0</v>
      </c>
      <c r="G521" s="72">
        <v>3.0</v>
      </c>
      <c r="H521" s="72">
        <v>3.0</v>
      </c>
      <c r="I521" s="72">
        <v>3.0</v>
      </c>
      <c r="J521" s="72">
        <v>3.0</v>
      </c>
      <c r="K521" s="72">
        <v>3.0</v>
      </c>
      <c r="L521" s="72">
        <v>4.0</v>
      </c>
      <c r="M521" s="72">
        <v>4.0</v>
      </c>
      <c r="N521" s="72">
        <v>4.0</v>
      </c>
      <c r="O521" s="73"/>
    </row>
    <row r="522" ht="15.75" customHeight="1">
      <c r="C522" s="34">
        <v>1452.0</v>
      </c>
      <c r="D522" s="70" t="s">
        <v>673</v>
      </c>
      <c r="E522" s="71" t="str">
        <f>vlookup(C522,'NOC-List'!B$2:C$502,2,False)</f>
        <v>Correspondence, publication and regulatory clerks</v>
      </c>
      <c r="F522" s="72">
        <v>3.0</v>
      </c>
      <c r="G522" s="72">
        <v>3.0</v>
      </c>
      <c r="H522" s="72">
        <v>4.0</v>
      </c>
      <c r="I522" s="72">
        <v>4.0</v>
      </c>
      <c r="J522" s="72">
        <v>4.0</v>
      </c>
      <c r="K522" s="72">
        <v>3.0</v>
      </c>
      <c r="L522" s="72">
        <v>3.0</v>
      </c>
      <c r="M522" s="72">
        <v>3.0</v>
      </c>
      <c r="N522" s="72">
        <v>4.0</v>
      </c>
      <c r="O522" s="73"/>
    </row>
    <row r="523" ht="15.75" customHeight="1">
      <c r="C523" s="34">
        <v>1414.0</v>
      </c>
      <c r="D523" s="70" t="s">
        <v>674</v>
      </c>
      <c r="E523" s="71" t="str">
        <f>vlookup(C523,'NOC-List'!B$2:C$502,2,False)</f>
        <v>Receptionists</v>
      </c>
      <c r="F523" s="72">
        <v>3.0</v>
      </c>
      <c r="G523" s="72">
        <v>3.0</v>
      </c>
      <c r="H523" s="72">
        <v>4.0</v>
      </c>
      <c r="I523" s="72">
        <v>4.0</v>
      </c>
      <c r="J523" s="72">
        <v>4.0</v>
      </c>
      <c r="K523" s="72">
        <v>3.0</v>
      </c>
      <c r="L523" s="72">
        <v>3.0</v>
      </c>
      <c r="M523" s="72">
        <v>3.0</v>
      </c>
      <c r="N523" s="72">
        <v>4.0</v>
      </c>
      <c r="O523" s="73"/>
    </row>
    <row r="524" ht="15.75" customHeight="1">
      <c r="C524" s="34">
        <v>3232.0</v>
      </c>
      <c r="D524" s="70" t="s">
        <v>675</v>
      </c>
      <c r="E524" s="71" t="str">
        <f>vlookup(C524,'NOC-List'!B$2:C$502,2,False)</f>
        <v>Practitioners of natural healing</v>
      </c>
      <c r="F524" s="72">
        <v>3.0</v>
      </c>
      <c r="G524" s="72">
        <v>3.0</v>
      </c>
      <c r="H524" s="72">
        <v>4.0</v>
      </c>
      <c r="I524" s="72">
        <v>4.0</v>
      </c>
      <c r="J524" s="72">
        <v>4.0</v>
      </c>
      <c r="K524" s="72">
        <v>4.0</v>
      </c>
      <c r="L524" s="72">
        <v>3.0</v>
      </c>
      <c r="M524" s="72">
        <v>3.0</v>
      </c>
      <c r="N524" s="72">
        <v>3.0</v>
      </c>
      <c r="O524" s="73"/>
    </row>
    <row r="525" ht="15.75" customHeight="1">
      <c r="C525" s="34">
        <v>3232.0</v>
      </c>
      <c r="D525" s="70" t="s">
        <v>676</v>
      </c>
      <c r="E525" s="71" t="str">
        <f>vlookup(C525,'NOC-List'!B$2:C$502,2,False)</f>
        <v>Practitioners of natural healing</v>
      </c>
      <c r="F525" s="72">
        <v>3.0</v>
      </c>
      <c r="G525" s="72">
        <v>3.0</v>
      </c>
      <c r="H525" s="72">
        <v>4.0</v>
      </c>
      <c r="I525" s="72">
        <v>4.0</v>
      </c>
      <c r="J525" s="72">
        <v>4.0</v>
      </c>
      <c r="K525" s="72">
        <v>4.0</v>
      </c>
      <c r="L525" s="72">
        <v>3.0</v>
      </c>
      <c r="M525" s="72">
        <v>3.0</v>
      </c>
      <c r="N525" s="72">
        <v>3.0</v>
      </c>
      <c r="O525" s="73"/>
    </row>
    <row r="526" ht="15.75" customHeight="1">
      <c r="C526" s="34">
        <v>1241.0</v>
      </c>
      <c r="D526" s="70" t="s">
        <v>677</v>
      </c>
      <c r="E526" s="71" t="str">
        <f>vlookup(C526,'NOC-List'!B$2:C$502,2,False)</f>
        <v>Administrative assistants</v>
      </c>
      <c r="F526" s="72">
        <v>3.0</v>
      </c>
      <c r="G526" s="72">
        <v>3.0</v>
      </c>
      <c r="H526" s="72">
        <v>3.0</v>
      </c>
      <c r="I526" s="72">
        <v>4.0</v>
      </c>
      <c r="J526" s="72">
        <v>3.0</v>
      </c>
      <c r="K526" s="72">
        <v>2.0</v>
      </c>
      <c r="L526" s="72">
        <v>3.0</v>
      </c>
      <c r="M526" s="72">
        <v>3.0</v>
      </c>
      <c r="N526" s="72">
        <v>3.0</v>
      </c>
      <c r="O526" s="73"/>
    </row>
    <row r="527" ht="15.75" customHeight="1">
      <c r="C527" s="34">
        <v>5226.0</v>
      </c>
      <c r="D527" s="70" t="s">
        <v>678</v>
      </c>
      <c r="E527" s="71" t="str">
        <f>vlookup(C527,'NOC-List'!B$2:C$502,2,False)</f>
        <v>Other technical and co-ordinating occupations in motion pictures, broadcasting and the performing arts</v>
      </c>
      <c r="F527" s="72">
        <v>3.0</v>
      </c>
      <c r="G527" s="72">
        <v>3.0</v>
      </c>
      <c r="H527" s="72">
        <v>3.0</v>
      </c>
      <c r="I527" s="72">
        <v>2.0</v>
      </c>
      <c r="J527" s="72">
        <v>2.0</v>
      </c>
      <c r="K527" s="72">
        <v>3.0</v>
      </c>
      <c r="L527" s="72">
        <v>4.0</v>
      </c>
      <c r="M527" s="72">
        <v>4.0</v>
      </c>
      <c r="N527" s="72">
        <v>3.0</v>
      </c>
      <c r="O527" s="73"/>
    </row>
    <row r="528" ht="15.75" customHeight="1">
      <c r="C528" s="34">
        <v>5125.0</v>
      </c>
      <c r="D528" s="70" t="s">
        <v>679</v>
      </c>
      <c r="E528" s="71" t="str">
        <f>vlookup(C528,'NOC-List'!B$2:C$502,2,False)</f>
        <v>Translators, terminologists and interpreters</v>
      </c>
      <c r="F528" s="72">
        <v>2.0</v>
      </c>
      <c r="G528" s="72">
        <v>1.0</v>
      </c>
      <c r="H528" s="72">
        <v>4.0</v>
      </c>
      <c r="I528" s="72">
        <v>4.0</v>
      </c>
      <c r="J528" s="72">
        <v>4.0</v>
      </c>
      <c r="K528" s="72">
        <v>3.0</v>
      </c>
      <c r="L528" s="72">
        <v>1.0</v>
      </c>
      <c r="M528" s="72">
        <v>1.0</v>
      </c>
      <c r="N528" s="72">
        <v>3.0</v>
      </c>
      <c r="O528" s="73"/>
    </row>
    <row r="529" ht="15.75" customHeight="1">
      <c r="C529" s="81">
        <v>9471.0</v>
      </c>
      <c r="D529" s="70" t="s">
        <v>680</v>
      </c>
      <c r="E529" s="71" t="str">
        <f>vlookup(C529,'NOC-List'!B$2:C$502,2,False)</f>
        <v>Plateless printing equipment operators</v>
      </c>
      <c r="F529" s="72">
        <v>3.0</v>
      </c>
      <c r="G529" s="72">
        <v>4.0</v>
      </c>
      <c r="H529" s="72">
        <v>4.0</v>
      </c>
      <c r="I529" s="72">
        <v>4.0</v>
      </c>
      <c r="J529" s="72">
        <v>3.0</v>
      </c>
      <c r="K529" s="72">
        <v>4.0</v>
      </c>
      <c r="L529" s="72">
        <v>4.0</v>
      </c>
      <c r="M529" s="72">
        <v>4.0</v>
      </c>
      <c r="N529" s="72">
        <v>3.0</v>
      </c>
      <c r="O529" s="73"/>
    </row>
    <row r="530" ht="15.75" customHeight="1">
      <c r="C530" s="34">
        <v>5253.0</v>
      </c>
      <c r="D530" s="70" t="s">
        <v>681</v>
      </c>
      <c r="E530" s="71" t="str">
        <f>vlookup(C530,'NOC-List'!B$2:C$502,2,False)</f>
        <v>Sports officials and referees</v>
      </c>
      <c r="F530" s="72">
        <v>3.0</v>
      </c>
      <c r="G530" s="72">
        <v>3.0</v>
      </c>
      <c r="H530" s="72">
        <v>4.0</v>
      </c>
      <c r="I530" s="72">
        <v>2.0</v>
      </c>
      <c r="J530" s="72">
        <v>3.0</v>
      </c>
      <c r="K530" s="72">
        <v>4.0</v>
      </c>
      <c r="L530" s="72">
        <v>4.0</v>
      </c>
      <c r="M530" s="72">
        <v>4.0</v>
      </c>
      <c r="N530" s="72">
        <v>4.0</v>
      </c>
      <c r="O530" s="73"/>
    </row>
    <row r="531" ht="15.75" customHeight="1">
      <c r="C531" s="34">
        <v>7522.0</v>
      </c>
      <c r="D531" s="70" t="s">
        <v>682</v>
      </c>
      <c r="E531" s="71" t="str">
        <f>vlookup(C531,'NOC-List'!B$2:C$502,2,False)</f>
        <v>Public works maintenance equipment operators and related workers</v>
      </c>
      <c r="F531" s="72">
        <v>4.0</v>
      </c>
      <c r="G531" s="72">
        <v>4.0</v>
      </c>
      <c r="H531" s="72">
        <v>4.0</v>
      </c>
      <c r="I531" s="72">
        <v>3.0</v>
      </c>
      <c r="J531" s="72">
        <v>4.0</v>
      </c>
      <c r="K531" s="72">
        <v>4.0</v>
      </c>
      <c r="L531" s="72">
        <v>3.0</v>
      </c>
      <c r="M531" s="72">
        <v>4.0</v>
      </c>
      <c r="N531" s="72">
        <v>3.0</v>
      </c>
      <c r="O531" s="73"/>
    </row>
    <row r="532" ht="15.75" customHeight="1">
      <c r="C532" s="34">
        <v>8422.0</v>
      </c>
      <c r="D532" s="70" t="s">
        <v>683</v>
      </c>
      <c r="E532" s="71" t="str">
        <f>vlookup(C532,'NOC-List'!B$2:C$502,2,False)</f>
        <v>Silviculture and forestry workers</v>
      </c>
      <c r="F532" s="72">
        <v>3.0</v>
      </c>
      <c r="G532" s="72">
        <v>4.0</v>
      </c>
      <c r="H532" s="72">
        <v>4.0</v>
      </c>
      <c r="I532" s="72">
        <v>4.0</v>
      </c>
      <c r="J532" s="72">
        <v>4.0</v>
      </c>
      <c r="K532" s="72">
        <v>4.0</v>
      </c>
      <c r="L532" s="72">
        <v>3.0</v>
      </c>
      <c r="M532" s="72">
        <v>4.0</v>
      </c>
      <c r="N532" s="72">
        <v>3.0</v>
      </c>
      <c r="O532" s="73"/>
    </row>
    <row r="533" ht="15.75" customHeight="1">
      <c r="C533" s="34">
        <v>9223.0</v>
      </c>
      <c r="D533" s="70" t="s">
        <v>684</v>
      </c>
      <c r="E533" s="71" t="str">
        <f>vlookup(C533,'NOC-List'!B$2:C$502,2,False)</f>
        <v>Supervisors, electrical products manufacturing</v>
      </c>
      <c r="F533" s="72">
        <v>3.0</v>
      </c>
      <c r="G533" s="72">
        <v>3.0</v>
      </c>
      <c r="H533" s="72">
        <v>3.0</v>
      </c>
      <c r="I533" s="72">
        <v>3.0</v>
      </c>
      <c r="J533" s="72">
        <v>4.0</v>
      </c>
      <c r="K533" s="72">
        <v>3.0</v>
      </c>
      <c r="L533" s="72">
        <v>3.0</v>
      </c>
      <c r="M533" s="72">
        <v>4.0</v>
      </c>
      <c r="N533" s="72">
        <v>3.0</v>
      </c>
      <c r="O533" s="73"/>
    </row>
    <row r="534" ht="15.75" customHeight="1">
      <c r="C534" s="34">
        <v>9222.0</v>
      </c>
      <c r="D534" s="70" t="s">
        <v>685</v>
      </c>
      <c r="E534" s="71" t="str">
        <f>vlookup(C534,'NOC-List'!B$2:C$502,2,False)</f>
        <v>Supervisors, electronics manufacturing</v>
      </c>
      <c r="F534" s="72">
        <v>3.0</v>
      </c>
      <c r="G534" s="72">
        <v>3.0</v>
      </c>
      <c r="H534" s="72">
        <v>3.0</v>
      </c>
      <c r="I534" s="72">
        <v>3.0</v>
      </c>
      <c r="J534" s="72">
        <v>4.0</v>
      </c>
      <c r="K534" s="72">
        <v>3.0</v>
      </c>
      <c r="L534" s="72">
        <v>3.0</v>
      </c>
      <c r="M534" s="72">
        <v>4.0</v>
      </c>
      <c r="N534" s="72">
        <v>3.0</v>
      </c>
      <c r="O534" s="73"/>
    </row>
    <row r="535" ht="15.75" customHeight="1">
      <c r="C535" s="34">
        <v>9215.0</v>
      </c>
      <c r="D535" s="70" t="s">
        <v>686</v>
      </c>
      <c r="E535" s="71" t="str">
        <f>vlookup(C535,'NOC-List'!B$2:C$502,2,False)</f>
        <v>Supervisors, forest products processing</v>
      </c>
      <c r="F535" s="72">
        <v>3.0</v>
      </c>
      <c r="G535" s="72">
        <v>3.0</v>
      </c>
      <c r="H535" s="72">
        <v>3.0</v>
      </c>
      <c r="I535" s="72">
        <v>3.0</v>
      </c>
      <c r="J535" s="72">
        <v>4.0</v>
      </c>
      <c r="K535" s="72">
        <v>3.0</v>
      </c>
      <c r="L535" s="72">
        <v>3.0</v>
      </c>
      <c r="M535" s="72">
        <v>4.0</v>
      </c>
      <c r="N535" s="72">
        <v>3.0</v>
      </c>
      <c r="O535" s="73"/>
    </row>
    <row r="536" ht="15.75" customHeight="1">
      <c r="C536" s="34">
        <v>9211.0</v>
      </c>
      <c r="D536" s="70" t="s">
        <v>687</v>
      </c>
      <c r="E536" s="71" t="str">
        <f>vlookup(C536,'NOC-List'!B$2:C$502,2,False)</f>
        <v>Supervisors, mineral and metal processing</v>
      </c>
      <c r="F536" s="72">
        <v>3.0</v>
      </c>
      <c r="G536" s="72">
        <v>3.0</v>
      </c>
      <c r="H536" s="72">
        <v>3.0</v>
      </c>
      <c r="I536" s="72">
        <v>4.0</v>
      </c>
      <c r="J536" s="72">
        <v>3.0</v>
      </c>
      <c r="K536" s="72">
        <v>3.0</v>
      </c>
      <c r="L536" s="72">
        <v>3.0</v>
      </c>
      <c r="M536" s="72">
        <v>4.0</v>
      </c>
      <c r="N536" s="72">
        <v>3.0</v>
      </c>
      <c r="O536" s="73"/>
    </row>
    <row r="537" ht="15.75" customHeight="1">
      <c r="C537" s="34">
        <v>7305.0</v>
      </c>
      <c r="D537" s="70" t="s">
        <v>688</v>
      </c>
      <c r="E537" s="71" t="str">
        <f>vlookup(C537,'NOC-List'!B$2:C$502,2,False)</f>
        <v>Supervisors, motor transport and other ground transit operators</v>
      </c>
      <c r="F537" s="72">
        <v>3.0</v>
      </c>
      <c r="G537" s="72">
        <v>3.0</v>
      </c>
      <c r="H537" s="72">
        <v>3.0</v>
      </c>
      <c r="I537" s="72">
        <v>3.0</v>
      </c>
      <c r="J537" s="72">
        <v>4.0</v>
      </c>
      <c r="K537" s="72">
        <v>3.0</v>
      </c>
      <c r="L537" s="72">
        <v>3.0</v>
      </c>
      <c r="M537" s="72">
        <v>4.0</v>
      </c>
      <c r="N537" s="72">
        <v>3.0</v>
      </c>
      <c r="O537" s="73"/>
    </row>
    <row r="538" ht="15.75" customHeight="1">
      <c r="C538" s="34">
        <v>9227.0</v>
      </c>
      <c r="D538" s="70" t="s">
        <v>689</v>
      </c>
      <c r="E538" s="71" t="str">
        <f>vlookup(C538,'NOC-List'!B$2:C$502,2,False)</f>
        <v>Supervisors, other products manufacturing and assembly</v>
      </c>
      <c r="F538" s="72">
        <v>3.0</v>
      </c>
      <c r="G538" s="72">
        <v>3.0</v>
      </c>
      <c r="H538" s="72">
        <v>3.0</v>
      </c>
      <c r="I538" s="72">
        <v>4.0</v>
      </c>
      <c r="J538" s="72">
        <v>4.0</v>
      </c>
      <c r="K538" s="72">
        <v>3.0</v>
      </c>
      <c r="L538" s="72">
        <v>3.0</v>
      </c>
      <c r="M538" s="72">
        <v>3.0</v>
      </c>
      <c r="N538" s="72">
        <v>3.0</v>
      </c>
      <c r="O538" s="73"/>
    </row>
    <row r="539" ht="15.75" customHeight="1">
      <c r="C539" s="34">
        <v>9212.0</v>
      </c>
      <c r="D539" s="70" t="s">
        <v>690</v>
      </c>
      <c r="E539" s="71" t="str">
        <f>vlookup(C539,'NOC-List'!B$2:C$502,2,False)</f>
        <v>Supervisors, petroleum, gas and chemical processing and utilities</v>
      </c>
      <c r="F539" s="72">
        <v>3.0</v>
      </c>
      <c r="G539" s="72">
        <v>3.0</v>
      </c>
      <c r="H539" s="72">
        <v>3.0</v>
      </c>
      <c r="I539" s="72">
        <v>4.0</v>
      </c>
      <c r="J539" s="72">
        <v>3.0</v>
      </c>
      <c r="K539" s="72">
        <v>3.0</v>
      </c>
      <c r="L539" s="72">
        <v>3.0</v>
      </c>
      <c r="M539" s="72">
        <v>4.0</v>
      </c>
      <c r="N539" s="72">
        <v>3.0</v>
      </c>
      <c r="O539" s="73"/>
    </row>
    <row r="540" ht="15.75" customHeight="1">
      <c r="C540" s="34">
        <v>1414.0</v>
      </c>
      <c r="D540" s="70" t="s">
        <v>691</v>
      </c>
      <c r="E540" s="71" t="str">
        <f>vlookup(C540,'NOC-List'!B$2:C$502,2,False)</f>
        <v>Receptionists</v>
      </c>
      <c r="F540" s="72">
        <v>3.0</v>
      </c>
      <c r="G540" s="72">
        <v>3.0</v>
      </c>
      <c r="H540" s="72">
        <v>4.0</v>
      </c>
      <c r="I540" s="72">
        <v>4.0</v>
      </c>
      <c r="J540" s="72">
        <v>4.0</v>
      </c>
      <c r="K540" s="72">
        <v>3.0</v>
      </c>
      <c r="L540" s="72">
        <v>3.0</v>
      </c>
      <c r="M540" s="72">
        <v>3.0</v>
      </c>
      <c r="N540" s="72">
        <v>4.0</v>
      </c>
      <c r="O540" s="73"/>
    </row>
    <row r="541" ht="15.75" customHeight="1">
      <c r="C541" s="81">
        <v>1522.0</v>
      </c>
      <c r="D541" s="70" t="s">
        <v>692</v>
      </c>
      <c r="E541" s="71" t="str">
        <f>vlookup(C541,'NOC-List'!B$2:C$502,2,False)</f>
        <v>Storekeepers and partspersons</v>
      </c>
      <c r="F541" s="72">
        <v>3.0</v>
      </c>
      <c r="G541" s="72">
        <v>4.0</v>
      </c>
      <c r="H541" s="72">
        <v>4.0</v>
      </c>
      <c r="I541" s="72">
        <v>3.0</v>
      </c>
      <c r="J541" s="72">
        <v>4.0</v>
      </c>
      <c r="K541" s="72">
        <v>3.0</v>
      </c>
      <c r="L541" s="72">
        <v>4.0</v>
      </c>
      <c r="M541" s="72">
        <v>4.0</v>
      </c>
      <c r="N541" s="72">
        <v>4.0</v>
      </c>
      <c r="O541" s="73"/>
    </row>
    <row r="542" ht="15.75" customHeight="1">
      <c r="C542" s="34">
        <v>1414.0</v>
      </c>
      <c r="D542" s="70" t="s">
        <v>693</v>
      </c>
      <c r="E542" s="71" t="str">
        <f>vlookup(C542,'NOC-List'!B$2:C$502,2,False)</f>
        <v>Receptionists</v>
      </c>
      <c r="F542" s="72">
        <v>3.0</v>
      </c>
      <c r="G542" s="72">
        <v>3.0</v>
      </c>
      <c r="H542" s="72">
        <v>3.0</v>
      </c>
      <c r="I542" s="72">
        <v>4.0</v>
      </c>
      <c r="J542" s="72">
        <v>4.0</v>
      </c>
      <c r="K542" s="72">
        <v>3.0</v>
      </c>
      <c r="L542" s="72">
        <v>3.0</v>
      </c>
      <c r="M542" s="72">
        <v>3.0</v>
      </c>
      <c r="N542" s="72">
        <v>3.0</v>
      </c>
      <c r="O542" s="73"/>
    </row>
    <row r="543" ht="15.75" customHeight="1">
      <c r="C543" s="81">
        <v>7512.0</v>
      </c>
      <c r="D543" s="70" t="s">
        <v>694</v>
      </c>
      <c r="E543" s="71" t="str">
        <f>vlookup(C543,'NOC-List'!B$2:C$502,2,False)</f>
        <v>Bus drivers, subway operators and other transit operators</v>
      </c>
      <c r="F543" s="72">
        <v>3.0</v>
      </c>
      <c r="G543" s="72">
        <v>4.0</v>
      </c>
      <c r="H543" s="72">
        <v>4.0</v>
      </c>
      <c r="I543" s="72">
        <v>4.0</v>
      </c>
      <c r="J543" s="72">
        <v>4.0</v>
      </c>
      <c r="K543" s="72">
        <v>4.0</v>
      </c>
      <c r="L543" s="72">
        <v>3.0</v>
      </c>
      <c r="M543" s="72">
        <v>4.0</v>
      </c>
      <c r="N543" s="72">
        <v>3.0</v>
      </c>
      <c r="O543" s="73"/>
    </row>
    <row r="544" ht="15.75" customHeight="1">
      <c r="C544" s="34">
        <v>7513.0</v>
      </c>
      <c r="D544" s="70" t="s">
        <v>695</v>
      </c>
      <c r="E544" s="71" t="str">
        <f>vlookup(C544,'NOC-List'!B$2:C$502,2,False)</f>
        <v>Taxi and limousine drivers and chauffeurs</v>
      </c>
      <c r="F544" s="72">
        <v>4.0</v>
      </c>
      <c r="G544" s="72">
        <v>4.0</v>
      </c>
      <c r="H544" s="72">
        <v>4.0</v>
      </c>
      <c r="I544" s="72">
        <v>3.0</v>
      </c>
      <c r="J544" s="72">
        <v>4.0</v>
      </c>
      <c r="K544" s="72">
        <v>4.0</v>
      </c>
      <c r="L544" s="72">
        <v>3.0</v>
      </c>
      <c r="M544" s="72">
        <v>4.0</v>
      </c>
      <c r="N544" s="72">
        <v>3.0</v>
      </c>
      <c r="O544" s="73"/>
    </row>
    <row r="545" ht="15.75" customHeight="1">
      <c r="C545" s="81">
        <v>9447.0</v>
      </c>
      <c r="D545" s="70" t="s">
        <v>696</v>
      </c>
      <c r="E545" s="71" t="str">
        <f>vlookup(C545,'NOC-List'!B$2:C$502,2,False)</f>
        <v>Inspectors and graders, textile, fabric, fur and leather products manufacturing</v>
      </c>
      <c r="F545" s="72">
        <v>3.0</v>
      </c>
      <c r="G545" s="72">
        <v>4.0</v>
      </c>
      <c r="H545" s="72">
        <v>4.0</v>
      </c>
      <c r="I545" s="72">
        <v>4.0</v>
      </c>
      <c r="J545" s="72">
        <v>3.0</v>
      </c>
      <c r="K545" s="72">
        <v>4.0</v>
      </c>
      <c r="L545" s="72">
        <v>4.0</v>
      </c>
      <c r="M545" s="72">
        <v>4.0</v>
      </c>
      <c r="N545" s="72">
        <v>3.0</v>
      </c>
      <c r="O545" s="73"/>
    </row>
    <row r="546" ht="15.75" customHeight="1">
      <c r="C546" s="34">
        <v>9243.0</v>
      </c>
      <c r="D546" s="70" t="s">
        <v>697</v>
      </c>
      <c r="E546" s="71" t="str">
        <f>vlookup(C546,'NOC-List'!B$2:C$502,2,False)</f>
        <v>Water and waste treatment plant operators</v>
      </c>
      <c r="F546" s="72">
        <v>3.0</v>
      </c>
      <c r="G546" s="72">
        <v>3.0</v>
      </c>
      <c r="H546" s="72">
        <v>3.0</v>
      </c>
      <c r="I546" s="72">
        <v>3.0</v>
      </c>
      <c r="J546" s="72">
        <v>3.0</v>
      </c>
      <c r="K546" s="72">
        <v>3.0</v>
      </c>
      <c r="L546" s="72">
        <v>4.0</v>
      </c>
      <c r="M546" s="72">
        <v>4.0</v>
      </c>
      <c r="N546" s="72">
        <v>3.0</v>
      </c>
      <c r="O546" s="73"/>
    </row>
    <row r="547" ht="15.75" customHeight="1">
      <c r="C547" s="81">
        <v>9243.0</v>
      </c>
      <c r="D547" s="70" t="s">
        <v>698</v>
      </c>
      <c r="E547" s="71" t="str">
        <f>vlookup(C547,'NOC-List'!B$2:C$502,2,False)</f>
        <v>Water and waste treatment plant operators</v>
      </c>
      <c r="F547" s="72">
        <v>3.0</v>
      </c>
      <c r="G547" s="72">
        <v>3.0</v>
      </c>
      <c r="H547" s="72">
        <v>3.0</v>
      </c>
      <c r="I547" s="72">
        <v>3.0</v>
      </c>
      <c r="J547" s="72">
        <v>3.0</v>
      </c>
      <c r="K547" s="72">
        <v>3.0</v>
      </c>
      <c r="L547" s="72">
        <v>4.0</v>
      </c>
      <c r="M547" s="72">
        <v>4.0</v>
      </c>
      <c r="N547" s="72">
        <v>3.0</v>
      </c>
      <c r="O547" s="73"/>
    </row>
    <row r="548" ht="15.75" customHeight="1">
      <c r="C548" s="34">
        <v>7373.0</v>
      </c>
      <c r="D548" s="70" t="s">
        <v>699</v>
      </c>
      <c r="E548" s="71" t="str">
        <f>vlookup(C548,'NOC-List'!B$2:C$502,2,False)</f>
        <v>Water well drillers</v>
      </c>
      <c r="F548" s="72">
        <v>3.0</v>
      </c>
      <c r="G548" s="72">
        <v>3.0</v>
      </c>
      <c r="H548" s="72">
        <v>4.0</v>
      </c>
      <c r="I548" s="72">
        <v>3.0</v>
      </c>
      <c r="J548" s="72">
        <v>4.0</v>
      </c>
      <c r="K548" s="72">
        <v>4.0</v>
      </c>
      <c r="L548" s="72">
        <v>3.0</v>
      </c>
      <c r="M548" s="72">
        <v>4.0</v>
      </c>
      <c r="N548" s="72">
        <v>3.0</v>
      </c>
      <c r="O548" s="73"/>
    </row>
    <row r="549" ht="15.75" customHeight="1">
      <c r="C549" s="34">
        <v>7283.0</v>
      </c>
      <c r="D549" s="70" t="s">
        <v>700</v>
      </c>
      <c r="E549" s="71" t="str">
        <f>vlookup(C549,'NOC-List'!B$2:C$502,2,False)</f>
        <v>Tilesetters</v>
      </c>
      <c r="F549" s="72">
        <v>3.0</v>
      </c>
      <c r="G549" s="72">
        <v>4.0</v>
      </c>
      <c r="H549" s="72">
        <v>3.0</v>
      </c>
      <c r="I549" s="72">
        <v>3.0</v>
      </c>
      <c r="J549" s="72">
        <v>4.0</v>
      </c>
      <c r="K549" s="72">
        <v>4.0</v>
      </c>
      <c r="L549" s="72">
        <v>3.0</v>
      </c>
      <c r="M549" s="72">
        <v>4.0</v>
      </c>
      <c r="N549" s="72">
        <v>3.0</v>
      </c>
      <c r="O549" s="73"/>
    </row>
    <row r="550" ht="15.75" customHeight="1">
      <c r="C550" s="34">
        <v>8411.0</v>
      </c>
      <c r="D550" s="70" t="s">
        <v>701</v>
      </c>
      <c r="E550" s="71" t="str">
        <f>vlookup(C550,'NOC-List'!B$2:C$502,2,False)</f>
        <v>Underground mine service and support workers</v>
      </c>
      <c r="F550" s="72">
        <v>3.0</v>
      </c>
      <c r="G550" s="72">
        <v>4.0</v>
      </c>
      <c r="H550" s="72">
        <v>4.0</v>
      </c>
      <c r="I550" s="72">
        <v>3.0</v>
      </c>
      <c r="J550" s="72">
        <v>4.0</v>
      </c>
      <c r="K550" s="72">
        <v>5.0</v>
      </c>
      <c r="L550" s="72">
        <v>3.0</v>
      </c>
      <c r="M550" s="72">
        <v>4.0</v>
      </c>
      <c r="N550" s="72">
        <v>3.0</v>
      </c>
      <c r="O550" s="73"/>
    </row>
    <row r="551" ht="15.75" customHeight="1">
      <c r="C551" s="34">
        <v>7442.0</v>
      </c>
      <c r="D551" s="70" t="s">
        <v>702</v>
      </c>
      <c r="E551" s="71" t="str">
        <f>vlookup(C551,'NOC-List'!B$2:C$502,2,False)</f>
        <v>Waterworks and gas maintenance workers</v>
      </c>
      <c r="F551" s="72">
        <v>3.0</v>
      </c>
      <c r="G551" s="72">
        <v>4.0</v>
      </c>
      <c r="H551" s="72">
        <v>4.0</v>
      </c>
      <c r="I551" s="72">
        <v>4.0</v>
      </c>
      <c r="J551" s="72">
        <v>4.0</v>
      </c>
      <c r="K551" s="72">
        <v>4.0</v>
      </c>
      <c r="L551" s="72">
        <v>3.0</v>
      </c>
      <c r="M551" s="72">
        <v>4.0</v>
      </c>
      <c r="N551" s="72">
        <v>3.0</v>
      </c>
      <c r="O551" s="73"/>
    </row>
    <row r="552" ht="15.75" customHeight="1">
      <c r="C552" s="34">
        <v>7237.0</v>
      </c>
      <c r="D552" s="70" t="s">
        <v>703</v>
      </c>
      <c r="E552" s="71" t="str">
        <f>vlookup(C552,'NOC-List'!B$2:C$502,2,False)</f>
        <v>Welders and related machine operators</v>
      </c>
      <c r="F552" s="72">
        <v>3.0</v>
      </c>
      <c r="G552" s="72">
        <v>4.0</v>
      </c>
      <c r="H552" s="72">
        <v>4.0</v>
      </c>
      <c r="I552" s="72">
        <v>3.0</v>
      </c>
      <c r="J552" s="72">
        <v>3.0</v>
      </c>
      <c r="K552" s="72">
        <v>5.0</v>
      </c>
      <c r="L552" s="72">
        <v>4.0</v>
      </c>
      <c r="M552" s="72">
        <v>4.0</v>
      </c>
      <c r="N552" s="72">
        <v>3.0</v>
      </c>
      <c r="O552" s="73"/>
    </row>
    <row r="553" ht="15.75" customHeight="1">
      <c r="C553" s="34">
        <v>5135.0</v>
      </c>
      <c r="D553" s="70" t="s">
        <v>704</v>
      </c>
      <c r="E553" s="71" t="str">
        <f>vlookup(C553,'NOC-List'!B$2:C$502,2,False)</f>
        <v>Actors and comedians</v>
      </c>
      <c r="F553" s="72">
        <v>2.0</v>
      </c>
      <c r="G553" s="72">
        <v>2.0</v>
      </c>
      <c r="H553" s="72">
        <v>4.0</v>
      </c>
      <c r="I553" s="72">
        <v>3.0</v>
      </c>
      <c r="J553" s="72">
        <v>3.0</v>
      </c>
      <c r="K553" s="72">
        <v>4.0</v>
      </c>
      <c r="L553" s="72">
        <v>4.0</v>
      </c>
      <c r="M553" s="72">
        <v>4.0</v>
      </c>
      <c r="N553" s="72">
        <v>4.0</v>
      </c>
      <c r="O553" s="73"/>
    </row>
    <row r="554" ht="15.75" customHeight="1">
      <c r="C554" s="34">
        <v>5135.0</v>
      </c>
      <c r="D554" s="70" t="s">
        <v>705</v>
      </c>
      <c r="E554" s="71" t="str">
        <f>vlookup(C554,'NOC-List'!B$2:C$502,2,False)</f>
        <v>Actors and comedians</v>
      </c>
      <c r="F554" s="72">
        <v>2.0</v>
      </c>
      <c r="G554" s="72">
        <v>2.0</v>
      </c>
      <c r="H554" s="72">
        <v>4.0</v>
      </c>
      <c r="I554" s="72">
        <v>3.0</v>
      </c>
      <c r="J554" s="72">
        <v>3.0</v>
      </c>
      <c r="K554" s="72">
        <v>4.0</v>
      </c>
      <c r="L554" s="72">
        <v>4.0</v>
      </c>
      <c r="M554" s="72">
        <v>4.0</v>
      </c>
      <c r="N554" s="72">
        <v>4.0</v>
      </c>
      <c r="O554" s="73"/>
    </row>
    <row r="555" ht="15.75" customHeight="1">
      <c r="C555" s="34">
        <v>9437.0</v>
      </c>
      <c r="D555" s="70" t="s">
        <v>706</v>
      </c>
      <c r="E555" s="71" t="str">
        <f>vlookup(C555,'NOC-List'!B$2:C$502,2,False)</f>
        <v>Woodworking machine operators</v>
      </c>
      <c r="F555" s="72">
        <v>4.0</v>
      </c>
      <c r="G555" s="72">
        <v>4.0</v>
      </c>
      <c r="H555" s="72">
        <v>4.0</v>
      </c>
      <c r="I555" s="72">
        <v>4.0</v>
      </c>
      <c r="J555" s="72">
        <v>3.0</v>
      </c>
      <c r="K555" s="72">
        <v>4.0</v>
      </c>
      <c r="L555" s="72">
        <v>3.0</v>
      </c>
      <c r="M555" s="72">
        <v>4.0</v>
      </c>
      <c r="N555" s="72">
        <v>3.0</v>
      </c>
      <c r="O555" s="73"/>
    </row>
    <row r="556" ht="15.75" customHeight="1">
      <c r="C556" s="34">
        <v>1314.0</v>
      </c>
      <c r="D556" s="70" t="s">
        <v>707</v>
      </c>
      <c r="E556" s="71" t="str">
        <f>vlookup(C556,'NOC-List'!B$2:C$502,2,False)</f>
        <v>Assessors, valuators and appraisers</v>
      </c>
      <c r="F556" s="72">
        <v>2.0</v>
      </c>
      <c r="G556" s="72">
        <v>3.0</v>
      </c>
      <c r="H556" s="72">
        <v>2.0</v>
      </c>
      <c r="I556" s="72">
        <v>3.0</v>
      </c>
      <c r="J556" s="72">
        <v>3.0</v>
      </c>
      <c r="K556" s="72">
        <v>3.0</v>
      </c>
      <c r="L556" s="72">
        <v>4.0</v>
      </c>
      <c r="M556" s="72">
        <v>4.0</v>
      </c>
      <c r="N556" s="72">
        <v>4.0</v>
      </c>
      <c r="O556" s="73"/>
    </row>
    <row r="557" ht="15.75" customHeight="1">
      <c r="C557" s="83">
        <v>823.0</v>
      </c>
      <c r="D557" s="70" t="s">
        <v>708</v>
      </c>
      <c r="E557" s="71" t="str">
        <f>vlookup(C557,'NOC-List'!B$2:C$502,2,False)</f>
        <v>Managers in aquaculture</v>
      </c>
      <c r="F557" s="72">
        <v>3.0</v>
      </c>
      <c r="G557" s="72">
        <v>3.0</v>
      </c>
      <c r="H557" s="72">
        <v>4.0</v>
      </c>
      <c r="I557" s="72">
        <v>4.0</v>
      </c>
      <c r="J557" s="72">
        <v>3.0</v>
      </c>
      <c r="K557" s="72">
        <v>4.0</v>
      </c>
      <c r="L557" s="72">
        <v>4.0</v>
      </c>
      <c r="M557" s="72">
        <v>4.0</v>
      </c>
      <c r="N557" s="72">
        <v>3.0</v>
      </c>
      <c r="O557" s="73"/>
    </row>
    <row r="558" ht="15.75" customHeight="1">
      <c r="C558" s="34">
        <v>7361.0</v>
      </c>
      <c r="D558" s="70" t="s">
        <v>709</v>
      </c>
      <c r="E558" s="71" t="str">
        <f>vlookup(C558,'NOC-List'!B$2:C$502,2,False)</f>
        <v>Railway and yard locomotive engineers</v>
      </c>
      <c r="F558" s="72">
        <v>3.0</v>
      </c>
      <c r="G558" s="72">
        <v>4.0</v>
      </c>
      <c r="H558" s="72">
        <v>4.0</v>
      </c>
      <c r="I558" s="72">
        <v>3.0</v>
      </c>
      <c r="J558" s="72">
        <v>4.0</v>
      </c>
      <c r="K558" s="72">
        <v>4.0</v>
      </c>
      <c r="L558" s="72">
        <v>4.0</v>
      </c>
      <c r="M558" s="72">
        <v>4.0</v>
      </c>
      <c r="N558" s="72">
        <v>3.0</v>
      </c>
      <c r="O558" s="73"/>
    </row>
    <row r="559" ht="15.75" customHeight="1">
      <c r="C559" s="34">
        <v>1314.0</v>
      </c>
      <c r="D559" s="70" t="s">
        <v>710</v>
      </c>
      <c r="E559" s="71" t="str">
        <f>vlookup(C559,'NOC-List'!B$2:C$502,2,False)</f>
        <v>Assessors, valuators and appraisers</v>
      </c>
      <c r="F559" s="72">
        <v>2.0</v>
      </c>
      <c r="G559" s="72">
        <v>3.0</v>
      </c>
      <c r="H559" s="72">
        <v>2.0</v>
      </c>
      <c r="I559" s="72">
        <v>3.0</v>
      </c>
      <c r="J559" s="72">
        <v>3.0</v>
      </c>
      <c r="K559" s="72">
        <v>3.0</v>
      </c>
      <c r="L559" s="72">
        <v>4.0</v>
      </c>
      <c r="M559" s="72">
        <v>4.0</v>
      </c>
      <c r="N559" s="72">
        <v>4.0</v>
      </c>
      <c r="O559" s="73"/>
    </row>
    <row r="560" ht="15.75" customHeight="1">
      <c r="C560" s="34">
        <v>3141.0</v>
      </c>
      <c r="D560" s="70" t="s">
        <v>711</v>
      </c>
      <c r="E560" s="71" t="str">
        <f>vlookup(C560,'NOC-List'!B$2:C$502,2,False)</f>
        <v>Audiologists and speech-language pathologists</v>
      </c>
      <c r="F560" s="72">
        <v>2.0</v>
      </c>
      <c r="G560" s="72">
        <v>2.0</v>
      </c>
      <c r="H560" s="72">
        <v>3.0</v>
      </c>
      <c r="I560" s="72">
        <v>3.0</v>
      </c>
      <c r="J560" s="72">
        <v>3.0</v>
      </c>
      <c r="K560" s="72">
        <v>3.0</v>
      </c>
      <c r="L560" s="72">
        <v>4.0</v>
      </c>
      <c r="M560" s="72">
        <v>4.0</v>
      </c>
      <c r="N560" s="72">
        <v>4.0</v>
      </c>
      <c r="O560" s="73"/>
    </row>
    <row r="561" ht="15.75" customHeight="1">
      <c r="C561" s="34">
        <v>1434.0</v>
      </c>
      <c r="D561" s="70" t="s">
        <v>712</v>
      </c>
      <c r="E561" s="71" t="str">
        <f>vlookup(C561,'NOC-List'!B$2:C$502,2,False)</f>
        <v>Banking, insurance and other financial clerks</v>
      </c>
      <c r="F561" s="72">
        <v>3.0</v>
      </c>
      <c r="G561" s="72">
        <v>3.0</v>
      </c>
      <c r="H561" s="72">
        <v>3.0</v>
      </c>
      <c r="I561" s="72">
        <v>4.0</v>
      </c>
      <c r="J561" s="72">
        <v>4.0</v>
      </c>
      <c r="K561" s="72">
        <v>3.0</v>
      </c>
      <c r="L561" s="72">
        <v>3.0</v>
      </c>
      <c r="M561" s="72">
        <v>3.0</v>
      </c>
      <c r="N561" s="72">
        <v>4.0</v>
      </c>
      <c r="O561" s="73"/>
    </row>
    <row r="562" ht="15.75" customHeight="1">
      <c r="C562" s="34">
        <v>2221.0</v>
      </c>
      <c r="D562" s="70" t="s">
        <v>713</v>
      </c>
      <c r="E562" s="71" t="str">
        <f>vlookup(C562,'NOC-List'!B$2:C$502,2,False)</f>
        <v>Biological technologists and technicians</v>
      </c>
      <c r="F562" s="72">
        <v>2.0</v>
      </c>
      <c r="G562" s="72">
        <v>2.0</v>
      </c>
      <c r="H562" s="72">
        <v>2.0</v>
      </c>
      <c r="I562" s="72">
        <v>3.0</v>
      </c>
      <c r="J562" s="72">
        <v>2.0</v>
      </c>
      <c r="K562" s="72">
        <v>3.0</v>
      </c>
      <c r="L562" s="72">
        <v>3.0</v>
      </c>
      <c r="M562" s="72">
        <v>2.0</v>
      </c>
      <c r="N562" s="72">
        <v>3.0</v>
      </c>
      <c r="O562" s="73"/>
    </row>
    <row r="563" ht="15.75" customHeight="1">
      <c r="C563" s="34">
        <v>7534.0</v>
      </c>
      <c r="D563" s="70" t="s">
        <v>714</v>
      </c>
      <c r="E563" s="71" t="str">
        <f>vlookup(C563,'NOC-List'!B$2:C$502,2,False)</f>
        <v>Air transport ramp attendants</v>
      </c>
      <c r="F563" s="72">
        <v>4.0</v>
      </c>
      <c r="G563" s="72">
        <v>4.0</v>
      </c>
      <c r="H563" s="72">
        <v>4.0</v>
      </c>
      <c r="I563" s="72">
        <v>3.0</v>
      </c>
      <c r="J563" s="72">
        <v>4.0</v>
      </c>
      <c r="K563" s="72">
        <v>4.0</v>
      </c>
      <c r="L563" s="72">
        <v>4.0</v>
      </c>
      <c r="M563" s="72">
        <v>4.0</v>
      </c>
      <c r="N563" s="72">
        <v>3.0</v>
      </c>
      <c r="O563" s="73"/>
    </row>
    <row r="564" ht="15.75" customHeight="1">
      <c r="C564" s="34">
        <v>9423.0</v>
      </c>
      <c r="D564" s="70" t="s">
        <v>715</v>
      </c>
      <c r="E564" s="71" t="str">
        <f>vlookup(C564,'NOC-List'!B$2:C$502,2,False)</f>
        <v>Rubber processing machine operators and related workers</v>
      </c>
      <c r="F564" s="72">
        <v>4.0</v>
      </c>
      <c r="G564" s="72">
        <v>4.0</v>
      </c>
      <c r="H564" s="72">
        <v>4.0</v>
      </c>
      <c r="I564" s="72">
        <v>4.0</v>
      </c>
      <c r="J564" s="72">
        <v>4.0</v>
      </c>
      <c r="K564" s="72">
        <v>4.0</v>
      </c>
      <c r="L564" s="72">
        <v>3.0</v>
      </c>
      <c r="M564" s="72">
        <v>4.0</v>
      </c>
      <c r="N564" s="72">
        <v>3.0</v>
      </c>
      <c r="O564" s="73"/>
    </row>
    <row r="565" ht="15.75" customHeight="1">
      <c r="C565" s="34">
        <v>3414.0</v>
      </c>
      <c r="D565" s="70" t="s">
        <v>716</v>
      </c>
      <c r="E565" s="71" t="str">
        <f>vlookup(C565,'NOC-List'!B$2:C$502,2,False)</f>
        <v>Other assisting occupations in support of health services</v>
      </c>
      <c r="F565" s="72">
        <v>4.0</v>
      </c>
      <c r="G565" s="72">
        <v>4.0</v>
      </c>
      <c r="H565" s="72">
        <v>4.0</v>
      </c>
      <c r="I565" s="72">
        <v>4.0</v>
      </c>
      <c r="J565" s="72">
        <v>4.0</v>
      </c>
      <c r="K565" s="72">
        <v>3.0</v>
      </c>
      <c r="L565" s="72">
        <v>4.0</v>
      </c>
      <c r="M565" s="72">
        <v>4.0</v>
      </c>
      <c r="N565" s="72">
        <v>3.0</v>
      </c>
      <c r="O565" s="73"/>
    </row>
    <row r="566" ht="15.75" customHeight="1">
      <c r="C566" s="34">
        <v>3217.0</v>
      </c>
      <c r="D566" s="70" t="s">
        <v>717</v>
      </c>
      <c r="E566" s="71" t="str">
        <f>vlookup(C566,'NOC-List'!B$2:C$502,2,False)</f>
        <v>Cardiology technologists and electrophysiological diagnostic technologists, n.e.c.</v>
      </c>
      <c r="F566" s="72">
        <v>3.0</v>
      </c>
      <c r="G566" s="72">
        <v>3.0</v>
      </c>
      <c r="H566" s="72">
        <v>3.0</v>
      </c>
      <c r="I566" s="72">
        <v>3.0</v>
      </c>
      <c r="J566" s="72">
        <v>2.0</v>
      </c>
      <c r="K566" s="72">
        <v>4.0</v>
      </c>
      <c r="L566" s="72">
        <v>4.0</v>
      </c>
      <c r="M566" s="72">
        <v>3.0</v>
      </c>
      <c r="N566" s="72">
        <v>3.0</v>
      </c>
      <c r="O566" s="73"/>
    </row>
    <row r="567" ht="15.75" customHeight="1">
      <c r="C567" s="34">
        <v>7362.0</v>
      </c>
      <c r="D567" s="70" t="s">
        <v>718</v>
      </c>
      <c r="E567" s="71" t="str">
        <f>vlookup(C567,'NOC-List'!B$2:C$502,2,False)</f>
        <v>Railway conductors and brakemen/women</v>
      </c>
      <c r="F567" s="72">
        <v>3.0</v>
      </c>
      <c r="G567" s="72">
        <v>4.0</v>
      </c>
      <c r="H567" s="72">
        <v>4.0</v>
      </c>
      <c r="I567" s="72">
        <v>4.0</v>
      </c>
      <c r="J567" s="72">
        <v>4.0</v>
      </c>
      <c r="K567" s="72">
        <v>4.0</v>
      </c>
      <c r="L567" s="72">
        <v>4.0</v>
      </c>
      <c r="M567" s="72">
        <v>4.0</v>
      </c>
      <c r="N567" s="72">
        <v>3.0</v>
      </c>
      <c r="O567" s="73"/>
    </row>
    <row r="568" ht="15.75" customHeight="1">
      <c r="C568" s="34">
        <v>9231.0</v>
      </c>
      <c r="D568" s="70" t="s">
        <v>719</v>
      </c>
      <c r="E568" s="71" t="str">
        <f>vlookup(C568,'NOC-List'!B$2:C$502,2,False)</f>
        <v>Central control and process operators, mineral and metal processing</v>
      </c>
      <c r="F568" s="72">
        <v>3.0</v>
      </c>
      <c r="G568" s="72">
        <v>3.0</v>
      </c>
      <c r="H568" s="72">
        <v>3.0</v>
      </c>
      <c r="I568" s="72">
        <v>3.0</v>
      </c>
      <c r="J568" s="72">
        <v>3.0</v>
      </c>
      <c r="K568" s="72">
        <v>3.0</v>
      </c>
      <c r="L568" s="72">
        <v>4.0</v>
      </c>
      <c r="M568" s="72">
        <v>4.0</v>
      </c>
      <c r="N568" s="72">
        <v>4.0</v>
      </c>
      <c r="O568" s="73"/>
    </row>
    <row r="569" ht="15.75" customHeight="1">
      <c r="C569" s="34">
        <v>4021.0</v>
      </c>
      <c r="D569" s="70" t="s">
        <v>720</v>
      </c>
      <c r="E569" s="71" t="str">
        <f>vlookup(C569,'NOC-List'!B$2:C$502,2,False)</f>
        <v>College and other vocational instructors</v>
      </c>
      <c r="F569" s="72">
        <v>2.0</v>
      </c>
      <c r="G569" s="72">
        <v>2.0</v>
      </c>
      <c r="H569" s="72">
        <v>3.0</v>
      </c>
      <c r="I569" s="72">
        <v>3.0</v>
      </c>
      <c r="J569" s="72">
        <v>3.0</v>
      </c>
      <c r="K569" s="72">
        <v>3.0</v>
      </c>
      <c r="L569" s="72">
        <v>4.0</v>
      </c>
      <c r="M569" s="72">
        <v>4.0</v>
      </c>
      <c r="N569" s="72">
        <v>4.0</v>
      </c>
      <c r="O569" s="73"/>
    </row>
    <row r="570" ht="15.75" customHeight="1">
      <c r="C570" s="81">
        <v>433.0</v>
      </c>
      <c r="D570" s="70" t="s">
        <v>721</v>
      </c>
      <c r="E570" s="71" t="str">
        <f>vlookup(C570,'NOC-List'!B$2:C$502,2,False)</f>
        <v>Commissioned officers of the Canadian Forces</v>
      </c>
      <c r="F570" s="72">
        <v>2.0</v>
      </c>
      <c r="G570" s="72">
        <v>3.0</v>
      </c>
      <c r="H570" s="72">
        <v>4.0</v>
      </c>
      <c r="I570" s="72">
        <v>3.0</v>
      </c>
      <c r="J570" s="72">
        <v>4.0</v>
      </c>
      <c r="K570" s="72">
        <v>4.0</v>
      </c>
      <c r="L570" s="72">
        <v>4.0</v>
      </c>
      <c r="M570" s="72">
        <v>4.0</v>
      </c>
      <c r="N570" s="72">
        <v>4.0</v>
      </c>
      <c r="O570" s="73"/>
    </row>
    <row r="571" ht="15.75" customHeight="1">
      <c r="C571" s="34">
        <v>1123.0</v>
      </c>
      <c r="D571" s="70" t="s">
        <v>722</v>
      </c>
      <c r="E571" s="71" t="str">
        <f>vlookup(C571,'NOC-List'!B$2:C$502,2,False)</f>
        <v>Professional occupations in advertising, marketing and public relations</v>
      </c>
      <c r="F571" s="72">
        <v>3.0</v>
      </c>
      <c r="G571" s="72">
        <v>3.0</v>
      </c>
      <c r="H571" s="72">
        <v>4.0</v>
      </c>
      <c r="I571" s="72">
        <v>4.0</v>
      </c>
      <c r="J571" s="72">
        <v>4.0</v>
      </c>
      <c r="K571" s="72">
        <v>4.0</v>
      </c>
      <c r="L571" s="72">
        <v>4.0</v>
      </c>
      <c r="M571" s="72">
        <v>3.0</v>
      </c>
      <c r="N571" s="72">
        <v>3.0</v>
      </c>
      <c r="O571" s="73"/>
    </row>
    <row r="572" ht="15.75" customHeight="1">
      <c r="C572" s="81">
        <v>8241.0</v>
      </c>
      <c r="D572" s="70" t="s">
        <v>723</v>
      </c>
      <c r="E572" s="71" t="str">
        <f>vlookup(C572,'NOC-List'!B$2:C$502,2,False)</f>
        <v>Logging machinery operators</v>
      </c>
      <c r="F572" s="72">
        <v>3.0</v>
      </c>
      <c r="G572" s="72">
        <v>4.0</v>
      </c>
      <c r="H572" s="72">
        <v>5.0</v>
      </c>
      <c r="I572" s="72">
        <v>3.0</v>
      </c>
      <c r="J572" s="72">
        <v>4.0</v>
      </c>
      <c r="K572" s="72">
        <v>5.0</v>
      </c>
      <c r="L572" s="72">
        <v>3.0</v>
      </c>
      <c r="M572" s="72">
        <v>4.0</v>
      </c>
      <c r="N572" s="72">
        <v>3.0</v>
      </c>
      <c r="O572" s="73"/>
    </row>
    <row r="573" ht="15.75" customHeight="1">
      <c r="C573" s="34">
        <v>2264.0</v>
      </c>
      <c r="D573" s="70" t="s">
        <v>724</v>
      </c>
      <c r="E573" s="71" t="str">
        <f>vlookup(C573,'NOC-List'!B$2:C$502,2,False)</f>
        <v>Construction inspectors</v>
      </c>
      <c r="F573" s="72">
        <v>2.0</v>
      </c>
      <c r="G573" s="72">
        <v>3.0</v>
      </c>
      <c r="H573" s="72">
        <v>3.0</v>
      </c>
      <c r="I573" s="72">
        <v>2.0</v>
      </c>
      <c r="J573" s="72">
        <v>2.0</v>
      </c>
      <c r="K573" s="72">
        <v>4.0</v>
      </c>
      <c r="L573" s="72">
        <v>4.0</v>
      </c>
      <c r="M573" s="72">
        <v>4.0</v>
      </c>
      <c r="N573" s="72">
        <v>4.0</v>
      </c>
      <c r="O573" s="73"/>
    </row>
    <row r="574" ht="15.75" customHeight="1">
      <c r="C574" s="34">
        <v>6322.0</v>
      </c>
      <c r="D574" s="70" t="s">
        <v>725</v>
      </c>
      <c r="E574" s="71" t="str">
        <f>vlookup(C574,'NOC-List'!B$2:C$502,2,False)</f>
        <v>Cooks</v>
      </c>
      <c r="F574" s="72">
        <v>3.0</v>
      </c>
      <c r="G574" s="72">
        <v>3.0</v>
      </c>
      <c r="H574" s="72">
        <v>3.0</v>
      </c>
      <c r="I574" s="72">
        <v>4.0</v>
      </c>
      <c r="J574" s="72">
        <v>3.0</v>
      </c>
      <c r="K574" s="72">
        <v>4.0</v>
      </c>
      <c r="L574" s="72">
        <v>3.0</v>
      </c>
      <c r="M574" s="72">
        <v>4.0</v>
      </c>
      <c r="N574" s="72">
        <v>3.0</v>
      </c>
      <c r="O574" s="73"/>
    </row>
    <row r="575" ht="15.75" customHeight="1">
      <c r="C575" s="34">
        <v>5121.0</v>
      </c>
      <c r="D575" s="70" t="s">
        <v>726</v>
      </c>
      <c r="E575" s="71" t="str">
        <f>vlookup(C575,'NOC-List'!B$2:C$502,2,False)</f>
        <v>Authors and writers</v>
      </c>
      <c r="F575" s="72">
        <v>2.0</v>
      </c>
      <c r="G575" s="72">
        <v>1.0</v>
      </c>
      <c r="H575" s="72">
        <v>4.0</v>
      </c>
      <c r="I575" s="72">
        <v>3.0</v>
      </c>
      <c r="J575" s="72">
        <v>3.0</v>
      </c>
      <c r="K575" s="72">
        <v>3.0</v>
      </c>
      <c r="L575" s="72">
        <v>4.0</v>
      </c>
      <c r="M575" s="72">
        <v>4.0</v>
      </c>
      <c r="N575" s="72">
        <v>4.0</v>
      </c>
      <c r="O575" s="73"/>
    </row>
    <row r="576" ht="15.75" customHeight="1">
      <c r="C576" s="34">
        <v>6611.0</v>
      </c>
      <c r="D576" s="70" t="s">
        <v>727</v>
      </c>
      <c r="E576" s="71" t="str">
        <f>vlookup(C576,'NOC-List'!B$2:C$502,2,False)</f>
        <v>Cashiers</v>
      </c>
      <c r="F576" s="72">
        <v>4.0</v>
      </c>
      <c r="G576" s="72">
        <v>4.0</v>
      </c>
      <c r="H576" s="72">
        <v>3.0</v>
      </c>
      <c r="I576" s="72">
        <v>4.0</v>
      </c>
      <c r="J576" s="72">
        <v>4.0</v>
      </c>
      <c r="K576" s="72">
        <v>3.0</v>
      </c>
      <c r="L576" s="72">
        <v>3.0</v>
      </c>
      <c r="M576" s="72">
        <v>3.0</v>
      </c>
      <c r="N576" s="72">
        <v>4.0</v>
      </c>
      <c r="O576" s="73"/>
    </row>
    <row r="577" ht="15.75" customHeight="1">
      <c r="C577" s="34">
        <v>1228.0</v>
      </c>
      <c r="D577" s="70" t="s">
        <v>728</v>
      </c>
      <c r="E577" s="71" t="str">
        <f>vlookup(C577,'NOC-List'!B$2:C$502,2,False)</f>
        <v>Employment insurance, immigration, border services and revenue officers</v>
      </c>
      <c r="F577" s="72">
        <v>2.0</v>
      </c>
      <c r="G577" s="72">
        <v>2.0</v>
      </c>
      <c r="H577" s="72">
        <v>3.0</v>
      </c>
      <c r="I577" s="72">
        <v>4.0</v>
      </c>
      <c r="J577" s="72">
        <v>3.0</v>
      </c>
      <c r="K577" s="72">
        <v>3.0</v>
      </c>
      <c r="L577" s="72">
        <v>4.0</v>
      </c>
      <c r="M577" s="72">
        <v>4.0</v>
      </c>
      <c r="N577" s="72">
        <v>3.0</v>
      </c>
      <c r="O577" s="73"/>
    </row>
    <row r="578" ht="15.75" customHeight="1">
      <c r="C578" s="34">
        <v>7282.0</v>
      </c>
      <c r="D578" s="70" t="s">
        <v>729</v>
      </c>
      <c r="E578" s="71" t="str">
        <f>vlookup(C578,'NOC-List'!B$2:C$502,2,False)</f>
        <v>Concrete finishers</v>
      </c>
      <c r="F578" s="72">
        <v>3.0</v>
      </c>
      <c r="G578" s="72">
        <v>4.0</v>
      </c>
      <c r="H578" s="72">
        <v>4.0</v>
      </c>
      <c r="I578" s="72">
        <v>4.0</v>
      </c>
      <c r="J578" s="72">
        <v>4.0</v>
      </c>
      <c r="K578" s="72">
        <v>5.0</v>
      </c>
      <c r="L578" s="72">
        <v>3.0</v>
      </c>
      <c r="M578" s="72">
        <v>4.0</v>
      </c>
      <c r="N578" s="72">
        <v>3.0</v>
      </c>
      <c r="O578" s="73"/>
    </row>
    <row r="579" ht="15.75" customHeight="1">
      <c r="C579" s="34">
        <v>4216.0</v>
      </c>
      <c r="D579" s="70" t="s">
        <v>730</v>
      </c>
      <c r="E579" s="71" t="str">
        <f>vlookup(C579,'NOC-List'!B$2:C$502,2,False)</f>
        <v>Other instructors</v>
      </c>
      <c r="F579" s="72">
        <v>3.0</v>
      </c>
      <c r="G579" s="72">
        <v>3.0</v>
      </c>
      <c r="H579" s="72">
        <v>4.0</v>
      </c>
      <c r="I579" s="72">
        <v>3.0</v>
      </c>
      <c r="J579" s="72">
        <v>4.0</v>
      </c>
      <c r="K579" s="72">
        <v>3.0</v>
      </c>
      <c r="L579" s="72">
        <v>4.0</v>
      </c>
      <c r="M579" s="72">
        <v>4.0</v>
      </c>
      <c r="N579" s="72">
        <v>4.0</v>
      </c>
      <c r="O579" s="73"/>
    </row>
    <row r="580" ht="15.75" customHeight="1">
      <c r="C580" s="81">
        <v>1452.0</v>
      </c>
      <c r="D580" s="70" t="s">
        <v>630</v>
      </c>
      <c r="E580" s="71" t="str">
        <f>vlookup(C580,'NOC-List'!B$2:C$502,2,False)</f>
        <v>Correspondence, publication and regulatory clerks</v>
      </c>
      <c r="F580" s="72">
        <v>3.0</v>
      </c>
      <c r="G580" s="72">
        <v>3.0</v>
      </c>
      <c r="H580" s="72">
        <v>4.0</v>
      </c>
      <c r="I580" s="72">
        <v>4.0</v>
      </c>
      <c r="J580" s="72">
        <v>4.0</v>
      </c>
      <c r="K580" s="72">
        <v>2.0</v>
      </c>
      <c r="L580" s="72">
        <v>3.0</v>
      </c>
      <c r="M580" s="72">
        <v>3.0</v>
      </c>
      <c r="N580" s="72">
        <v>4.0</v>
      </c>
      <c r="O580" s="73"/>
    </row>
    <row r="581" ht="15.75" customHeight="1">
      <c r="C581" s="34">
        <v>3217.0</v>
      </c>
      <c r="D581" s="70" t="s">
        <v>731</v>
      </c>
      <c r="E581" s="71" t="str">
        <f>vlookup(C581,'NOC-List'!B$2:C$502,2,False)</f>
        <v>Cardiology technologists and electrophysiological diagnostic technologists, n.e.c.</v>
      </c>
      <c r="F581" s="72">
        <v>3.0</v>
      </c>
      <c r="G581" s="72">
        <v>3.0</v>
      </c>
      <c r="H581" s="72">
        <v>3.0</v>
      </c>
      <c r="I581" s="72">
        <v>3.0</v>
      </c>
      <c r="J581" s="72">
        <v>2.0</v>
      </c>
      <c r="K581" s="72">
        <v>4.0</v>
      </c>
      <c r="L581" s="72">
        <v>4.0</v>
      </c>
      <c r="M581" s="72">
        <v>3.0</v>
      </c>
      <c r="N581" s="72">
        <v>3.0</v>
      </c>
      <c r="O581" s="73"/>
    </row>
    <row r="582" ht="15.75" customHeight="1">
      <c r="C582" s="34">
        <v>6562.0</v>
      </c>
      <c r="D582" s="70" t="s">
        <v>732</v>
      </c>
      <c r="E582" s="71" t="str">
        <f>vlookup(C582,'NOC-List'!B$2:C$502,2,False)</f>
        <v>Estheticians, electrologists and related occupations</v>
      </c>
      <c r="F582" s="72">
        <v>3.0</v>
      </c>
      <c r="G582" s="72">
        <v>3.0</v>
      </c>
      <c r="H582" s="72">
        <v>4.0</v>
      </c>
      <c r="I582" s="72">
        <v>4.0</v>
      </c>
      <c r="J582" s="72">
        <v>2.0</v>
      </c>
      <c r="K582" s="72">
        <v>4.0</v>
      </c>
      <c r="L582" s="72">
        <v>3.0</v>
      </c>
      <c r="M582" s="72">
        <v>2.0</v>
      </c>
      <c r="N582" s="72">
        <v>3.0</v>
      </c>
      <c r="O582" s="73"/>
    </row>
    <row r="583" ht="15.75" customHeight="1">
      <c r="C583" s="34">
        <v>3217.0</v>
      </c>
      <c r="D583" s="70" t="s">
        <v>733</v>
      </c>
      <c r="E583" s="71" t="str">
        <f>vlookup(C583,'NOC-List'!B$2:C$502,2,False)</f>
        <v>Cardiology technologists and electrophysiological diagnostic technologists, n.e.c.</v>
      </c>
      <c r="F583" s="72">
        <v>3.0</v>
      </c>
      <c r="G583" s="72">
        <v>3.0</v>
      </c>
      <c r="H583" s="72">
        <v>3.0</v>
      </c>
      <c r="I583" s="72">
        <v>3.0</v>
      </c>
      <c r="J583" s="72">
        <v>2.0</v>
      </c>
      <c r="K583" s="72">
        <v>4.0</v>
      </c>
      <c r="L583" s="72">
        <v>4.0</v>
      </c>
      <c r="M583" s="72">
        <v>3.0</v>
      </c>
      <c r="N583" s="72">
        <v>3.0</v>
      </c>
      <c r="O583" s="73"/>
    </row>
    <row r="584" ht="15.75" customHeight="1">
      <c r="C584" s="34">
        <v>9523.0</v>
      </c>
      <c r="D584" s="70" t="s">
        <v>734</v>
      </c>
      <c r="E584" s="71" t="str">
        <f>vlookup(C584,'NOC-List'!B$2:C$502,2,False)</f>
        <v>Electronics assemblers, fabricators, inspectors and testers</v>
      </c>
      <c r="F584" s="72">
        <v>3.0</v>
      </c>
      <c r="G584" s="72">
        <v>3.0</v>
      </c>
      <c r="H584" s="72">
        <v>3.0</v>
      </c>
      <c r="I584" s="72">
        <v>4.0</v>
      </c>
      <c r="J584" s="72">
        <v>4.0</v>
      </c>
      <c r="K584" s="72">
        <v>4.0</v>
      </c>
      <c r="L584" s="72">
        <v>3.0</v>
      </c>
      <c r="M584" s="72">
        <v>3.0</v>
      </c>
      <c r="N584" s="72">
        <v>3.0</v>
      </c>
      <c r="O584" s="73"/>
    </row>
    <row r="585" ht="15.75" customHeight="1">
      <c r="C585" s="81">
        <v>821.0</v>
      </c>
      <c r="D585" s="70" t="s">
        <v>735</v>
      </c>
      <c r="E585" s="71" t="str">
        <f>vlookup(C585,'NOC-List'!B$2:C$502,2,False)</f>
        <v>Managers in agriculture</v>
      </c>
      <c r="F585" s="72">
        <v>3.0</v>
      </c>
      <c r="G585" s="72">
        <v>3.0</v>
      </c>
      <c r="H585" s="72">
        <v>3.0</v>
      </c>
      <c r="I585" s="72">
        <v>4.0</v>
      </c>
      <c r="J585" s="72">
        <v>3.0</v>
      </c>
      <c r="K585" s="72">
        <v>4.0</v>
      </c>
      <c r="L585" s="72">
        <v>3.0</v>
      </c>
      <c r="M585" s="72">
        <v>4.0</v>
      </c>
      <c r="N585" s="72">
        <v>3.0</v>
      </c>
      <c r="O585" s="73"/>
    </row>
    <row r="586" ht="15.75" customHeight="1">
      <c r="C586" s="34">
        <v>4422.0</v>
      </c>
      <c r="D586" s="70" t="s">
        <v>736</v>
      </c>
      <c r="E586" s="71" t="str">
        <f>vlookup(C586,'NOC-List'!B$2:C$502,2,False)</f>
        <v>Correctional service officers</v>
      </c>
      <c r="F586" s="72">
        <v>3.0</v>
      </c>
      <c r="G586" s="72">
        <v>4.0</v>
      </c>
      <c r="H586" s="72">
        <v>4.0</v>
      </c>
      <c r="I586" s="72">
        <v>4.0</v>
      </c>
      <c r="J586" s="72">
        <v>3.0</v>
      </c>
      <c r="K586" s="72">
        <v>4.0</v>
      </c>
      <c r="L586" s="72">
        <v>4.0</v>
      </c>
      <c r="M586" s="72">
        <v>4.0</v>
      </c>
      <c r="N586" s="72">
        <v>4.0</v>
      </c>
      <c r="O586" s="73"/>
    </row>
    <row r="587" ht="15.75" customHeight="1">
      <c r="C587" s="81">
        <v>7532.0</v>
      </c>
      <c r="D587" s="70" t="s">
        <v>737</v>
      </c>
      <c r="E587" s="71" t="str">
        <f>vlookup(C587,'NOC-List'!B$2:C$502,2,False)</f>
        <v>Water transport deck and engine room crew</v>
      </c>
      <c r="F587" s="72">
        <v>4.0</v>
      </c>
      <c r="G587" s="72">
        <v>4.0</v>
      </c>
      <c r="H587" s="72">
        <v>4.0</v>
      </c>
      <c r="I587" s="72">
        <v>4.0</v>
      </c>
      <c r="J587" s="72">
        <v>4.0</v>
      </c>
      <c r="K587" s="72">
        <v>4.0</v>
      </c>
      <c r="L587" s="72">
        <v>3.0</v>
      </c>
      <c r="M587" s="72">
        <v>4.0</v>
      </c>
      <c r="N587" s="72">
        <v>3.0</v>
      </c>
      <c r="O587" s="73"/>
    </row>
    <row r="588" ht="15.75" customHeight="1">
      <c r="C588" s="34">
        <v>2272.0</v>
      </c>
      <c r="D588" s="70" t="s">
        <v>738</v>
      </c>
      <c r="E588" s="71" t="str">
        <f>vlookup(C588,'NOC-List'!B$2:C$502,2,False)</f>
        <v>Air traffic controllers and related occupations</v>
      </c>
      <c r="F588" s="72">
        <v>2.0</v>
      </c>
      <c r="G588" s="72">
        <v>2.0</v>
      </c>
      <c r="H588" s="72">
        <v>3.0</v>
      </c>
      <c r="I588" s="72">
        <v>3.0</v>
      </c>
      <c r="J588" s="72">
        <v>3.0</v>
      </c>
      <c r="K588" s="72">
        <v>3.0</v>
      </c>
      <c r="L588" s="72">
        <v>4.0</v>
      </c>
      <c r="M588" s="72">
        <v>4.0</v>
      </c>
      <c r="N588" s="72">
        <v>4.0</v>
      </c>
      <c r="O588" s="73"/>
    </row>
    <row r="589" ht="15.75" customHeight="1">
      <c r="C589" s="34">
        <v>2122.0</v>
      </c>
      <c r="D589" s="70" t="s">
        <v>739</v>
      </c>
      <c r="E589" s="71" t="str">
        <f>vlookup(C589,'NOC-List'!B$2:C$502,2,False)</f>
        <v>Forestry professionals</v>
      </c>
      <c r="F589" s="72">
        <v>1.0</v>
      </c>
      <c r="G589" s="72">
        <v>1.0</v>
      </c>
      <c r="H589" s="72">
        <v>3.0</v>
      </c>
      <c r="I589" s="72">
        <v>3.0</v>
      </c>
      <c r="J589" s="72">
        <v>3.0</v>
      </c>
      <c r="K589" s="72">
        <v>3.0</v>
      </c>
      <c r="L589" s="72">
        <v>4.0</v>
      </c>
      <c r="M589" s="72">
        <v>3.0</v>
      </c>
      <c r="N589" s="72">
        <v>3.0</v>
      </c>
      <c r="O589" s="73"/>
    </row>
    <row r="590" ht="15.75" customHeight="1">
      <c r="C590" s="34">
        <v>8441.0</v>
      </c>
      <c r="D590" s="70" t="s">
        <v>740</v>
      </c>
      <c r="E590" s="71" t="str">
        <f>vlookup(C590,'NOC-List'!B$2:C$502,2,False)</f>
        <v>Fishing vessel deckhands</v>
      </c>
      <c r="F590" s="72">
        <v>4.0</v>
      </c>
      <c r="G590" s="72">
        <v>4.0</v>
      </c>
      <c r="H590" s="72">
        <v>4.0</v>
      </c>
      <c r="I590" s="72">
        <v>4.0</v>
      </c>
      <c r="J590" s="72">
        <v>3.0</v>
      </c>
      <c r="K590" s="72">
        <v>5.0</v>
      </c>
      <c r="L590" s="72">
        <v>3.0</v>
      </c>
      <c r="M590" s="72">
        <v>4.0</v>
      </c>
      <c r="N590" s="72">
        <v>3.0</v>
      </c>
      <c r="O590" s="73"/>
    </row>
    <row r="591" ht="15.75" customHeight="1">
      <c r="C591" s="34">
        <v>4411.0</v>
      </c>
      <c r="D591" s="70" t="s">
        <v>741</v>
      </c>
      <c r="E591" s="71" t="str">
        <f>vlookup(C591,'NOC-List'!B$2:C$502,2,False)</f>
        <v>Home child care providers</v>
      </c>
      <c r="F591" s="72">
        <v>3.0</v>
      </c>
      <c r="G591" s="72">
        <v>3.0</v>
      </c>
      <c r="H591" s="72">
        <v>4.0</v>
      </c>
      <c r="I591" s="72">
        <v>4.0</v>
      </c>
      <c r="J591" s="72">
        <v>4.0</v>
      </c>
      <c r="K591" s="72">
        <v>4.0</v>
      </c>
      <c r="L591" s="72">
        <v>3.0</v>
      </c>
      <c r="M591" s="72">
        <v>4.0</v>
      </c>
      <c r="N591" s="72">
        <v>3.0</v>
      </c>
      <c r="O591" s="73"/>
    </row>
    <row r="592" ht="15.75" customHeight="1">
      <c r="C592" s="81">
        <v>8262.0</v>
      </c>
      <c r="D592" s="70" t="s">
        <v>742</v>
      </c>
      <c r="E592" s="71" t="str">
        <f>vlookup(C592,'NOC-List'!B$2:C$502,2,False)</f>
        <v>Fishermen/women</v>
      </c>
      <c r="F592" s="72">
        <v>4.0</v>
      </c>
      <c r="G592" s="72">
        <v>4.0</v>
      </c>
      <c r="H592" s="72">
        <v>4.0</v>
      </c>
      <c r="I592" s="72">
        <v>4.0</v>
      </c>
      <c r="J592" s="72">
        <v>4.0</v>
      </c>
      <c r="K592" s="72">
        <v>4.0</v>
      </c>
      <c r="L592" s="72">
        <v>3.0</v>
      </c>
      <c r="M592" s="72">
        <v>4.0</v>
      </c>
      <c r="N592" s="72">
        <v>3.0</v>
      </c>
      <c r="O592" s="73"/>
    </row>
    <row r="593" ht="15.75" customHeight="1">
      <c r="C593" s="34">
        <v>9416.0</v>
      </c>
      <c r="D593" s="70" t="s">
        <v>743</v>
      </c>
      <c r="E593" s="71" t="str">
        <f>vlookup(C593,'NOC-List'!B$2:C$502,2,False)</f>
        <v>Metalworking and forging machine operators</v>
      </c>
      <c r="F593" s="72">
        <v>4.0</v>
      </c>
      <c r="G593" s="72">
        <v>4.0</v>
      </c>
      <c r="H593" s="72">
        <v>4.0</v>
      </c>
      <c r="I593" s="72">
        <v>4.0</v>
      </c>
      <c r="J593" s="72">
        <v>3.0</v>
      </c>
      <c r="K593" s="72">
        <v>4.0</v>
      </c>
      <c r="L593" s="72">
        <v>4.0</v>
      </c>
      <c r="M593" s="72">
        <v>4.0</v>
      </c>
      <c r="N593" s="72">
        <v>3.0</v>
      </c>
      <c r="O593" s="73"/>
    </row>
    <row r="594" ht="15.75" customHeight="1">
      <c r="C594" s="81">
        <v>9412.0</v>
      </c>
      <c r="D594" s="70" t="s">
        <v>744</v>
      </c>
      <c r="E594" s="71" t="str">
        <f>vlookup(C594,'NOC-List'!B$2:C$502,2,False)</f>
        <v>Foundry workers</v>
      </c>
      <c r="F594" s="72">
        <v>4.0</v>
      </c>
      <c r="G594" s="72">
        <v>4.0</v>
      </c>
      <c r="H594" s="72">
        <v>4.0</v>
      </c>
      <c r="I594" s="72">
        <v>4.0</v>
      </c>
      <c r="J594" s="72">
        <v>4.0</v>
      </c>
      <c r="K594" s="72">
        <v>4.0</v>
      </c>
      <c r="L594" s="72">
        <v>3.0</v>
      </c>
      <c r="M594" s="72">
        <v>4.0</v>
      </c>
      <c r="N594" s="72">
        <v>3.0</v>
      </c>
      <c r="O594" s="73"/>
    </row>
    <row r="595" ht="15.75" customHeight="1">
      <c r="C595" s="34">
        <v>9534.0</v>
      </c>
      <c r="D595" s="70" t="s">
        <v>745</v>
      </c>
      <c r="E595" s="71" t="str">
        <f>vlookup(C595,'NOC-List'!B$2:C$502,2,False)</f>
        <v>Furniture finishers and refinishers</v>
      </c>
      <c r="F595" s="72">
        <v>4.0</v>
      </c>
      <c r="G595" s="72">
        <v>4.0</v>
      </c>
      <c r="H595" s="72">
        <v>4.0</v>
      </c>
      <c r="I595" s="72">
        <v>4.0</v>
      </c>
      <c r="J595" s="72">
        <v>4.0</v>
      </c>
      <c r="K595" s="72">
        <v>4.0</v>
      </c>
      <c r="L595" s="72">
        <v>3.0</v>
      </c>
      <c r="M595" s="72">
        <v>4.0</v>
      </c>
      <c r="N595" s="72">
        <v>3.0</v>
      </c>
      <c r="O595" s="73"/>
    </row>
    <row r="596" ht="15.75" customHeight="1">
      <c r="C596" s="34">
        <v>9534.0</v>
      </c>
      <c r="D596" s="70" t="s">
        <v>746</v>
      </c>
      <c r="E596" s="71" t="str">
        <f>vlookup(C596,'NOC-List'!B$2:C$502,2,False)</f>
        <v>Furniture finishers and refinishers</v>
      </c>
      <c r="F596" s="72">
        <v>4.0</v>
      </c>
      <c r="G596" s="72">
        <v>4.0</v>
      </c>
      <c r="H596" s="72">
        <v>4.0</v>
      </c>
      <c r="I596" s="72">
        <v>4.0</v>
      </c>
      <c r="J596" s="72">
        <v>4.0</v>
      </c>
      <c r="K596" s="72">
        <v>4.0</v>
      </c>
      <c r="L596" s="72">
        <v>3.0</v>
      </c>
      <c r="M596" s="72">
        <v>4.0</v>
      </c>
      <c r="N596" s="72">
        <v>3.0</v>
      </c>
      <c r="O596" s="73"/>
    </row>
    <row r="597" ht="15.75" customHeight="1">
      <c r="C597" s="81">
        <v>1252.0</v>
      </c>
      <c r="D597" s="70" t="s">
        <v>747</v>
      </c>
      <c r="E597" s="71" t="str">
        <f>vlookup(C597,'NOC-List'!B$2:C$502,2,False)</f>
        <v>Health information management occupations</v>
      </c>
      <c r="F597" s="72">
        <v>3.0</v>
      </c>
      <c r="G597" s="72">
        <v>3.0</v>
      </c>
      <c r="H597" s="72">
        <v>3.0</v>
      </c>
      <c r="I597" s="72">
        <v>4.0</v>
      </c>
      <c r="J597" s="72">
        <v>4.0</v>
      </c>
      <c r="K597" s="72">
        <v>3.0</v>
      </c>
      <c r="L597" s="72">
        <v>3.0</v>
      </c>
      <c r="M597" s="72">
        <v>3.0</v>
      </c>
      <c r="N597" s="72">
        <v>4.0</v>
      </c>
      <c r="O597" s="73"/>
    </row>
    <row r="598" ht="15.75" customHeight="1">
      <c r="C598" s="34">
        <v>3232.0</v>
      </c>
      <c r="D598" s="70" t="s">
        <v>748</v>
      </c>
      <c r="E598" s="71" t="str">
        <f>vlookup(C598,'NOC-List'!B$2:C$502,2,False)</f>
        <v>Practitioners of natural healing</v>
      </c>
      <c r="F598" s="72">
        <v>3.0</v>
      </c>
      <c r="G598" s="72">
        <v>3.0</v>
      </c>
      <c r="H598" s="72">
        <v>4.0</v>
      </c>
      <c r="I598" s="72">
        <v>4.0</v>
      </c>
      <c r="J598" s="72">
        <v>4.0</v>
      </c>
      <c r="K598" s="72">
        <v>4.0</v>
      </c>
      <c r="L598" s="72">
        <v>3.0</v>
      </c>
      <c r="M598" s="72">
        <v>4.0</v>
      </c>
      <c r="N598" s="72">
        <v>3.0</v>
      </c>
      <c r="O598" s="73"/>
    </row>
    <row r="599" ht="15.75" customHeight="1">
      <c r="C599" s="34">
        <v>3232.0</v>
      </c>
      <c r="D599" s="70" t="s">
        <v>749</v>
      </c>
      <c r="E599" s="71" t="str">
        <f>vlookup(C599,'NOC-List'!B$2:C$502,2,False)</f>
        <v>Practitioners of natural healing</v>
      </c>
      <c r="F599" s="72">
        <v>3.0</v>
      </c>
      <c r="G599" s="72">
        <v>3.0</v>
      </c>
      <c r="H599" s="72">
        <v>4.0</v>
      </c>
      <c r="I599" s="72">
        <v>4.0</v>
      </c>
      <c r="J599" s="72">
        <v>4.0</v>
      </c>
      <c r="K599" s="72">
        <v>4.0</v>
      </c>
      <c r="L599" s="72">
        <v>3.0</v>
      </c>
      <c r="M599" s="72">
        <v>4.0</v>
      </c>
      <c r="N599" s="72">
        <v>3.0</v>
      </c>
      <c r="O599" s="73"/>
    </row>
    <row r="600" ht="15.75" customHeight="1">
      <c r="C600" s="34">
        <v>8431.0</v>
      </c>
      <c r="D600" s="70" t="s">
        <v>750</v>
      </c>
      <c r="E600" s="71" t="str">
        <f>vlookup(C600,'NOC-List'!B$2:C$502,2,False)</f>
        <v>General farm workers</v>
      </c>
      <c r="F600" s="72">
        <v>4.0</v>
      </c>
      <c r="G600" s="72">
        <v>4.0</v>
      </c>
      <c r="H600" s="72">
        <v>4.0</v>
      </c>
      <c r="I600" s="72">
        <v>4.0</v>
      </c>
      <c r="J600" s="72">
        <v>4.0</v>
      </c>
      <c r="K600" s="72">
        <v>4.0</v>
      </c>
      <c r="L600" s="72">
        <v>3.0</v>
      </c>
      <c r="M600" s="72">
        <v>4.0</v>
      </c>
      <c r="N600" s="72">
        <v>3.0</v>
      </c>
      <c r="O600" s="73"/>
    </row>
    <row r="601" ht="15.75" customHeight="1">
      <c r="C601" s="34">
        <v>2263.0</v>
      </c>
      <c r="D601" s="70" t="s">
        <v>751</v>
      </c>
      <c r="E601" s="71" t="str">
        <f>vlookup(C601,'NOC-List'!B$2:C$502,2,False)</f>
        <v>Inspectors in public and environmental health and occupational health and safety</v>
      </c>
      <c r="F601" s="72">
        <v>3.0</v>
      </c>
      <c r="G601" s="72">
        <v>3.0</v>
      </c>
      <c r="H601" s="72">
        <v>3.0</v>
      </c>
      <c r="I601" s="72">
        <v>3.0</v>
      </c>
      <c r="J601" s="72">
        <v>3.0</v>
      </c>
      <c r="K601" s="72">
        <v>3.0</v>
      </c>
      <c r="L601" s="72">
        <v>4.0</v>
      </c>
      <c r="M601" s="72">
        <v>4.0</v>
      </c>
      <c r="N601" s="72">
        <v>4.0</v>
      </c>
      <c r="O601" s="73"/>
    </row>
    <row r="602" ht="15.75" customHeight="1">
      <c r="C602" s="34">
        <v>7293.0</v>
      </c>
      <c r="D602" s="70" t="s">
        <v>752</v>
      </c>
      <c r="E602" s="71" t="str">
        <f>vlookup(C602,'NOC-List'!B$2:C$502,2,False)</f>
        <v>Insulators</v>
      </c>
      <c r="F602" s="72">
        <v>3.0</v>
      </c>
      <c r="G602" s="72">
        <v>3.0</v>
      </c>
      <c r="H602" s="72">
        <v>4.0</v>
      </c>
      <c r="I602" s="72">
        <v>3.0</v>
      </c>
      <c r="J602" s="72">
        <v>4.0</v>
      </c>
      <c r="K602" s="72">
        <v>5.0</v>
      </c>
      <c r="L602" s="72">
        <v>3.0</v>
      </c>
      <c r="M602" s="72">
        <v>4.0</v>
      </c>
      <c r="N602" s="72">
        <v>3.0</v>
      </c>
      <c r="O602" s="73"/>
    </row>
    <row r="603" ht="15.75" customHeight="1">
      <c r="C603" s="34">
        <v>1434.0</v>
      </c>
      <c r="D603" s="70" t="s">
        <v>753</v>
      </c>
      <c r="E603" s="71" t="str">
        <f>vlookup(C603,'NOC-List'!B$2:C$502,2,False)</f>
        <v>Banking, insurance and other financial clerks</v>
      </c>
      <c r="F603" s="72">
        <v>3.0</v>
      </c>
      <c r="G603" s="72">
        <v>3.0</v>
      </c>
      <c r="H603" s="72">
        <v>3.0</v>
      </c>
      <c r="I603" s="72">
        <v>4.0</v>
      </c>
      <c r="J603" s="72">
        <v>4.0</v>
      </c>
      <c r="K603" s="72">
        <v>3.0</v>
      </c>
      <c r="L603" s="72">
        <v>3.0</v>
      </c>
      <c r="M603" s="72">
        <v>3.0</v>
      </c>
      <c r="N603" s="72">
        <v>4.0</v>
      </c>
      <c r="O603" s="73"/>
    </row>
    <row r="604" ht="15.75" customHeight="1">
      <c r="C604" s="34">
        <v>5226.0</v>
      </c>
      <c r="D604" s="70" t="s">
        <v>754</v>
      </c>
      <c r="E604" s="71" t="str">
        <f>vlookup(C604,'NOC-List'!B$2:C$502,2,False)</f>
        <v>Other technical and co-ordinating occupations in motion pictures, broadcasting and the performing arts</v>
      </c>
      <c r="F604" s="72">
        <v>3.0</v>
      </c>
      <c r="G604" s="72">
        <v>3.0</v>
      </c>
      <c r="H604" s="72">
        <v>4.0</v>
      </c>
      <c r="I604" s="72">
        <v>3.0</v>
      </c>
      <c r="J604" s="72">
        <v>3.0</v>
      </c>
      <c r="K604" s="72">
        <v>4.0</v>
      </c>
      <c r="L604" s="72">
        <v>4.0</v>
      </c>
      <c r="M604" s="72">
        <v>4.0</v>
      </c>
      <c r="N604" s="72">
        <v>4.0</v>
      </c>
      <c r="O604" s="73"/>
    </row>
    <row r="605" ht="15.75" customHeight="1">
      <c r="C605" s="34">
        <v>3144.0</v>
      </c>
      <c r="D605" s="70" t="s">
        <v>755</v>
      </c>
      <c r="E605" s="71" t="str">
        <f>vlookup(C605,'NOC-List'!B$2:C$502,2,False)</f>
        <v>Other professional occupations in therapy and assessment</v>
      </c>
      <c r="F605" s="72">
        <v>2.0</v>
      </c>
      <c r="G605" s="72">
        <v>2.0</v>
      </c>
      <c r="H605" s="72">
        <v>3.0</v>
      </c>
      <c r="I605" s="72">
        <v>3.0</v>
      </c>
      <c r="J605" s="72">
        <v>3.0</v>
      </c>
      <c r="K605" s="72">
        <v>4.0</v>
      </c>
      <c r="L605" s="72">
        <v>3.0</v>
      </c>
      <c r="M605" s="72">
        <v>4.0</v>
      </c>
      <c r="N605" s="72">
        <v>4.0</v>
      </c>
      <c r="O605" s="73"/>
    </row>
    <row r="606" ht="15.75" customHeight="1">
      <c r="C606" s="34">
        <v>2225.0</v>
      </c>
      <c r="D606" s="70" t="s">
        <v>756</v>
      </c>
      <c r="E606" s="71" t="str">
        <f>vlookup(C606,'NOC-List'!B$2:C$502,2,False)</f>
        <v>Landscape and horticulture technicians and specialists</v>
      </c>
      <c r="F606" s="72">
        <v>3.0</v>
      </c>
      <c r="G606" s="72">
        <v>3.0</v>
      </c>
      <c r="H606" s="72">
        <v>4.0</v>
      </c>
      <c r="I606" s="72">
        <v>4.0</v>
      </c>
      <c r="J606" s="72">
        <v>4.0</v>
      </c>
      <c r="K606" s="72">
        <v>4.0</v>
      </c>
      <c r="L606" s="72">
        <v>3.0</v>
      </c>
      <c r="M606" s="72">
        <v>4.0</v>
      </c>
      <c r="N606" s="72">
        <v>3.0</v>
      </c>
      <c r="O606" s="73"/>
    </row>
    <row r="607" ht="15.75" customHeight="1">
      <c r="C607" s="81">
        <v>6622.0</v>
      </c>
      <c r="D607" s="70" t="s">
        <v>757</v>
      </c>
      <c r="E607" s="71" t="str">
        <f>vlookup(C607,'NOC-List'!B$2:C$502,2,False)</f>
        <v>Store shelf stockers, clerks and order fillers</v>
      </c>
      <c r="F607" s="72">
        <v>4.0</v>
      </c>
      <c r="G607" s="72">
        <v>4.0</v>
      </c>
      <c r="H607" s="72">
        <v>4.0</v>
      </c>
      <c r="I607" s="72">
        <v>4.0</v>
      </c>
      <c r="J607" s="72">
        <v>4.0</v>
      </c>
      <c r="K607" s="72">
        <v>4.0</v>
      </c>
      <c r="L607" s="72">
        <v>3.0</v>
      </c>
      <c r="M607" s="72">
        <v>4.0</v>
      </c>
      <c r="N607" s="72">
        <v>3.0</v>
      </c>
      <c r="O607" s="73"/>
    </row>
    <row r="608" ht="15.75" customHeight="1">
      <c r="C608" s="34">
        <v>9527.0</v>
      </c>
      <c r="D608" s="70" t="s">
        <v>758</v>
      </c>
      <c r="E608" s="71" t="str">
        <f>vlookup(C608,'NOC-List'!B$2:C$502,2,False)</f>
        <v>Machine operators and inspectors, electrical apparatus manufacturing</v>
      </c>
      <c r="F608" s="72">
        <v>3.0</v>
      </c>
      <c r="G608" s="72">
        <v>4.0</v>
      </c>
      <c r="H608" s="72">
        <v>4.0</v>
      </c>
      <c r="I608" s="72">
        <v>4.0</v>
      </c>
      <c r="J608" s="72">
        <v>4.0</v>
      </c>
      <c r="K608" s="72">
        <v>5.0</v>
      </c>
      <c r="L608" s="72">
        <v>3.0</v>
      </c>
      <c r="M608" s="72">
        <v>4.0</v>
      </c>
      <c r="N608" s="72">
        <v>3.0</v>
      </c>
      <c r="O608" s="73"/>
    </row>
    <row r="609" ht="15.75" customHeight="1">
      <c r="C609" s="34">
        <v>9436.0</v>
      </c>
      <c r="D609" s="70" t="s">
        <v>759</v>
      </c>
      <c r="E609" s="71" t="str">
        <f>vlookup(C609,'NOC-List'!B$2:C$502,2,False)</f>
        <v>Lumber graders and other wood processing inspectors and graders</v>
      </c>
      <c r="F609" s="72">
        <v>4.0</v>
      </c>
      <c r="G609" s="72">
        <v>4.0</v>
      </c>
      <c r="H609" s="72">
        <v>4.0</v>
      </c>
      <c r="I609" s="72">
        <v>4.0</v>
      </c>
      <c r="J609" s="72">
        <v>3.0</v>
      </c>
      <c r="K609" s="72">
        <v>4.0</v>
      </c>
      <c r="L609" s="72">
        <v>4.0</v>
      </c>
      <c r="M609" s="72">
        <v>3.0</v>
      </c>
      <c r="N609" s="72">
        <v>4.0</v>
      </c>
      <c r="O609" s="73"/>
    </row>
    <row r="610" ht="15.75" customHeight="1">
      <c r="C610" s="34">
        <v>2275.0</v>
      </c>
      <c r="D610" s="70" t="s">
        <v>760</v>
      </c>
      <c r="E610" s="71" t="str">
        <f>vlookup(C610,'NOC-List'!B$2:C$502,2,False)</f>
        <v>Railway traffic controllers and marine traffic regulators</v>
      </c>
      <c r="F610" s="72">
        <v>3.0</v>
      </c>
      <c r="G610" s="72">
        <v>3.0</v>
      </c>
      <c r="H610" s="72">
        <v>3.0</v>
      </c>
      <c r="I610" s="72">
        <v>3.0</v>
      </c>
      <c r="J610" s="72">
        <v>3.0</v>
      </c>
      <c r="K610" s="72">
        <v>3.0</v>
      </c>
      <c r="L610" s="72">
        <v>4.0</v>
      </c>
      <c r="M610" s="72">
        <v>4.0</v>
      </c>
      <c r="N610" s="72">
        <v>4.0</v>
      </c>
      <c r="O610" s="73"/>
    </row>
    <row r="611" ht="15.75" customHeight="1">
      <c r="C611" s="34">
        <v>9412.0</v>
      </c>
      <c r="D611" s="70" t="s">
        <v>761</v>
      </c>
      <c r="E611" s="71" t="str">
        <f>vlookup(C611,'NOC-List'!B$2:C$502,2,False)</f>
        <v>Foundry workers</v>
      </c>
      <c r="F611" s="72">
        <v>4.0</v>
      </c>
      <c r="G611" s="72">
        <v>4.0</v>
      </c>
      <c r="H611" s="72">
        <v>4.0</v>
      </c>
      <c r="I611" s="72">
        <v>4.0</v>
      </c>
      <c r="J611" s="72">
        <v>4.0</v>
      </c>
      <c r="K611" s="72">
        <v>4.0</v>
      </c>
      <c r="L611" s="72">
        <v>3.0</v>
      </c>
      <c r="M611" s="72">
        <v>4.0</v>
      </c>
      <c r="N611" s="72">
        <v>3.0</v>
      </c>
      <c r="O611" s="73"/>
    </row>
    <row r="612" ht="15.75" customHeight="1">
      <c r="C612" s="34">
        <v>6562.0</v>
      </c>
      <c r="D612" s="70" t="s">
        <v>762</v>
      </c>
      <c r="E612" s="71" t="str">
        <f>vlookup(C612,'NOC-List'!B$2:C$502,2,False)</f>
        <v>Estheticians, electrologists and related occupations</v>
      </c>
      <c r="F612" s="72">
        <v>4.0</v>
      </c>
      <c r="G612" s="72">
        <v>4.0</v>
      </c>
      <c r="H612" s="72">
        <v>5.0</v>
      </c>
      <c r="I612" s="72">
        <v>4.0</v>
      </c>
      <c r="J612" s="72">
        <v>3.0</v>
      </c>
      <c r="K612" s="72">
        <v>5.0</v>
      </c>
      <c r="L612" s="72">
        <v>3.0</v>
      </c>
      <c r="M612" s="72">
        <v>3.0</v>
      </c>
      <c r="N612" s="72">
        <v>3.0</v>
      </c>
      <c r="O612" s="73"/>
    </row>
    <row r="613" ht="15.75" customHeight="1">
      <c r="C613" s="81">
        <v>7452.0</v>
      </c>
      <c r="D613" s="70" t="s">
        <v>763</v>
      </c>
      <c r="E613" s="71" t="str">
        <f>vlookup(C613,'NOC-List'!B$2:C$502,2,False)</f>
        <v>Material handlers</v>
      </c>
      <c r="F613" s="72">
        <v>4.0</v>
      </c>
      <c r="G613" s="72">
        <v>4.0</v>
      </c>
      <c r="H613" s="72">
        <v>4.0</v>
      </c>
      <c r="I613" s="72">
        <v>4.0</v>
      </c>
      <c r="J613" s="72">
        <v>4.0</v>
      </c>
      <c r="K613" s="72">
        <v>4.0</v>
      </c>
      <c r="L613" s="72">
        <v>3.0</v>
      </c>
      <c r="M613" s="72">
        <v>4.0</v>
      </c>
      <c r="N613" s="72">
        <v>3.0</v>
      </c>
      <c r="O613" s="73"/>
    </row>
    <row r="614" ht="15.75" customHeight="1">
      <c r="C614" s="34">
        <v>7452.0</v>
      </c>
      <c r="D614" s="70" t="s">
        <v>764</v>
      </c>
      <c r="E614" s="71" t="str">
        <f>vlookup(C614,'NOC-List'!B$2:C$502,2,False)</f>
        <v>Material handlers</v>
      </c>
      <c r="F614" s="72">
        <v>4.0</v>
      </c>
      <c r="G614" s="72">
        <v>4.0</v>
      </c>
      <c r="H614" s="72">
        <v>4.0</v>
      </c>
      <c r="I614" s="72">
        <v>4.0</v>
      </c>
      <c r="J614" s="72">
        <v>4.0</v>
      </c>
      <c r="K614" s="72">
        <v>4.0</v>
      </c>
      <c r="L614" s="72">
        <v>3.0</v>
      </c>
      <c r="M614" s="72">
        <v>4.0</v>
      </c>
      <c r="N614" s="72">
        <v>3.0</v>
      </c>
      <c r="O614" s="73"/>
    </row>
    <row r="615" ht="15.75" customHeight="1">
      <c r="C615" s="34">
        <v>8241.0</v>
      </c>
      <c r="D615" s="70" t="s">
        <v>765</v>
      </c>
      <c r="E615" s="71" t="str">
        <f>vlookup(C615,'NOC-List'!B$2:C$502,2,False)</f>
        <v>Logging machinery operators</v>
      </c>
      <c r="F615" s="72">
        <v>3.0</v>
      </c>
      <c r="G615" s="72">
        <v>4.0</v>
      </c>
      <c r="H615" s="72">
        <v>5.0</v>
      </c>
      <c r="I615" s="72">
        <v>3.0</v>
      </c>
      <c r="J615" s="72">
        <v>4.0</v>
      </c>
      <c r="K615" s="72">
        <v>5.0</v>
      </c>
      <c r="L615" s="72">
        <v>3.0</v>
      </c>
      <c r="M615" s="72">
        <v>4.0</v>
      </c>
      <c r="N615" s="72">
        <v>3.0</v>
      </c>
      <c r="O615" s="73"/>
    </row>
    <row r="616" ht="15.75" customHeight="1">
      <c r="C616" s="34">
        <v>4216.0</v>
      </c>
      <c r="D616" s="70" t="s">
        <v>766</v>
      </c>
      <c r="E616" s="71" t="str">
        <f>vlookup(C616,'NOC-List'!B$2:C$502,2,False)</f>
        <v>Other instructors</v>
      </c>
      <c r="F616" s="72">
        <v>3.0</v>
      </c>
      <c r="G616" s="72">
        <v>3.0</v>
      </c>
      <c r="H616" s="72">
        <v>4.0</v>
      </c>
      <c r="I616" s="72">
        <v>3.0</v>
      </c>
      <c r="J616" s="72">
        <v>3.0</v>
      </c>
      <c r="K616" s="72">
        <v>4.0</v>
      </c>
      <c r="L616" s="72">
        <v>4.0</v>
      </c>
      <c r="M616" s="72">
        <v>4.0</v>
      </c>
      <c r="N616" s="72">
        <v>4.0</v>
      </c>
      <c r="O616" s="73"/>
    </row>
    <row r="617" ht="15.75" customHeight="1">
      <c r="C617" s="34">
        <v>9522.0</v>
      </c>
      <c r="D617" s="70" t="s">
        <v>767</v>
      </c>
      <c r="E617" s="71" t="str">
        <f>vlookup(C617,'NOC-List'!B$2:C$502,2,False)</f>
        <v>Motor vehicle assemblers, inspectors and testers</v>
      </c>
      <c r="F617" s="72">
        <v>3.0</v>
      </c>
      <c r="G617" s="72">
        <v>3.0</v>
      </c>
      <c r="H617" s="72">
        <v>4.0</v>
      </c>
      <c r="I617" s="72">
        <v>3.0</v>
      </c>
      <c r="J617" s="72">
        <v>3.0</v>
      </c>
      <c r="K617" s="72">
        <v>4.0</v>
      </c>
      <c r="L617" s="72">
        <v>4.0</v>
      </c>
      <c r="M617" s="72">
        <v>4.0</v>
      </c>
      <c r="N617" s="72">
        <v>4.0</v>
      </c>
      <c r="O617" s="73"/>
    </row>
    <row r="618" ht="15.75" customHeight="1">
      <c r="C618" s="34">
        <v>8241.0</v>
      </c>
      <c r="D618" s="70" t="s">
        <v>768</v>
      </c>
      <c r="E618" s="71" t="str">
        <f>vlookup(C618,'NOC-List'!B$2:C$502,2,False)</f>
        <v>Logging machinery operators</v>
      </c>
      <c r="F618" s="72">
        <v>3.0</v>
      </c>
      <c r="G618" s="72">
        <v>4.0</v>
      </c>
      <c r="H618" s="72">
        <v>5.0</v>
      </c>
      <c r="I618" s="72">
        <v>3.0</v>
      </c>
      <c r="J618" s="72">
        <v>4.0</v>
      </c>
      <c r="K618" s="72">
        <v>5.0</v>
      </c>
      <c r="L618" s="72">
        <v>3.0</v>
      </c>
      <c r="M618" s="72">
        <v>4.0</v>
      </c>
      <c r="N618" s="72">
        <v>3.0</v>
      </c>
      <c r="O618" s="73"/>
    </row>
    <row r="619" ht="15.75" customHeight="1">
      <c r="C619" s="34">
        <v>8232.0</v>
      </c>
      <c r="D619" s="70" t="s">
        <v>769</v>
      </c>
      <c r="E619" s="71" t="str">
        <f>vlookup(C619,'NOC-List'!B$2:C$502,2,False)</f>
        <v>Oil and gas well drillers, servicers, testers and related workers</v>
      </c>
      <c r="F619" s="72">
        <v>3.0</v>
      </c>
      <c r="G619" s="72">
        <v>3.0</v>
      </c>
      <c r="H619" s="72">
        <v>4.0</v>
      </c>
      <c r="I619" s="72">
        <v>4.0</v>
      </c>
      <c r="J619" s="72">
        <v>4.0</v>
      </c>
      <c r="K619" s="72">
        <v>4.0</v>
      </c>
      <c r="L619" s="72">
        <v>3.0</v>
      </c>
      <c r="M619" s="72">
        <v>4.0</v>
      </c>
      <c r="N619" s="72">
        <v>3.0</v>
      </c>
      <c r="O619" s="73"/>
    </row>
    <row r="620" ht="15.75" customHeight="1">
      <c r="C620" s="34">
        <v>9412.0</v>
      </c>
      <c r="D620" s="70" t="s">
        <v>770</v>
      </c>
      <c r="E620" s="71" t="str">
        <f>vlookup(C620,'NOC-List'!B$2:C$502,2,False)</f>
        <v>Foundry workers</v>
      </c>
      <c r="F620" s="72">
        <v>4.0</v>
      </c>
      <c r="G620" s="72">
        <v>4.0</v>
      </c>
      <c r="H620" s="72">
        <v>4.0</v>
      </c>
      <c r="I620" s="72">
        <v>4.0</v>
      </c>
      <c r="J620" s="72">
        <v>4.0</v>
      </c>
      <c r="K620" s="72">
        <v>4.0</v>
      </c>
      <c r="L620" s="72">
        <v>3.0</v>
      </c>
      <c r="M620" s="72">
        <v>4.0</v>
      </c>
      <c r="N620" s="72">
        <v>3.0</v>
      </c>
      <c r="O620" s="73"/>
    </row>
    <row r="621" ht="15.75" customHeight="1">
      <c r="C621" s="34">
        <v>3125.0</v>
      </c>
      <c r="D621" s="70" t="s">
        <v>771</v>
      </c>
      <c r="E621" s="71" t="str">
        <f>vlookup(C621,'NOC-List'!B$2:C$502,2,False)</f>
        <v>Other professional occupations in health diagnosing and treating</v>
      </c>
      <c r="F621" s="72">
        <v>3.0</v>
      </c>
      <c r="G621" s="72">
        <v>3.0</v>
      </c>
      <c r="H621" s="72">
        <v>3.0</v>
      </c>
      <c r="I621" s="72">
        <v>3.0</v>
      </c>
      <c r="J621" s="72">
        <v>2.0</v>
      </c>
      <c r="K621" s="72">
        <v>4.0</v>
      </c>
      <c r="L621" s="72">
        <v>4.0</v>
      </c>
      <c r="M621" s="72">
        <v>3.0</v>
      </c>
      <c r="N621" s="72">
        <v>3.0</v>
      </c>
      <c r="O621" s="73"/>
    </row>
    <row r="622" ht="15.75" customHeight="1">
      <c r="C622" s="34">
        <v>1434.0</v>
      </c>
      <c r="D622" s="70" t="s">
        <v>772</v>
      </c>
      <c r="E622" s="71" t="str">
        <f>vlookup(C622,'NOC-List'!B$2:C$502,2,False)</f>
        <v>Banking, insurance and other financial clerks</v>
      </c>
      <c r="F622" s="72">
        <v>3.0</v>
      </c>
      <c r="G622" s="72">
        <v>3.0</v>
      </c>
      <c r="H622" s="72">
        <v>3.0</v>
      </c>
      <c r="I622" s="72">
        <v>4.0</v>
      </c>
      <c r="J622" s="72">
        <v>4.0</v>
      </c>
      <c r="K622" s="72">
        <v>3.0</v>
      </c>
      <c r="L622" s="72">
        <v>3.0</v>
      </c>
      <c r="M622" s="72">
        <v>3.0</v>
      </c>
      <c r="N622" s="72">
        <v>4.0</v>
      </c>
      <c r="O622" s="73"/>
    </row>
    <row r="623" ht="15.75" customHeight="1">
      <c r="C623" s="34">
        <v>3413.0</v>
      </c>
      <c r="D623" s="70" t="s">
        <v>773</v>
      </c>
      <c r="E623" s="71" t="str">
        <f>vlookup(C623,'NOC-List'!B$2:C$502,2,False)</f>
        <v>Nurse aides, orderlies and patient service associates</v>
      </c>
      <c r="F623" s="72">
        <v>3.0</v>
      </c>
      <c r="G623" s="72">
        <v>4.0</v>
      </c>
      <c r="H623" s="72">
        <v>4.0</v>
      </c>
      <c r="I623" s="72">
        <v>4.0</v>
      </c>
      <c r="J623" s="72">
        <v>4.0</v>
      </c>
      <c r="K623" s="72">
        <v>4.0</v>
      </c>
      <c r="L623" s="72">
        <v>4.0</v>
      </c>
      <c r="M623" s="72">
        <v>4.0</v>
      </c>
      <c r="N623" s="72">
        <v>3.0</v>
      </c>
      <c r="O623" s="73"/>
    </row>
    <row r="624" ht="15.75" customHeight="1">
      <c r="C624" s="34">
        <v>3414.0</v>
      </c>
      <c r="D624" s="70" t="s">
        <v>774</v>
      </c>
      <c r="E624" s="71" t="str">
        <f>vlookup(C624,'NOC-List'!B$2:C$502,2,False)</f>
        <v>Other assisting occupations in support of health services</v>
      </c>
      <c r="F624" s="72">
        <v>4.0</v>
      </c>
      <c r="G624" s="72">
        <v>4.0</v>
      </c>
      <c r="H624" s="72">
        <v>4.0</v>
      </c>
      <c r="I624" s="72">
        <v>4.0</v>
      </c>
      <c r="J624" s="72">
        <v>4.0</v>
      </c>
      <c r="K624" s="72">
        <v>4.0</v>
      </c>
      <c r="L624" s="72">
        <v>4.0</v>
      </c>
      <c r="M624" s="72">
        <v>3.0</v>
      </c>
      <c r="N624" s="72">
        <v>3.0</v>
      </c>
      <c r="O624" s="73"/>
    </row>
    <row r="625" ht="15.75" customHeight="1">
      <c r="C625" s="34">
        <v>9235.0</v>
      </c>
      <c r="D625" s="70" t="s">
        <v>775</v>
      </c>
      <c r="E625" s="71" t="str">
        <f>vlookup(C625,'NOC-List'!B$2:C$502,2,False)</f>
        <v>Pulping, papermaking and coating control operators</v>
      </c>
      <c r="F625" s="72">
        <v>3.0</v>
      </c>
      <c r="G625" s="72">
        <v>3.0</v>
      </c>
      <c r="H625" s="72">
        <v>4.0</v>
      </c>
      <c r="I625" s="72">
        <v>3.0</v>
      </c>
      <c r="J625" s="72">
        <v>3.0</v>
      </c>
      <c r="K625" s="72">
        <v>4.0</v>
      </c>
      <c r="L625" s="72">
        <v>4.0</v>
      </c>
      <c r="M625" s="72">
        <v>4.0</v>
      </c>
      <c r="N625" s="72">
        <v>4.0</v>
      </c>
      <c r="O625" s="73"/>
    </row>
    <row r="626" ht="15.75" customHeight="1">
      <c r="C626" s="34">
        <v>7612.0</v>
      </c>
      <c r="D626" s="70" t="s">
        <v>776</v>
      </c>
      <c r="E626" s="71" t="str">
        <f>vlookup(C626,'NOC-List'!B$2:C$502,2,False)</f>
        <v>Other trades helpers and labourers</v>
      </c>
      <c r="F626" s="72">
        <v>4.0</v>
      </c>
      <c r="G626" s="72">
        <v>4.0</v>
      </c>
      <c r="H626" s="72">
        <v>4.0</v>
      </c>
      <c r="I626" s="72">
        <v>4.0</v>
      </c>
      <c r="J626" s="72">
        <v>4.0</v>
      </c>
      <c r="K626" s="72">
        <v>4.0</v>
      </c>
      <c r="L626" s="72">
        <v>3.0</v>
      </c>
      <c r="M626" s="72">
        <v>4.0</v>
      </c>
      <c r="N626" s="72">
        <v>3.0</v>
      </c>
      <c r="O626" s="73"/>
    </row>
    <row r="627" ht="15.75" customHeight="1">
      <c r="C627" s="34">
        <v>4161.0</v>
      </c>
      <c r="D627" s="70" t="s">
        <v>777</v>
      </c>
      <c r="E627" s="71" t="str">
        <f>vlookup(C627,'NOC-List'!B$2:C$502,2,False)</f>
        <v>Natural and applied science policy researchers, consultants and program officers</v>
      </c>
      <c r="F627" s="72">
        <v>2.0</v>
      </c>
      <c r="G627" s="72">
        <v>2.0</v>
      </c>
      <c r="H627" s="72">
        <v>3.0</v>
      </c>
      <c r="I627" s="72">
        <v>3.0</v>
      </c>
      <c r="J627" s="72">
        <v>3.0</v>
      </c>
      <c r="K627" s="72">
        <v>3.0</v>
      </c>
      <c r="L627" s="72">
        <v>4.0</v>
      </c>
      <c r="M627" s="72">
        <v>4.0</v>
      </c>
      <c r="N627" s="72">
        <v>4.0</v>
      </c>
      <c r="O627" s="73"/>
    </row>
    <row r="628" ht="15.75" customHeight="1">
      <c r="C628" s="34">
        <v>9436.0</v>
      </c>
      <c r="D628" s="70" t="s">
        <v>778</v>
      </c>
      <c r="E628" s="71" t="str">
        <f>vlookup(C628,'NOC-List'!B$2:C$502,2,False)</f>
        <v>Lumber graders and other wood processing inspectors and graders</v>
      </c>
      <c r="F628" s="72">
        <v>4.0</v>
      </c>
      <c r="G628" s="72">
        <v>4.0</v>
      </c>
      <c r="H628" s="72">
        <v>4.0</v>
      </c>
      <c r="I628" s="72">
        <v>4.0</v>
      </c>
      <c r="J628" s="72">
        <v>3.0</v>
      </c>
      <c r="K628" s="72">
        <v>4.0</v>
      </c>
      <c r="L628" s="72">
        <v>4.0</v>
      </c>
      <c r="M628" s="72">
        <v>3.0</v>
      </c>
      <c r="N628" s="72">
        <v>4.0</v>
      </c>
      <c r="O628" s="73"/>
    </row>
    <row r="629" ht="15.75" customHeight="1">
      <c r="C629" s="34">
        <v>2255.0</v>
      </c>
      <c r="D629" s="70" t="s">
        <v>779</v>
      </c>
      <c r="E629" s="71" t="str">
        <f>vlookup(C629,'NOC-List'!B$2:C$502,2,False)</f>
        <v>Technical occupations in geomatics and meteorology</v>
      </c>
      <c r="F629" s="72">
        <v>2.0</v>
      </c>
      <c r="G629" s="72">
        <v>3.0</v>
      </c>
      <c r="H629" s="72">
        <v>2.0</v>
      </c>
      <c r="I629" s="72">
        <v>2.0</v>
      </c>
      <c r="J629" s="72">
        <v>2.0</v>
      </c>
      <c r="K629" s="72">
        <v>3.0</v>
      </c>
      <c r="L629" s="72">
        <v>4.0</v>
      </c>
      <c r="M629" s="72">
        <v>4.0</v>
      </c>
      <c r="N629" s="72">
        <v>4.0</v>
      </c>
      <c r="O629" s="73"/>
    </row>
    <row r="630" ht="15.75" customHeight="1">
      <c r="C630" s="81">
        <v>2115.0</v>
      </c>
      <c r="D630" s="70" t="s">
        <v>780</v>
      </c>
      <c r="E630" s="71" t="str">
        <f>vlookup(C630,'NOC-List'!B$2:C$502,2,False)</f>
        <v>Other professional occupations in physical sciences</v>
      </c>
      <c r="F630" s="72">
        <v>3.0</v>
      </c>
      <c r="G630" s="72">
        <v>3.0</v>
      </c>
      <c r="H630" s="72">
        <v>4.0</v>
      </c>
      <c r="I630" s="72">
        <v>4.0</v>
      </c>
      <c r="J630" s="72">
        <v>4.0</v>
      </c>
      <c r="K630" s="72">
        <v>4.0</v>
      </c>
      <c r="L630" s="72">
        <v>4.0</v>
      </c>
      <c r="M630" s="72">
        <v>3.0</v>
      </c>
      <c r="N630" s="72">
        <v>3.0</v>
      </c>
      <c r="O630" s="73"/>
    </row>
    <row r="631" ht="15.75" customHeight="1">
      <c r="C631" s="34">
        <v>4423.0</v>
      </c>
      <c r="D631" s="70" t="s">
        <v>781</v>
      </c>
      <c r="E631" s="71" t="str">
        <f>vlookup(C631,'NOC-List'!B$2:C$502,2,False)</f>
        <v>By-law enforcement and other regulatory officers, n.e.c.</v>
      </c>
      <c r="F631" s="72">
        <v>3.0</v>
      </c>
      <c r="G631" s="72">
        <v>4.0</v>
      </c>
      <c r="H631" s="72">
        <v>4.0</v>
      </c>
      <c r="I631" s="72">
        <v>4.0</v>
      </c>
      <c r="J631" s="72">
        <v>4.0</v>
      </c>
      <c r="K631" s="72">
        <v>4.0</v>
      </c>
      <c r="L631" s="72">
        <v>3.0</v>
      </c>
      <c r="M631" s="72">
        <v>4.0</v>
      </c>
      <c r="N631" s="72">
        <v>4.0</v>
      </c>
      <c r="O631" s="73"/>
    </row>
    <row r="632" ht="15.75" customHeight="1">
      <c r="C632" s="34">
        <v>7444.0</v>
      </c>
      <c r="D632" s="70" t="s">
        <v>782</v>
      </c>
      <c r="E632" s="71" t="str">
        <f>vlookup(C632,'NOC-List'!B$2:C$502,2,False)</f>
        <v>Pest controllers and fumigators</v>
      </c>
      <c r="F632" s="72">
        <v>3.0</v>
      </c>
      <c r="G632" s="72">
        <v>4.0</v>
      </c>
      <c r="H632" s="72">
        <v>4.0</v>
      </c>
      <c r="I632" s="72">
        <v>4.0</v>
      </c>
      <c r="J632" s="72">
        <v>3.0</v>
      </c>
      <c r="K632" s="72">
        <v>5.0</v>
      </c>
      <c r="L632" s="72">
        <v>4.0</v>
      </c>
      <c r="M632" s="72">
        <v>4.0</v>
      </c>
      <c r="N632" s="72">
        <v>3.0</v>
      </c>
      <c r="O632" s="73"/>
    </row>
    <row r="633" ht="15.75" customHeight="1">
      <c r="C633" s="34">
        <v>4012.0</v>
      </c>
      <c r="D633" s="70" t="s">
        <v>783</v>
      </c>
      <c r="E633" s="71" t="str">
        <f>vlookup(C633,'NOC-List'!B$2:C$502,2,False)</f>
        <v>Post-secondary teaching and research assistants</v>
      </c>
      <c r="F633" s="72">
        <v>2.0</v>
      </c>
      <c r="G633" s="72">
        <v>2.0</v>
      </c>
      <c r="H633" s="72">
        <v>3.0</v>
      </c>
      <c r="I633" s="72">
        <v>3.0</v>
      </c>
      <c r="J633" s="72">
        <v>3.0</v>
      </c>
      <c r="K633" s="72">
        <v>3.0</v>
      </c>
      <c r="L633" s="72">
        <v>4.0</v>
      </c>
      <c r="M633" s="72">
        <v>4.0</v>
      </c>
      <c r="N633" s="72">
        <v>4.0</v>
      </c>
      <c r="O633" s="73"/>
    </row>
    <row r="634" ht="15.75" customHeight="1">
      <c r="C634" s="81">
        <v>4012.0</v>
      </c>
      <c r="D634" s="70" t="s">
        <v>784</v>
      </c>
      <c r="E634" s="71" t="str">
        <f>vlookup(C634,'NOC-List'!B$2:C$502,2,False)</f>
        <v>Post-secondary teaching and research assistants</v>
      </c>
      <c r="F634" s="72">
        <v>2.0</v>
      </c>
      <c r="G634" s="72">
        <v>2.0</v>
      </c>
      <c r="H634" s="72">
        <v>3.0</v>
      </c>
      <c r="I634" s="72">
        <v>3.0</v>
      </c>
      <c r="J634" s="72">
        <v>3.0</v>
      </c>
      <c r="K634" s="72">
        <v>3.0</v>
      </c>
      <c r="L634" s="72">
        <v>4.0</v>
      </c>
      <c r="M634" s="72">
        <v>4.0</v>
      </c>
      <c r="N634" s="72">
        <v>4.0</v>
      </c>
      <c r="O634" s="73"/>
    </row>
    <row r="635" ht="15.75" customHeight="1">
      <c r="C635" s="81">
        <v>9535.0</v>
      </c>
      <c r="D635" s="70" t="s">
        <v>785</v>
      </c>
      <c r="E635" s="71" t="str">
        <f>vlookup(C635,'NOC-List'!B$2:C$502,2,False)</f>
        <v>Plastic products assemblers, finishers and inspectors</v>
      </c>
      <c r="F635" s="72">
        <v>4.0</v>
      </c>
      <c r="G635" s="72">
        <v>4.0</v>
      </c>
      <c r="H635" s="72">
        <v>4.0</v>
      </c>
      <c r="I635" s="72">
        <v>4.0</v>
      </c>
      <c r="J635" s="72">
        <v>4.0</v>
      </c>
      <c r="K635" s="72">
        <v>4.0</v>
      </c>
      <c r="L635" s="72">
        <v>3.0</v>
      </c>
      <c r="M635" s="72">
        <v>4.0</v>
      </c>
      <c r="N635" s="72">
        <v>3.0</v>
      </c>
      <c r="O635" s="73"/>
    </row>
    <row r="636" ht="15.75" customHeight="1">
      <c r="C636" s="34">
        <v>1452.0</v>
      </c>
      <c r="D636" s="70" t="s">
        <v>786</v>
      </c>
      <c r="E636" s="71" t="str">
        <f>vlookup(C636,'NOC-List'!B$2:C$502,2,False)</f>
        <v>Correspondence, publication and regulatory clerks</v>
      </c>
      <c r="F636" s="72">
        <v>3.0</v>
      </c>
      <c r="G636" s="72">
        <v>3.0</v>
      </c>
      <c r="H636" s="72">
        <v>4.0</v>
      </c>
      <c r="I636" s="72">
        <v>4.0</v>
      </c>
      <c r="J636" s="72">
        <v>3.0</v>
      </c>
      <c r="K636" s="72">
        <v>1.0</v>
      </c>
      <c r="L636" s="72">
        <v>3.0</v>
      </c>
      <c r="M636" s="72">
        <v>3.0</v>
      </c>
      <c r="N636" s="72">
        <v>4.0</v>
      </c>
      <c r="O636" s="73"/>
    </row>
    <row r="637" ht="15.75" customHeight="1">
      <c r="C637" s="34">
        <v>5226.0</v>
      </c>
      <c r="D637" s="70" t="s">
        <v>787</v>
      </c>
      <c r="E637" s="71" t="str">
        <f>vlookup(C637,'NOC-List'!B$2:C$502,2,False)</f>
        <v>Other technical and co-ordinating occupations in motion pictures, broadcasting and the performing arts</v>
      </c>
      <c r="F637" s="72">
        <v>3.0</v>
      </c>
      <c r="G637" s="72">
        <v>3.0</v>
      </c>
      <c r="H637" s="72">
        <v>3.0</v>
      </c>
      <c r="I637" s="72">
        <v>3.0</v>
      </c>
      <c r="J637" s="72">
        <v>3.0</v>
      </c>
      <c r="K637" s="72">
        <v>3.0</v>
      </c>
      <c r="L637" s="72">
        <v>4.0</v>
      </c>
      <c r="M637" s="72">
        <v>4.0</v>
      </c>
      <c r="N637" s="72">
        <v>4.0</v>
      </c>
      <c r="O637" s="73"/>
    </row>
    <row r="638" ht="15.75" customHeight="1">
      <c r="C638" s="34">
        <v>9535.0</v>
      </c>
      <c r="D638" s="70" t="s">
        <v>788</v>
      </c>
      <c r="E638" s="71" t="str">
        <f>vlookup(C638,'NOC-List'!B$2:C$502,2,False)</f>
        <v>Plastic products assemblers, finishers and inspectors</v>
      </c>
      <c r="F638" s="72">
        <v>4.0</v>
      </c>
      <c r="G638" s="72">
        <v>4.0</v>
      </c>
      <c r="H638" s="72">
        <v>4.0</v>
      </c>
      <c r="I638" s="72">
        <v>4.0</v>
      </c>
      <c r="J638" s="72">
        <v>4.0</v>
      </c>
      <c r="K638" s="72">
        <v>4.0</v>
      </c>
      <c r="L638" s="72">
        <v>3.0</v>
      </c>
      <c r="M638" s="72">
        <v>4.0</v>
      </c>
      <c r="N638" s="72">
        <v>3.0</v>
      </c>
      <c r="O638" s="73"/>
    </row>
    <row r="639" ht="15.75" customHeight="1">
      <c r="C639" s="34">
        <v>9235.0</v>
      </c>
      <c r="D639" s="70" t="s">
        <v>789</v>
      </c>
      <c r="E639" s="71" t="str">
        <f>vlookup(C639,'NOC-List'!B$2:C$502,2,False)</f>
        <v>Pulping, papermaking and coating control operators</v>
      </c>
      <c r="F639" s="72">
        <v>3.0</v>
      </c>
      <c r="G639" s="72">
        <v>3.0</v>
      </c>
      <c r="H639" s="72">
        <v>3.0</v>
      </c>
      <c r="I639" s="72">
        <v>3.0</v>
      </c>
      <c r="J639" s="72">
        <v>3.0</v>
      </c>
      <c r="K639" s="72">
        <v>3.0</v>
      </c>
      <c r="L639" s="72">
        <v>4.0</v>
      </c>
      <c r="M639" s="72">
        <v>4.0</v>
      </c>
      <c r="N639" s="72">
        <v>4.0</v>
      </c>
      <c r="O639" s="73"/>
    </row>
    <row r="640" ht="15.75" customHeight="1">
      <c r="C640" s="34">
        <v>1225.0</v>
      </c>
      <c r="D640" s="70" t="s">
        <v>790</v>
      </c>
      <c r="E640" s="71" t="str">
        <f>vlookup(C640,'NOC-List'!B$2:C$502,2,False)</f>
        <v>Purchasing agents and officers</v>
      </c>
      <c r="F640" s="72">
        <v>2.0</v>
      </c>
      <c r="G640" s="72">
        <v>2.0</v>
      </c>
      <c r="H640" s="72">
        <v>3.0</v>
      </c>
      <c r="I640" s="72">
        <v>3.0</v>
      </c>
      <c r="J640" s="72">
        <v>3.0</v>
      </c>
      <c r="K640" s="72">
        <v>3.0</v>
      </c>
      <c r="L640" s="72">
        <v>4.0</v>
      </c>
      <c r="M640" s="72">
        <v>4.0</v>
      </c>
      <c r="N640" s="72">
        <v>4.0</v>
      </c>
      <c r="O640" s="73"/>
    </row>
    <row r="641" ht="15.75" customHeight="1">
      <c r="C641" s="34">
        <v>7361.0</v>
      </c>
      <c r="D641" s="70" t="s">
        <v>791</v>
      </c>
      <c r="E641" s="71" t="str">
        <f>vlookup(C641,'NOC-List'!B$2:C$502,2,False)</f>
        <v>Railway and yard locomotive engineers</v>
      </c>
      <c r="F641" s="72">
        <v>3.0</v>
      </c>
      <c r="G641" s="72">
        <v>3.0</v>
      </c>
      <c r="H641" s="72">
        <v>3.0</v>
      </c>
      <c r="I641" s="72">
        <v>3.0</v>
      </c>
      <c r="J641" s="72">
        <v>3.0</v>
      </c>
      <c r="K641" s="72">
        <v>4.0</v>
      </c>
      <c r="L641" s="72">
        <v>4.0</v>
      </c>
      <c r="M641" s="72">
        <v>4.0</v>
      </c>
      <c r="N641" s="72">
        <v>3.0</v>
      </c>
      <c r="O641" s="73"/>
    </row>
    <row r="642" ht="15.75" customHeight="1">
      <c r="C642" s="34">
        <v>9432.0</v>
      </c>
      <c r="D642" s="70" t="s">
        <v>792</v>
      </c>
      <c r="E642" s="71" t="str">
        <f>vlookup(C642,'NOC-List'!B$2:C$502,2,False)</f>
        <v>Pulp mill machine operators</v>
      </c>
      <c r="F642" s="72">
        <v>3.0</v>
      </c>
      <c r="G642" s="72">
        <v>4.0</v>
      </c>
      <c r="H642" s="72">
        <v>4.0</v>
      </c>
      <c r="I642" s="72">
        <v>4.0</v>
      </c>
      <c r="J642" s="72">
        <v>4.0</v>
      </c>
      <c r="K642" s="72">
        <v>4.0</v>
      </c>
      <c r="L642" s="72">
        <v>4.0</v>
      </c>
      <c r="M642" s="72">
        <v>4.0</v>
      </c>
      <c r="N642" s="72">
        <v>3.0</v>
      </c>
      <c r="O642" s="73"/>
    </row>
    <row r="643" ht="15.75" customHeight="1">
      <c r="C643" s="34">
        <v>2275.0</v>
      </c>
      <c r="D643" s="70" t="s">
        <v>793</v>
      </c>
      <c r="E643" s="71" t="str">
        <f>vlookup(C643,'NOC-List'!B$2:C$502,2,False)</f>
        <v>Railway traffic controllers and marine traffic regulators</v>
      </c>
      <c r="F643" s="72">
        <v>3.0</v>
      </c>
      <c r="G643" s="72">
        <v>3.0</v>
      </c>
      <c r="H643" s="72">
        <v>3.0</v>
      </c>
      <c r="I643" s="72">
        <v>2.0</v>
      </c>
      <c r="J643" s="72">
        <v>4.0</v>
      </c>
      <c r="K643" s="72">
        <v>3.0</v>
      </c>
      <c r="L643" s="72">
        <v>4.0</v>
      </c>
      <c r="M643" s="72">
        <v>4.0</v>
      </c>
      <c r="N643" s="72">
        <v>4.0</v>
      </c>
      <c r="O643" s="73"/>
    </row>
    <row r="644" ht="15.75" customHeight="1">
      <c r="C644" s="34">
        <v>5131.0</v>
      </c>
      <c r="D644" s="70" t="s">
        <v>794</v>
      </c>
      <c r="E644" s="71" t="str">
        <f>vlookup(C644,'NOC-List'!B$2:C$502,2,False)</f>
        <v>Producers, directors, choreographers and related occupations</v>
      </c>
      <c r="F644" s="72">
        <v>2.0</v>
      </c>
      <c r="G644" s="72">
        <v>2.0</v>
      </c>
      <c r="H644" s="72">
        <v>3.0</v>
      </c>
      <c r="I644" s="72">
        <v>3.0</v>
      </c>
      <c r="J644" s="72">
        <v>3.0</v>
      </c>
      <c r="K644" s="72">
        <v>3.0</v>
      </c>
      <c r="L644" s="72">
        <v>4.0</v>
      </c>
      <c r="M644" s="72">
        <v>4.0</v>
      </c>
      <c r="N644" s="72">
        <v>4.0</v>
      </c>
      <c r="O644" s="73"/>
    </row>
    <row r="645" ht="15.75" customHeight="1">
      <c r="C645" s="81">
        <v>1253.0</v>
      </c>
      <c r="D645" s="70" t="s">
        <v>795</v>
      </c>
      <c r="E645" s="71" t="str">
        <f>vlookup(C645,'NOC-List'!B$2:C$502,2,False)</f>
        <v>Records management technicians</v>
      </c>
      <c r="F645" s="72">
        <v>3.0</v>
      </c>
      <c r="G645" s="72">
        <v>3.0</v>
      </c>
      <c r="H645" s="72">
        <v>3.0</v>
      </c>
      <c r="I645" s="72">
        <v>4.0</v>
      </c>
      <c r="J645" s="72">
        <v>4.0</v>
      </c>
      <c r="K645" s="72">
        <v>3.0</v>
      </c>
      <c r="L645" s="72">
        <v>3.0</v>
      </c>
      <c r="M645" s="72">
        <v>3.0</v>
      </c>
      <c r="N645" s="72">
        <v>4.0</v>
      </c>
      <c r="O645" s="73"/>
    </row>
    <row r="646" ht="15.75" customHeight="1">
      <c r="C646" s="34">
        <v>4167.0</v>
      </c>
      <c r="D646" s="70" t="s">
        <v>796</v>
      </c>
      <c r="E646" s="71" t="str">
        <f>vlookup(C646,'NOC-List'!B$2:C$502,2,False)</f>
        <v>Recreation, sports and fitness policy researchers, consultants and program officers</v>
      </c>
      <c r="F646" s="72">
        <v>3.0</v>
      </c>
      <c r="G646" s="72">
        <v>3.0</v>
      </c>
      <c r="H646" s="72">
        <v>3.0</v>
      </c>
      <c r="I646" s="72">
        <v>3.0</v>
      </c>
      <c r="J646" s="72">
        <v>3.0</v>
      </c>
      <c r="K646" s="72">
        <v>3.0</v>
      </c>
      <c r="L646" s="72">
        <v>4.0</v>
      </c>
      <c r="M646" s="72">
        <v>4.0</v>
      </c>
      <c r="N646" s="72">
        <v>4.0</v>
      </c>
      <c r="O646" s="73"/>
    </row>
    <row r="647" ht="15.75" customHeight="1">
      <c r="C647" s="34">
        <v>6222.0</v>
      </c>
      <c r="D647" s="70" t="s">
        <v>797</v>
      </c>
      <c r="E647" s="71" t="str">
        <f>vlookup(C647,'NOC-List'!B$2:C$502,2,False)</f>
        <v>Retail and wholesale buyers</v>
      </c>
      <c r="F647" s="72">
        <v>3.0</v>
      </c>
      <c r="G647" s="72">
        <v>3.0</v>
      </c>
      <c r="H647" s="72">
        <v>3.0</v>
      </c>
      <c r="I647" s="72">
        <v>3.0</v>
      </c>
      <c r="J647" s="72">
        <v>3.0</v>
      </c>
      <c r="K647" s="72">
        <v>3.0</v>
      </c>
      <c r="L647" s="72">
        <v>4.0</v>
      </c>
      <c r="M647" s="72">
        <v>4.0</v>
      </c>
      <c r="N647" s="72">
        <v>4.0</v>
      </c>
      <c r="O647" s="73"/>
    </row>
    <row r="648" ht="15.75" customHeight="1">
      <c r="C648" s="81">
        <v>7531.0</v>
      </c>
      <c r="D648" s="70" t="s">
        <v>798</v>
      </c>
      <c r="E648" s="71" t="str">
        <f>vlookup(C648,'NOC-List'!B$2:C$502,2,False)</f>
        <v>Railway yard and track maintenance workers</v>
      </c>
      <c r="F648" s="72">
        <v>3.0</v>
      </c>
      <c r="G648" s="72">
        <v>4.0</v>
      </c>
      <c r="H648" s="72">
        <v>5.0</v>
      </c>
      <c r="I648" s="72">
        <v>3.0</v>
      </c>
      <c r="J648" s="72">
        <v>4.0</v>
      </c>
      <c r="K648" s="72">
        <v>5.0</v>
      </c>
      <c r="L648" s="72">
        <v>3.0</v>
      </c>
      <c r="M648" s="72">
        <v>4.0</v>
      </c>
      <c r="N648" s="72">
        <v>3.0</v>
      </c>
      <c r="O648" s="73"/>
    </row>
    <row r="649" ht="15.75" customHeight="1">
      <c r="C649" s="34">
        <v>9423.0</v>
      </c>
      <c r="D649" s="70" t="s">
        <v>799</v>
      </c>
      <c r="E649" s="71" t="str">
        <f>vlookup(C649,'NOC-List'!B$2:C$502,2,False)</f>
        <v>Rubber processing machine operators and related workers</v>
      </c>
      <c r="F649" s="72">
        <v>4.0</v>
      </c>
      <c r="G649" s="72">
        <v>4.0</v>
      </c>
      <c r="H649" s="72">
        <v>4.0</v>
      </c>
      <c r="I649" s="72">
        <v>4.0</v>
      </c>
      <c r="J649" s="72">
        <v>4.0</v>
      </c>
      <c r="K649" s="72">
        <v>4.0</v>
      </c>
      <c r="L649" s="72">
        <v>3.0</v>
      </c>
      <c r="M649" s="72">
        <v>4.0</v>
      </c>
      <c r="N649" s="72">
        <v>3.0</v>
      </c>
      <c r="O649" s="73"/>
    </row>
    <row r="650" ht="15.75" customHeight="1">
      <c r="C650" s="34">
        <v>9423.0</v>
      </c>
      <c r="D650" s="70" t="s">
        <v>800</v>
      </c>
      <c r="E650" s="71" t="str">
        <f>vlookup(C650,'NOC-List'!B$2:C$502,2,False)</f>
        <v>Rubber processing machine operators and related workers</v>
      </c>
      <c r="F650" s="72">
        <v>4.0</v>
      </c>
      <c r="G650" s="72">
        <v>4.0</v>
      </c>
      <c r="H650" s="72">
        <v>4.0</v>
      </c>
      <c r="I650" s="72">
        <v>4.0</v>
      </c>
      <c r="J650" s="72">
        <v>4.0</v>
      </c>
      <c r="K650" s="72">
        <v>4.0</v>
      </c>
      <c r="L650" s="72">
        <v>3.0</v>
      </c>
      <c r="M650" s="72">
        <v>4.0</v>
      </c>
      <c r="N650" s="72">
        <v>3.0</v>
      </c>
      <c r="O650" s="73"/>
    </row>
    <row r="651" ht="15.75" customHeight="1">
      <c r="C651" s="34">
        <v>1521.0</v>
      </c>
      <c r="D651" s="70" t="s">
        <v>801</v>
      </c>
      <c r="E651" s="71" t="str">
        <f>vlookup(C651,'NOC-List'!B$2:C$502,2,False)</f>
        <v>Shippers and receivers</v>
      </c>
      <c r="F651" s="72">
        <v>3.0</v>
      </c>
      <c r="G651" s="72">
        <v>3.0</v>
      </c>
      <c r="H651" s="72">
        <v>3.0</v>
      </c>
      <c r="I651" s="72">
        <v>4.0</v>
      </c>
      <c r="J651" s="72">
        <v>4.0</v>
      </c>
      <c r="K651" s="72">
        <v>3.0</v>
      </c>
      <c r="L651" s="72">
        <v>3.0</v>
      </c>
      <c r="M651" s="72">
        <v>3.0</v>
      </c>
      <c r="N651" s="72">
        <v>4.0</v>
      </c>
      <c r="O651" s="73"/>
    </row>
    <row r="652" ht="15.75" customHeight="1">
      <c r="C652" s="34">
        <v>6321.0</v>
      </c>
      <c r="D652" s="70" t="s">
        <v>802</v>
      </c>
      <c r="E652" s="71" t="str">
        <f>vlookup(C652,'NOC-List'!B$2:C$502,2,False)</f>
        <v>Chefs</v>
      </c>
      <c r="F652" s="72">
        <v>3.0</v>
      </c>
      <c r="G652" s="72">
        <v>3.0</v>
      </c>
      <c r="H652" s="72">
        <v>3.0</v>
      </c>
      <c r="I652" s="72">
        <v>4.0</v>
      </c>
      <c r="J652" s="72">
        <v>4.0</v>
      </c>
      <c r="K652" s="72">
        <v>4.0</v>
      </c>
      <c r="L652" s="72">
        <v>3.0</v>
      </c>
      <c r="M652" s="72">
        <v>3.0</v>
      </c>
      <c r="N652" s="72">
        <v>3.0</v>
      </c>
      <c r="O652" s="73"/>
    </row>
    <row r="653" ht="15.75" customHeight="1">
      <c r="C653" s="81">
        <v>3111.0</v>
      </c>
      <c r="D653" s="70" t="s">
        <v>803</v>
      </c>
      <c r="E653" s="71" t="str">
        <f>vlookup(C653,'NOC-List'!B$2:C$502,2,False)</f>
        <v>Specialist physicians</v>
      </c>
      <c r="F653" s="72">
        <v>1.0</v>
      </c>
      <c r="G653" s="72">
        <v>1.0</v>
      </c>
      <c r="H653" s="72">
        <v>2.0</v>
      </c>
      <c r="I653" s="72">
        <v>2.0</v>
      </c>
      <c r="J653" s="72">
        <v>2.0</v>
      </c>
      <c r="K653" s="72">
        <v>3.0</v>
      </c>
      <c r="L653" s="72">
        <v>3.0</v>
      </c>
      <c r="M653" s="72">
        <v>2.0</v>
      </c>
      <c r="N653" s="72">
        <v>2.0</v>
      </c>
      <c r="O653" s="73"/>
    </row>
    <row r="654" ht="15.75" customHeight="1">
      <c r="C654" s="34">
        <v>3111.0</v>
      </c>
      <c r="D654" s="70" t="s">
        <v>804</v>
      </c>
      <c r="E654" s="71" t="str">
        <f>vlookup(C654,'NOC-List'!B$2:C$502,2,False)</f>
        <v>Specialist physicians</v>
      </c>
      <c r="F654" s="72">
        <v>1.0</v>
      </c>
      <c r="G654" s="72">
        <v>1.0</v>
      </c>
      <c r="H654" s="72">
        <v>2.0</v>
      </c>
      <c r="I654" s="72">
        <v>1.0</v>
      </c>
      <c r="J654" s="72">
        <v>1.0</v>
      </c>
      <c r="K654" s="72">
        <v>3.0</v>
      </c>
      <c r="L654" s="72">
        <v>1.0</v>
      </c>
      <c r="M654" s="72">
        <v>1.0</v>
      </c>
      <c r="N654" s="72">
        <v>1.0</v>
      </c>
      <c r="O654" s="73"/>
    </row>
    <row r="655" ht="15.75" customHeight="1">
      <c r="C655" s="34">
        <v>3141.0</v>
      </c>
      <c r="D655" s="70" t="s">
        <v>805</v>
      </c>
      <c r="E655" s="71" t="str">
        <f>vlookup(C655,'NOC-List'!B$2:C$502,2,False)</f>
        <v>Audiologists and speech-language pathologists</v>
      </c>
      <c r="F655" s="72">
        <v>2.0</v>
      </c>
      <c r="G655" s="72">
        <v>2.0</v>
      </c>
      <c r="H655" s="72">
        <v>3.0</v>
      </c>
      <c r="I655" s="72">
        <v>3.0</v>
      </c>
      <c r="J655" s="72">
        <v>3.0</v>
      </c>
      <c r="K655" s="72">
        <v>3.0</v>
      </c>
      <c r="L655" s="72">
        <v>4.0</v>
      </c>
      <c r="M655" s="72">
        <v>4.0</v>
      </c>
      <c r="N655" s="72">
        <v>4.0</v>
      </c>
      <c r="O655" s="73"/>
    </row>
    <row r="656" ht="15.75" customHeight="1">
      <c r="C656" s="34">
        <v>9241.0</v>
      </c>
      <c r="D656" s="70" t="s">
        <v>806</v>
      </c>
      <c r="E656" s="71" t="str">
        <f>vlookup(C656,'NOC-List'!B$2:C$502,2,False)</f>
        <v>Power engineers and power systems operators</v>
      </c>
      <c r="F656" s="72">
        <v>3.0</v>
      </c>
      <c r="G656" s="72">
        <v>3.0</v>
      </c>
      <c r="H656" s="72">
        <v>3.0</v>
      </c>
      <c r="I656" s="72">
        <v>3.0</v>
      </c>
      <c r="J656" s="72">
        <v>4.0</v>
      </c>
      <c r="K656" s="72">
        <v>4.0</v>
      </c>
      <c r="L656" s="72">
        <v>3.0</v>
      </c>
      <c r="M656" s="72">
        <v>4.0</v>
      </c>
      <c r="N656" s="72">
        <v>3.0</v>
      </c>
      <c r="O656" s="73"/>
    </row>
    <row r="657" ht="15.75" customHeight="1">
      <c r="C657" s="34">
        <v>1454.0</v>
      </c>
      <c r="D657" s="70" t="s">
        <v>807</v>
      </c>
      <c r="E657" s="71" t="str">
        <f>vlookup(C657,'NOC-List'!B$2:C$502,2,False)</f>
        <v>Survey interviewers and statistical clerks</v>
      </c>
      <c r="F657" s="72">
        <v>3.0</v>
      </c>
      <c r="G657" s="72">
        <v>3.0</v>
      </c>
      <c r="H657" s="72">
        <v>3.0</v>
      </c>
      <c r="I657" s="72">
        <v>4.0</v>
      </c>
      <c r="J657" s="72">
        <v>4.0</v>
      </c>
      <c r="K657" s="72">
        <v>3.0</v>
      </c>
      <c r="L657" s="72">
        <v>3.0</v>
      </c>
      <c r="M657" s="72">
        <v>3.0</v>
      </c>
      <c r="N657" s="72">
        <v>4.0</v>
      </c>
      <c r="O657" s="73"/>
    </row>
    <row r="658" ht="15.75" customHeight="1">
      <c r="C658" s="34">
        <v>8221.0</v>
      </c>
      <c r="D658" s="70" t="s">
        <v>808</v>
      </c>
      <c r="E658" s="71" t="str">
        <f>vlookup(C658,'NOC-List'!B$2:C$502,2,False)</f>
        <v>Supervisors, mining and quarrying</v>
      </c>
      <c r="F658" s="72">
        <v>3.0</v>
      </c>
      <c r="G658" s="72">
        <v>3.0</v>
      </c>
      <c r="H658" s="72">
        <v>4.0</v>
      </c>
      <c r="I658" s="72">
        <v>3.0</v>
      </c>
      <c r="J658" s="72">
        <v>3.0</v>
      </c>
      <c r="K658" s="72">
        <v>4.0</v>
      </c>
      <c r="L658" s="72">
        <v>4.0</v>
      </c>
      <c r="M658" s="72">
        <v>4.0</v>
      </c>
      <c r="N658" s="72">
        <v>4.0</v>
      </c>
      <c r="O658" s="73"/>
    </row>
    <row r="659" ht="15.75" customHeight="1">
      <c r="C659" s="34">
        <v>8222.0</v>
      </c>
      <c r="D659" s="70" t="s">
        <v>809</v>
      </c>
      <c r="E659" s="71" t="str">
        <f>vlookup(C659,'NOC-List'!B$2:C$502,2,False)</f>
        <v>Contractors and supervisors, oil and gas drilling and services</v>
      </c>
      <c r="F659" s="72">
        <v>3.0</v>
      </c>
      <c r="G659" s="72">
        <v>3.0</v>
      </c>
      <c r="H659" s="72">
        <v>3.0</v>
      </c>
      <c r="I659" s="72">
        <v>3.0</v>
      </c>
      <c r="J659" s="72">
        <v>4.0</v>
      </c>
      <c r="K659" s="72">
        <v>4.0</v>
      </c>
      <c r="L659" s="72">
        <v>3.0</v>
      </c>
      <c r="M659" s="72">
        <v>4.0</v>
      </c>
      <c r="N659" s="72">
        <v>3.0</v>
      </c>
      <c r="O659" s="73"/>
    </row>
    <row r="660" ht="15.75" customHeight="1">
      <c r="C660" s="34">
        <v>9226.0</v>
      </c>
      <c r="D660" s="70" t="s">
        <v>810</v>
      </c>
      <c r="E660" s="71" t="str">
        <f>vlookup(C660,'NOC-List'!B$2:C$502,2,False)</f>
        <v>Supervisors, other mechanical and metal products manufacturing</v>
      </c>
      <c r="F660" s="72">
        <v>3.0</v>
      </c>
      <c r="G660" s="72">
        <v>3.0</v>
      </c>
      <c r="H660" s="72">
        <v>3.0</v>
      </c>
      <c r="I660" s="72">
        <v>4.0</v>
      </c>
      <c r="J660" s="72">
        <v>3.0</v>
      </c>
      <c r="K660" s="72">
        <v>3.0</v>
      </c>
      <c r="L660" s="72">
        <v>4.0</v>
      </c>
      <c r="M660" s="72">
        <v>4.0</v>
      </c>
      <c r="N660" s="72">
        <v>3.0</v>
      </c>
      <c r="O660" s="73"/>
    </row>
    <row r="661" ht="15.75" customHeight="1">
      <c r="C661" s="34">
        <v>9214.0</v>
      </c>
      <c r="D661" s="70" t="s">
        <v>811</v>
      </c>
      <c r="E661" s="71" t="str">
        <f>vlookup(C661,'NOC-List'!B$2:C$502,2,False)</f>
        <v>Supervisors, plastic and rubber products manufacturing</v>
      </c>
      <c r="F661" s="72">
        <v>3.0</v>
      </c>
      <c r="G661" s="72">
        <v>3.0</v>
      </c>
      <c r="H661" s="72">
        <v>3.0</v>
      </c>
      <c r="I661" s="72">
        <v>4.0</v>
      </c>
      <c r="J661" s="72">
        <v>4.0</v>
      </c>
      <c r="K661" s="72">
        <v>3.0</v>
      </c>
      <c r="L661" s="72">
        <v>3.0</v>
      </c>
      <c r="M661" s="72">
        <v>4.0</v>
      </c>
      <c r="N661" s="72">
        <v>3.0</v>
      </c>
      <c r="O661" s="73"/>
    </row>
    <row r="662" ht="15.75" customHeight="1">
      <c r="C662" s="34">
        <v>9217.0</v>
      </c>
      <c r="D662" s="70" t="s">
        <v>812</v>
      </c>
      <c r="E662" s="71" t="str">
        <f>vlookup(C662,'NOC-List'!B$2:C$502,2,False)</f>
        <v>Supervisors, textile, fabric, fur and leather products processing and manufacturing</v>
      </c>
      <c r="F662" s="72">
        <v>3.0</v>
      </c>
      <c r="G662" s="72">
        <v>3.0</v>
      </c>
      <c r="H662" s="72">
        <v>3.0</v>
      </c>
      <c r="I662" s="72">
        <v>4.0</v>
      </c>
      <c r="J662" s="72">
        <v>4.0</v>
      </c>
      <c r="K662" s="72">
        <v>3.0</v>
      </c>
      <c r="L662" s="72">
        <v>3.0</v>
      </c>
      <c r="M662" s="72">
        <v>4.0</v>
      </c>
      <c r="N662" s="72">
        <v>3.0</v>
      </c>
      <c r="O662" s="73"/>
    </row>
    <row r="663" ht="15.75" customHeight="1">
      <c r="C663" s="34">
        <v>1454.0</v>
      </c>
      <c r="D663" s="70" t="s">
        <v>813</v>
      </c>
      <c r="E663" s="71" t="str">
        <f>vlookup(C663,'NOC-List'!B$2:C$502,2,False)</f>
        <v>Survey interviewers and statistical clerks</v>
      </c>
      <c r="F663" s="72">
        <v>3.0</v>
      </c>
      <c r="G663" s="72">
        <v>3.0</v>
      </c>
      <c r="H663" s="72">
        <v>3.0</v>
      </c>
      <c r="I663" s="72">
        <v>4.0</v>
      </c>
      <c r="J663" s="72">
        <v>4.0</v>
      </c>
      <c r="K663" s="72">
        <v>3.0</v>
      </c>
      <c r="L663" s="72">
        <v>3.0</v>
      </c>
      <c r="M663" s="72">
        <v>3.0</v>
      </c>
      <c r="N663" s="72">
        <v>4.0</v>
      </c>
      <c r="O663" s="73"/>
    </row>
    <row r="664" ht="15.75" customHeight="1">
      <c r="C664" s="34">
        <v>6221.0</v>
      </c>
      <c r="D664" s="70" t="s">
        <v>814</v>
      </c>
      <c r="E664" s="71" t="str">
        <f>vlookup(C664,'NOC-List'!B$2:C$502,2,False)</f>
        <v>Technical sales specialists - wholesale trade</v>
      </c>
      <c r="F664" s="72">
        <v>2.0</v>
      </c>
      <c r="G664" s="72">
        <v>2.0</v>
      </c>
      <c r="H664" s="72">
        <v>3.0</v>
      </c>
      <c r="I664" s="72">
        <v>3.0</v>
      </c>
      <c r="J664" s="72">
        <v>3.0</v>
      </c>
      <c r="K664" s="72">
        <v>3.0</v>
      </c>
      <c r="L664" s="72">
        <v>4.0</v>
      </c>
      <c r="M664" s="72">
        <v>4.0</v>
      </c>
      <c r="N664" s="72">
        <v>4.0</v>
      </c>
      <c r="O664" s="73"/>
    </row>
    <row r="665" ht="15.75" customHeight="1">
      <c r="C665" s="34">
        <v>5121.0</v>
      </c>
      <c r="D665" s="70" t="s">
        <v>815</v>
      </c>
      <c r="E665" s="71" t="str">
        <f>vlookup(C665,'NOC-List'!B$2:C$502,2,False)</f>
        <v>Authors and writers</v>
      </c>
      <c r="F665" s="72">
        <v>2.0</v>
      </c>
      <c r="G665" s="72">
        <v>1.0</v>
      </c>
      <c r="H665" s="72">
        <v>4.0</v>
      </c>
      <c r="I665" s="72">
        <v>3.0</v>
      </c>
      <c r="J665" s="72">
        <v>3.0</v>
      </c>
      <c r="K665" s="72">
        <v>3.0</v>
      </c>
      <c r="L665" s="72">
        <v>4.0</v>
      </c>
      <c r="M665" s="72">
        <v>4.0</v>
      </c>
      <c r="N665" s="72">
        <v>4.0</v>
      </c>
      <c r="O665" s="73"/>
    </row>
    <row r="666" ht="15.75" customHeight="1">
      <c r="C666" s="81">
        <v>9465.0</v>
      </c>
      <c r="D666" s="70" t="s">
        <v>816</v>
      </c>
      <c r="E666" s="71" t="str">
        <f>vlookup(C666,'NOC-List'!B$2:C$502,2,False)</f>
        <v>Testers and graders, food, beverage and associated products processing</v>
      </c>
      <c r="F666" s="72">
        <v>3.0</v>
      </c>
      <c r="G666" s="72">
        <v>4.0</v>
      </c>
      <c r="H666" s="72">
        <v>4.0</v>
      </c>
      <c r="I666" s="72">
        <v>4.0</v>
      </c>
      <c r="J666" s="72">
        <v>3.0</v>
      </c>
      <c r="K666" s="72">
        <v>4.0</v>
      </c>
      <c r="L666" s="72">
        <v>4.0</v>
      </c>
      <c r="M666" s="72">
        <v>4.0</v>
      </c>
      <c r="N666" s="72">
        <v>4.0</v>
      </c>
      <c r="O666" s="73"/>
    </row>
    <row r="667" ht="15.75" customHeight="1">
      <c r="C667" s="34">
        <v>3414.0</v>
      </c>
      <c r="D667" s="70" t="s">
        <v>817</v>
      </c>
      <c r="E667" s="71" t="str">
        <f>vlookup(C667,'NOC-List'!B$2:C$502,2,False)</f>
        <v>Other assisting occupations in support of health services</v>
      </c>
      <c r="F667" s="72">
        <v>3.0</v>
      </c>
      <c r="G667" s="72">
        <v>3.0</v>
      </c>
      <c r="H667" s="72">
        <v>4.0</v>
      </c>
      <c r="I667" s="72">
        <v>4.0</v>
      </c>
      <c r="J667" s="72">
        <v>4.0</v>
      </c>
      <c r="K667" s="72">
        <v>3.0</v>
      </c>
      <c r="L667" s="72">
        <v>4.0</v>
      </c>
      <c r="M667" s="72">
        <v>4.0</v>
      </c>
      <c r="N667" s="72">
        <v>3.0</v>
      </c>
      <c r="O667" s="73"/>
    </row>
    <row r="668" ht="15.75" customHeight="1">
      <c r="C668" s="34">
        <v>2282.0</v>
      </c>
      <c r="D668" s="70" t="s">
        <v>818</v>
      </c>
      <c r="E668" s="71" t="str">
        <f>vlookup(C668,'NOC-List'!B$2:C$502,2,False)</f>
        <v>User support technicians</v>
      </c>
      <c r="F668" s="72">
        <v>2.0</v>
      </c>
      <c r="G668" s="72">
        <v>2.0</v>
      </c>
      <c r="H668" s="72">
        <v>3.0</v>
      </c>
      <c r="I668" s="72">
        <v>3.0</v>
      </c>
      <c r="J668" s="72">
        <v>3.0</v>
      </c>
      <c r="K668" s="72">
        <v>3.0</v>
      </c>
      <c r="L668" s="72">
        <v>4.0</v>
      </c>
      <c r="M668" s="72">
        <v>4.0</v>
      </c>
      <c r="N668" s="72">
        <v>4.0</v>
      </c>
      <c r="O668" s="73"/>
    </row>
    <row r="669" ht="15.75" customHeight="1">
      <c r="C669" s="34">
        <v>1314.0</v>
      </c>
      <c r="D669" s="70" t="s">
        <v>819</v>
      </c>
      <c r="E669" s="71" t="str">
        <f>vlookup(C669,'NOC-List'!B$2:C$502,2,False)</f>
        <v>Assessors, valuators and appraisers</v>
      </c>
      <c r="F669" s="72">
        <v>2.0</v>
      </c>
      <c r="G669" s="72">
        <v>3.0</v>
      </c>
      <c r="H669" s="72">
        <v>2.0</v>
      </c>
      <c r="I669" s="72">
        <v>3.0</v>
      </c>
      <c r="J669" s="72">
        <v>3.0</v>
      </c>
      <c r="K669" s="72">
        <v>3.0</v>
      </c>
      <c r="L669" s="72">
        <v>4.0</v>
      </c>
      <c r="M669" s="72">
        <v>4.0</v>
      </c>
      <c r="N669" s="72">
        <v>4.0</v>
      </c>
      <c r="O669" s="73"/>
    </row>
    <row r="670" ht="15.75" customHeight="1">
      <c r="C670" s="81">
        <v>1241.0</v>
      </c>
      <c r="D670" s="70" t="s">
        <v>820</v>
      </c>
      <c r="E670" s="71" t="str">
        <f>vlookup(C670,'NOC-List'!B$2:C$502,2,False)</f>
        <v>Administrative assistants</v>
      </c>
      <c r="F670" s="72">
        <v>3.0</v>
      </c>
      <c r="G670" s="72">
        <v>3.0</v>
      </c>
      <c r="H670" s="72">
        <v>3.0</v>
      </c>
      <c r="I670" s="72">
        <v>4.0</v>
      </c>
      <c r="J670" s="72">
        <v>4.0</v>
      </c>
      <c r="K670" s="72">
        <v>3.0</v>
      </c>
      <c r="L670" s="72">
        <v>4.0</v>
      </c>
      <c r="M670" s="72">
        <v>3.0</v>
      </c>
      <c r="N670" s="72">
        <v>4.0</v>
      </c>
      <c r="O670" s="73"/>
    </row>
    <row r="671" ht="15.75" customHeight="1">
      <c r="C671" s="34">
        <v>1123.0</v>
      </c>
      <c r="D671" s="70" t="s">
        <v>821</v>
      </c>
      <c r="E671" s="71" t="str">
        <f>vlookup(C671,'NOC-List'!B$2:C$502,2,False)</f>
        <v>Professional occupations in advertising, marketing and public relations</v>
      </c>
      <c r="F671" s="72">
        <v>2.0</v>
      </c>
      <c r="G671" s="72">
        <v>2.0</v>
      </c>
      <c r="H671" s="72">
        <v>3.0</v>
      </c>
      <c r="I671" s="72">
        <v>3.0</v>
      </c>
      <c r="J671" s="72">
        <v>3.0</v>
      </c>
      <c r="K671" s="72">
        <v>2.0</v>
      </c>
      <c r="L671" s="72">
        <v>4.0</v>
      </c>
      <c r="M671" s="72">
        <v>4.0</v>
      </c>
      <c r="N671" s="72">
        <v>4.0</v>
      </c>
      <c r="O671" s="73"/>
    </row>
    <row r="672" ht="15.75" customHeight="1">
      <c r="C672" s="34">
        <v>2123.0</v>
      </c>
      <c r="D672" s="70" t="s">
        <v>822</v>
      </c>
      <c r="E672" s="71" t="str">
        <f>vlookup(C672,'NOC-List'!B$2:C$502,2,False)</f>
        <v>Agricultural representatives, consultants and specialists</v>
      </c>
      <c r="F672" s="72">
        <v>1.0</v>
      </c>
      <c r="G672" s="72">
        <v>2.0</v>
      </c>
      <c r="H672" s="72">
        <v>2.0</v>
      </c>
      <c r="I672" s="72">
        <v>4.0</v>
      </c>
      <c r="J672" s="72">
        <v>3.0</v>
      </c>
      <c r="K672" s="72">
        <v>3.0</v>
      </c>
      <c r="L672" s="72">
        <v>4.0</v>
      </c>
      <c r="M672" s="72">
        <v>3.0</v>
      </c>
      <c r="N672" s="72">
        <v>3.0</v>
      </c>
      <c r="O672" s="73"/>
    </row>
    <row r="673" ht="15.75" customHeight="1">
      <c r="C673" s="34">
        <v>4423.0</v>
      </c>
      <c r="D673" s="70" t="s">
        <v>823</v>
      </c>
      <c r="E673" s="71" t="str">
        <f>vlookup(C673,'NOC-List'!B$2:C$502,2,False)</f>
        <v>By-law enforcement and other regulatory officers, n.e.c.</v>
      </c>
      <c r="F673" s="72">
        <v>4.0</v>
      </c>
      <c r="G673" s="72">
        <v>4.0</v>
      </c>
      <c r="H673" s="72">
        <v>4.0</v>
      </c>
      <c r="I673" s="72">
        <v>4.0</v>
      </c>
      <c r="J673" s="72">
        <v>4.0</v>
      </c>
      <c r="K673" s="72">
        <v>4.0</v>
      </c>
      <c r="L673" s="72">
        <v>4.0</v>
      </c>
      <c r="M673" s="72">
        <v>4.0</v>
      </c>
      <c r="N673" s="72">
        <v>3.0</v>
      </c>
      <c r="O673" s="73"/>
    </row>
    <row r="674" ht="15.75" customHeight="1">
      <c r="C674" s="34">
        <v>8613.0</v>
      </c>
      <c r="D674" s="70" t="s">
        <v>824</v>
      </c>
      <c r="E674" s="71" t="str">
        <f>vlookup(C674,'NOC-List'!B$2:C$502,2,False)</f>
        <v>Aquaculture and marine harvest labourers</v>
      </c>
      <c r="F674" s="72">
        <v>4.0</v>
      </c>
      <c r="G674" s="72">
        <v>4.0</v>
      </c>
      <c r="H674" s="72">
        <v>4.0</v>
      </c>
      <c r="I674" s="72">
        <v>4.0</v>
      </c>
      <c r="J674" s="72">
        <v>4.0</v>
      </c>
      <c r="K674" s="72">
        <v>4.0</v>
      </c>
      <c r="L674" s="72">
        <v>4.0</v>
      </c>
      <c r="M674" s="72">
        <v>3.0</v>
      </c>
      <c r="N674" s="72">
        <v>4.0</v>
      </c>
      <c r="O674" s="73"/>
    </row>
    <row r="675" ht="15.75" customHeight="1">
      <c r="C675" s="34">
        <v>6564.0</v>
      </c>
      <c r="D675" s="70" t="s">
        <v>825</v>
      </c>
      <c r="E675" s="71" t="str">
        <f>vlookup(C675,'NOC-List'!B$2:C$502,2,False)</f>
        <v>Other personal service occupations</v>
      </c>
      <c r="F675" s="72">
        <v>3.0</v>
      </c>
      <c r="G675" s="72">
        <v>3.0</v>
      </c>
      <c r="H675" s="72">
        <v>3.0</v>
      </c>
      <c r="I675" s="72">
        <v>3.0</v>
      </c>
      <c r="J675" s="72">
        <v>4.0</v>
      </c>
      <c r="K675" s="72">
        <v>3.0</v>
      </c>
      <c r="L675" s="72">
        <v>4.0</v>
      </c>
      <c r="M675" s="72">
        <v>4.0</v>
      </c>
      <c r="N675" s="72">
        <v>4.0</v>
      </c>
      <c r="O675" s="73"/>
    </row>
    <row r="676" ht="15.75" customHeight="1">
      <c r="C676" s="34">
        <v>2111.0</v>
      </c>
      <c r="D676" s="70" t="s">
        <v>826</v>
      </c>
      <c r="E676" s="71" t="str">
        <f>vlookup(C676,'NOC-List'!B$2:C$502,2,False)</f>
        <v>Physicists and astronomers</v>
      </c>
      <c r="F676" s="72">
        <v>1.0</v>
      </c>
      <c r="G676" s="72">
        <v>1.0</v>
      </c>
      <c r="H676" s="72">
        <v>1.0</v>
      </c>
      <c r="I676" s="72">
        <v>1.0</v>
      </c>
      <c r="J676" s="72">
        <v>1.0</v>
      </c>
      <c r="K676" s="72">
        <v>3.0</v>
      </c>
      <c r="L676" s="72">
        <v>3.0</v>
      </c>
      <c r="M676" s="72">
        <v>3.0</v>
      </c>
      <c r="N676" s="72">
        <v>3.0</v>
      </c>
      <c r="O676" s="73"/>
    </row>
    <row r="677" ht="15.75" customHeight="1">
      <c r="C677" s="81">
        <v>6621.0</v>
      </c>
      <c r="D677" s="70" t="s">
        <v>827</v>
      </c>
      <c r="E677" s="71" t="str">
        <f>vlookup(C677,'NOC-List'!B$2:C$502,2,False)</f>
        <v>Service station attendants</v>
      </c>
      <c r="F677" s="72">
        <v>4.0</v>
      </c>
      <c r="G677" s="72">
        <v>4.0</v>
      </c>
      <c r="H677" s="72">
        <v>4.0</v>
      </c>
      <c r="I677" s="72">
        <v>4.0</v>
      </c>
      <c r="J677" s="72">
        <v>4.0</v>
      </c>
      <c r="K677" s="72">
        <v>4.0</v>
      </c>
      <c r="L677" s="72">
        <v>4.0</v>
      </c>
      <c r="M677" s="72">
        <v>4.0</v>
      </c>
      <c r="N677" s="72">
        <v>3.0</v>
      </c>
      <c r="O677" s="73"/>
    </row>
    <row r="678" ht="15.75" customHeight="1">
      <c r="C678" s="34">
        <v>6512.0</v>
      </c>
      <c r="D678" s="70" t="s">
        <v>828</v>
      </c>
      <c r="E678" s="71" t="str">
        <f>vlookup(C678,'NOC-List'!B$2:C$502,2,False)</f>
        <v>Bartenders</v>
      </c>
      <c r="F678" s="72">
        <v>4.0</v>
      </c>
      <c r="G678" s="72">
        <v>4.0</v>
      </c>
      <c r="H678" s="72">
        <v>3.0</v>
      </c>
      <c r="I678" s="72">
        <v>4.0</v>
      </c>
      <c r="J678" s="72">
        <v>4.0</v>
      </c>
      <c r="K678" s="72">
        <v>4.0</v>
      </c>
      <c r="L678" s="72">
        <v>3.0</v>
      </c>
      <c r="M678" s="72">
        <v>4.0</v>
      </c>
      <c r="N678" s="72">
        <v>3.0</v>
      </c>
      <c r="O678" s="73"/>
    </row>
    <row r="679" ht="15.75" customHeight="1">
      <c r="C679" s="34">
        <v>6732.0</v>
      </c>
      <c r="D679" s="70" t="s">
        <v>829</v>
      </c>
      <c r="E679" s="71" t="str">
        <f>vlookup(C679,'NOC-List'!B$2:C$502,2,False)</f>
        <v>Specialized cleaners</v>
      </c>
      <c r="F679" s="72">
        <v>4.0</v>
      </c>
      <c r="G679" s="72">
        <v>4.0</v>
      </c>
      <c r="H679" s="72">
        <v>4.0</v>
      </c>
      <c r="I679" s="72">
        <v>4.0</v>
      </c>
      <c r="J679" s="72">
        <v>4.0</v>
      </c>
      <c r="K679" s="72">
        <v>4.0</v>
      </c>
      <c r="L679" s="72">
        <v>4.0</v>
      </c>
      <c r="M679" s="72">
        <v>4.0</v>
      </c>
      <c r="N679" s="72">
        <v>3.0</v>
      </c>
      <c r="O679" s="73"/>
    </row>
    <row r="680" ht="15.75" customHeight="1">
      <c r="C680" s="81">
        <v>8421.0</v>
      </c>
      <c r="D680" s="70" t="s">
        <v>830</v>
      </c>
      <c r="E680" s="71" t="str">
        <f>vlookup(C680,'NOC-List'!B$2:C$502,2,False)</f>
        <v>Chain saw and skidder operators</v>
      </c>
      <c r="F680" s="72">
        <v>4.0</v>
      </c>
      <c r="G680" s="72">
        <v>4.0</v>
      </c>
      <c r="H680" s="72">
        <v>5.0</v>
      </c>
      <c r="I680" s="72">
        <v>3.0</v>
      </c>
      <c r="J680" s="72">
        <v>4.0</v>
      </c>
      <c r="K680" s="72">
        <v>5.0</v>
      </c>
      <c r="L680" s="72">
        <v>3.0</v>
      </c>
      <c r="M680" s="72">
        <v>4.0</v>
      </c>
      <c r="N680" s="72">
        <v>3.0</v>
      </c>
      <c r="O680" s="73"/>
    </row>
    <row r="681" ht="15.75" customHeight="1">
      <c r="C681" s="34">
        <v>1226.0</v>
      </c>
      <c r="D681" s="70" t="s">
        <v>831</v>
      </c>
      <c r="E681" s="71" t="str">
        <f>vlookup(C681,'NOC-List'!B$2:C$502,2,False)</f>
        <v>Conference and event planners</v>
      </c>
      <c r="F681" s="72">
        <v>2.0</v>
      </c>
      <c r="G681" s="72">
        <v>2.0</v>
      </c>
      <c r="H681" s="72">
        <v>3.0</v>
      </c>
      <c r="I681" s="72">
        <v>3.0</v>
      </c>
      <c r="J681" s="72">
        <v>4.0</v>
      </c>
      <c r="K681" s="72">
        <v>3.0</v>
      </c>
      <c r="L681" s="72">
        <v>4.0</v>
      </c>
      <c r="M681" s="72">
        <v>4.0</v>
      </c>
      <c r="N681" s="72">
        <v>4.0</v>
      </c>
      <c r="O681" s="73"/>
    </row>
    <row r="682" ht="15.75" customHeight="1">
      <c r="C682" s="34">
        <v>2234.0</v>
      </c>
      <c r="D682" s="70" t="s">
        <v>832</v>
      </c>
      <c r="E682" s="71" t="str">
        <f>vlookup(C682,'NOC-List'!B$2:C$502,2,False)</f>
        <v>Construction estimators</v>
      </c>
      <c r="F682" s="72">
        <v>2.0</v>
      </c>
      <c r="G682" s="72">
        <v>2.0</v>
      </c>
      <c r="H682" s="72">
        <v>2.0</v>
      </c>
      <c r="I682" s="72">
        <v>3.0</v>
      </c>
      <c r="J682" s="72">
        <v>3.0</v>
      </c>
      <c r="K682" s="72">
        <v>3.0</v>
      </c>
      <c r="L682" s="72">
        <v>4.0</v>
      </c>
      <c r="M682" s="72">
        <v>4.0</v>
      </c>
      <c r="N682" s="72">
        <v>4.0</v>
      </c>
      <c r="O682" s="73"/>
    </row>
    <row r="683" ht="15.75" customHeight="1">
      <c r="C683" s="34">
        <v>711.0</v>
      </c>
      <c r="D683" s="70" t="s">
        <v>833</v>
      </c>
      <c r="E683" s="71" t="str">
        <f>vlookup(C683,'NOC-List'!B$2:C$502,2,False)</f>
        <v>Construction managers</v>
      </c>
      <c r="F683" s="72">
        <v>2.0</v>
      </c>
      <c r="G683" s="72">
        <v>2.0</v>
      </c>
      <c r="H683" s="72">
        <v>2.0</v>
      </c>
      <c r="I683" s="72">
        <v>3.0</v>
      </c>
      <c r="J683" s="72">
        <v>3.0</v>
      </c>
      <c r="K683" s="72">
        <v>3.0</v>
      </c>
      <c r="L683" s="72">
        <v>4.0</v>
      </c>
      <c r="M683" s="72">
        <v>4.0</v>
      </c>
      <c r="N683" s="72">
        <v>4.0</v>
      </c>
      <c r="O683" s="73"/>
    </row>
    <row r="684" ht="15.75" customHeight="1">
      <c r="C684" s="34">
        <v>5226.0</v>
      </c>
      <c r="D684" s="70" t="s">
        <v>834</v>
      </c>
      <c r="E684" s="71" t="str">
        <f>vlookup(C684,'NOC-List'!B$2:C$502,2,False)</f>
        <v>Other technical and co-ordinating occupations in motion pictures, broadcasting and the performing arts</v>
      </c>
      <c r="F684" s="72">
        <v>3.0</v>
      </c>
      <c r="G684" s="72">
        <v>3.0</v>
      </c>
      <c r="H684" s="72">
        <v>4.0</v>
      </c>
      <c r="I684" s="72">
        <v>4.0</v>
      </c>
      <c r="J684" s="72">
        <v>4.0</v>
      </c>
      <c r="K684" s="72">
        <v>3.0</v>
      </c>
      <c r="L684" s="72">
        <v>4.0</v>
      </c>
      <c r="M684" s="72">
        <v>4.0</v>
      </c>
      <c r="N684" s="72">
        <v>4.0</v>
      </c>
      <c r="O684" s="73"/>
    </row>
    <row r="685" ht="15.75" customHeight="1">
      <c r="C685" s="34">
        <v>1513.0</v>
      </c>
      <c r="D685" s="70" t="s">
        <v>835</v>
      </c>
      <c r="E685" s="71" t="str">
        <f>vlookup(C685,'NOC-List'!B$2:C$502,2,False)</f>
        <v>Couriers, messengers and door-to-door distributors</v>
      </c>
      <c r="F685" s="72">
        <v>4.0</v>
      </c>
      <c r="G685" s="72">
        <v>4.0</v>
      </c>
      <c r="H685" s="72">
        <v>4.0</v>
      </c>
      <c r="I685" s="72">
        <v>4.0</v>
      </c>
      <c r="J685" s="72">
        <v>4.0</v>
      </c>
      <c r="K685" s="72">
        <v>3.0</v>
      </c>
      <c r="L685" s="72">
        <v>4.0</v>
      </c>
      <c r="M685" s="72">
        <v>4.0</v>
      </c>
      <c r="N685" s="72">
        <v>4.0</v>
      </c>
      <c r="O685" s="73"/>
    </row>
    <row r="686" ht="15.75" customHeight="1">
      <c r="C686" s="34">
        <v>2172.0</v>
      </c>
      <c r="D686" s="70" t="s">
        <v>836</v>
      </c>
      <c r="E686" s="71" t="str">
        <f>vlookup(C686,'NOC-List'!B$2:C$502,2,False)</f>
        <v>Database analysts and data administrators</v>
      </c>
      <c r="F686" s="72">
        <v>2.0</v>
      </c>
      <c r="G686" s="72">
        <v>2.0</v>
      </c>
      <c r="H686" s="72">
        <v>2.0</v>
      </c>
      <c r="I686" s="72">
        <v>2.0</v>
      </c>
      <c r="J686" s="72">
        <v>3.0</v>
      </c>
      <c r="K686" s="72">
        <v>2.0</v>
      </c>
      <c r="L686" s="72">
        <v>4.0</v>
      </c>
      <c r="M686" s="72">
        <v>4.0</v>
      </c>
      <c r="N686" s="72">
        <v>4.0</v>
      </c>
      <c r="O686" s="73"/>
    </row>
    <row r="687" ht="15.75" customHeight="1">
      <c r="C687" s="81">
        <v>6741.0</v>
      </c>
      <c r="D687" s="70" t="s">
        <v>837</v>
      </c>
      <c r="E687" s="71" t="str">
        <f>vlookup(C687,'NOC-List'!B$2:C$502,2,False)</f>
        <v>Dry cleaning, laundry and related occupations</v>
      </c>
      <c r="F687" s="72">
        <v>3.0</v>
      </c>
      <c r="G687" s="72">
        <v>3.0</v>
      </c>
      <c r="H687" s="72">
        <v>4.0</v>
      </c>
      <c r="I687" s="72">
        <v>4.0</v>
      </c>
      <c r="J687" s="72">
        <v>4.0</v>
      </c>
      <c r="K687" s="72">
        <v>3.0</v>
      </c>
      <c r="L687" s="72">
        <v>4.0</v>
      </c>
      <c r="M687" s="72">
        <v>4.0</v>
      </c>
      <c r="N687" s="72">
        <v>4.0</v>
      </c>
      <c r="O687" s="73"/>
    </row>
    <row r="688" ht="15.75" customHeight="1">
      <c r="C688" s="34">
        <v>912.0</v>
      </c>
      <c r="D688" s="70" t="s">
        <v>838</v>
      </c>
      <c r="E688" s="71" t="str">
        <f>vlookup(C688,'NOC-List'!B$2:C$502,2,False)</f>
        <v>Utilities managers</v>
      </c>
      <c r="F688" s="72">
        <v>2.0</v>
      </c>
      <c r="G688" s="72">
        <v>2.0</v>
      </c>
      <c r="H688" s="72">
        <v>2.0</v>
      </c>
      <c r="I688" s="72">
        <v>3.0</v>
      </c>
      <c r="J688" s="72">
        <v>3.0</v>
      </c>
      <c r="K688" s="72">
        <v>3.0</v>
      </c>
      <c r="L688" s="72">
        <v>4.0</v>
      </c>
      <c r="M688" s="72">
        <v>4.0</v>
      </c>
      <c r="N688" s="72">
        <v>4.0</v>
      </c>
      <c r="O688" s="73"/>
    </row>
    <row r="689" ht="15.75" customHeight="1">
      <c r="C689" s="81">
        <v>2262.0</v>
      </c>
      <c r="D689" s="70" t="s">
        <v>839</v>
      </c>
      <c r="E689" s="71" t="str">
        <f>vlookup(C689,'NOC-List'!B$2:C$502,2,False)</f>
        <v>Engineering inspectors and regulatory officers</v>
      </c>
      <c r="F689" s="72">
        <v>3.0</v>
      </c>
      <c r="G689" s="72">
        <v>3.0</v>
      </c>
      <c r="H689" s="72">
        <v>3.0</v>
      </c>
      <c r="I689" s="72">
        <v>4.0</v>
      </c>
      <c r="J689" s="72">
        <v>4.0</v>
      </c>
      <c r="K689" s="72">
        <v>4.0</v>
      </c>
      <c r="L689" s="72">
        <v>3.0</v>
      </c>
      <c r="M689" s="72">
        <v>4.0</v>
      </c>
      <c r="N689" s="72">
        <v>3.0</v>
      </c>
      <c r="O689" s="73"/>
    </row>
    <row r="690" ht="15.75" customHeight="1">
      <c r="C690" s="34">
        <v>4161.0</v>
      </c>
      <c r="D690" s="70" t="s">
        <v>840</v>
      </c>
      <c r="E690" s="71" t="str">
        <f>vlookup(C690,'NOC-List'!B$2:C$502,2,False)</f>
        <v>Natural and applied science policy researchers, consultants and program officers</v>
      </c>
      <c r="F690" s="72">
        <v>2.0</v>
      </c>
      <c r="G690" s="72">
        <v>2.0</v>
      </c>
      <c r="H690" s="72">
        <v>2.0</v>
      </c>
      <c r="I690" s="72">
        <v>3.0</v>
      </c>
      <c r="J690" s="72">
        <v>3.0</v>
      </c>
      <c r="K690" s="72">
        <v>3.0</v>
      </c>
      <c r="L690" s="72">
        <v>4.0</v>
      </c>
      <c r="M690" s="72">
        <v>4.0</v>
      </c>
      <c r="N690" s="72">
        <v>4.0</v>
      </c>
      <c r="O690" s="73"/>
    </row>
    <row r="691" ht="15.75" customHeight="1">
      <c r="C691" s="34">
        <v>3144.0</v>
      </c>
      <c r="D691" s="70" t="s">
        <v>841</v>
      </c>
      <c r="E691" s="71" t="str">
        <f>vlookup(C691,'NOC-List'!B$2:C$502,2,False)</f>
        <v>Other professional occupations in therapy and assessment</v>
      </c>
      <c r="F691" s="72">
        <v>3.0</v>
      </c>
      <c r="G691" s="72">
        <v>2.0</v>
      </c>
      <c r="H691" s="72">
        <v>3.0</v>
      </c>
      <c r="I691" s="72">
        <v>3.0</v>
      </c>
      <c r="J691" s="72">
        <v>3.0</v>
      </c>
      <c r="K691" s="72">
        <v>4.0</v>
      </c>
      <c r="L691" s="72">
        <v>3.0</v>
      </c>
      <c r="M691" s="72">
        <v>4.0</v>
      </c>
      <c r="N691" s="72">
        <v>4.0</v>
      </c>
      <c r="O691" s="73"/>
    </row>
    <row r="692" ht="15.75" customHeight="1">
      <c r="C692" s="34">
        <v>9472.0</v>
      </c>
      <c r="D692" s="70" t="s">
        <v>842</v>
      </c>
      <c r="E692" s="71" t="str">
        <f>vlookup(C692,'NOC-List'!B$2:C$502,2,False)</f>
        <v>Camera, platemaking and other prepress occupations</v>
      </c>
      <c r="F692" s="72">
        <v>3.0</v>
      </c>
      <c r="G692" s="72">
        <v>3.0</v>
      </c>
      <c r="H692" s="72">
        <v>3.0</v>
      </c>
      <c r="I692" s="72">
        <v>3.0</v>
      </c>
      <c r="J692" s="72">
        <v>2.0</v>
      </c>
      <c r="K692" s="72">
        <v>4.0</v>
      </c>
      <c r="L692" s="72">
        <v>3.0</v>
      </c>
      <c r="M692" s="72">
        <v>4.0</v>
      </c>
      <c r="N692" s="72">
        <v>4.0</v>
      </c>
      <c r="O692" s="73"/>
    </row>
    <row r="693" ht="15.75" customHeight="1">
      <c r="C693" s="34">
        <v>432.0</v>
      </c>
      <c r="D693" s="70" t="s">
        <v>843</v>
      </c>
      <c r="E693" s="71" t="str">
        <f>vlookup(C693,'NOC-List'!B$2:C$502,2,False)</f>
        <v>Fire chiefs and senior firefighting officers</v>
      </c>
      <c r="F693" s="72">
        <v>2.0</v>
      </c>
      <c r="G693" s="72">
        <v>2.0</v>
      </c>
      <c r="H693" s="72">
        <v>3.0</v>
      </c>
      <c r="I693" s="72">
        <v>3.0</v>
      </c>
      <c r="J693" s="72">
        <v>3.0</v>
      </c>
      <c r="K693" s="72">
        <v>4.0</v>
      </c>
      <c r="L693" s="72">
        <v>4.0</v>
      </c>
      <c r="M693" s="72">
        <v>4.0</v>
      </c>
      <c r="N693" s="72">
        <v>4.0</v>
      </c>
      <c r="O693" s="73"/>
    </row>
    <row r="694" ht="15.75" customHeight="1">
      <c r="C694" s="34">
        <v>2222.0</v>
      </c>
      <c r="D694" s="70" t="s">
        <v>844</v>
      </c>
      <c r="E694" s="71" t="str">
        <f>vlookup(C694,'NOC-List'!B$2:C$502,2,False)</f>
        <v>Agricultural and fish products inspectors</v>
      </c>
      <c r="F694" s="72">
        <v>2.0</v>
      </c>
      <c r="G694" s="72">
        <v>3.0</v>
      </c>
      <c r="H694" s="72">
        <v>3.0</v>
      </c>
      <c r="I694" s="72">
        <v>4.0</v>
      </c>
      <c r="J694" s="72">
        <v>2.0</v>
      </c>
      <c r="K694" s="72">
        <v>4.0</v>
      </c>
      <c r="L694" s="72">
        <v>4.0</v>
      </c>
      <c r="M694" s="72">
        <v>4.0</v>
      </c>
      <c r="N694" s="72">
        <v>3.0</v>
      </c>
      <c r="O694" s="73"/>
    </row>
    <row r="695" ht="15.75" customHeight="1">
      <c r="C695" s="34">
        <v>5254.0</v>
      </c>
      <c r="D695" s="70" t="s">
        <v>845</v>
      </c>
      <c r="E695" s="71" t="str">
        <f>vlookup(C695,'NOC-List'!B$2:C$502,2,False)</f>
        <v>Program leaders and instructors in recreation, sport and fitness</v>
      </c>
      <c r="F695" s="72">
        <v>3.0</v>
      </c>
      <c r="G695" s="72">
        <v>2.0</v>
      </c>
      <c r="H695" s="72">
        <v>3.0</v>
      </c>
      <c r="I695" s="72">
        <v>3.0</v>
      </c>
      <c r="J695" s="72">
        <v>3.0</v>
      </c>
      <c r="K695" s="72">
        <v>4.0</v>
      </c>
      <c r="L695" s="72">
        <v>3.0</v>
      </c>
      <c r="M695" s="72">
        <v>4.0</v>
      </c>
      <c r="N695" s="72">
        <v>4.0</v>
      </c>
      <c r="O695" s="73"/>
    </row>
    <row r="696" ht="15.75" customHeight="1">
      <c r="C696" s="34">
        <v>4167.0</v>
      </c>
      <c r="D696" s="70" t="s">
        <v>846</v>
      </c>
      <c r="E696" s="71" t="str">
        <f>vlookup(C696,'NOC-List'!B$2:C$502,2,False)</f>
        <v>Recreation, sports and fitness policy researchers, consultants and program officers</v>
      </c>
      <c r="F696" s="72">
        <v>3.0</v>
      </c>
      <c r="G696" s="72">
        <v>2.0</v>
      </c>
      <c r="H696" s="72">
        <v>3.0</v>
      </c>
      <c r="I696" s="72">
        <v>3.0</v>
      </c>
      <c r="J696" s="72">
        <v>3.0</v>
      </c>
      <c r="K696" s="72">
        <v>4.0</v>
      </c>
      <c r="L696" s="72">
        <v>3.0</v>
      </c>
      <c r="M696" s="72">
        <v>4.0</v>
      </c>
      <c r="N696" s="72">
        <v>4.0</v>
      </c>
      <c r="O696" s="73"/>
    </row>
    <row r="697" ht="15.75" customHeight="1">
      <c r="C697" s="34">
        <v>6522.0</v>
      </c>
      <c r="D697" s="70" t="s">
        <v>847</v>
      </c>
      <c r="E697" s="71" t="str">
        <f>vlookup(C697,'NOC-List'!B$2:C$502,2,False)</f>
        <v>Pursers and flight attendants</v>
      </c>
      <c r="F697" s="72">
        <v>3.0</v>
      </c>
      <c r="G697" s="72">
        <v>3.0</v>
      </c>
      <c r="H697" s="72">
        <v>4.0</v>
      </c>
      <c r="I697" s="72">
        <v>4.0</v>
      </c>
      <c r="J697" s="72">
        <v>4.0</v>
      </c>
      <c r="K697" s="72">
        <v>3.0</v>
      </c>
      <c r="L697" s="72">
        <v>4.0</v>
      </c>
      <c r="M697" s="72">
        <v>4.0</v>
      </c>
      <c r="N697" s="72">
        <v>4.0</v>
      </c>
      <c r="O697" s="73"/>
    </row>
    <row r="698" ht="15.75" customHeight="1">
      <c r="C698" s="34">
        <v>6522.0</v>
      </c>
      <c r="D698" s="70" t="s">
        <v>848</v>
      </c>
      <c r="E698" s="71" t="str">
        <f>vlookup(C698,'NOC-List'!B$2:C$502,2,False)</f>
        <v>Pursers and flight attendants</v>
      </c>
      <c r="F698" s="72">
        <v>3.0</v>
      </c>
      <c r="G698" s="72">
        <v>3.0</v>
      </c>
      <c r="H698" s="72">
        <v>4.0</v>
      </c>
      <c r="I698" s="72">
        <v>4.0</v>
      </c>
      <c r="J698" s="72">
        <v>4.0</v>
      </c>
      <c r="K698" s="72">
        <v>3.0</v>
      </c>
      <c r="L698" s="72">
        <v>4.0</v>
      </c>
      <c r="M698" s="72">
        <v>4.0</v>
      </c>
      <c r="N698" s="72">
        <v>4.0</v>
      </c>
      <c r="O698" s="73"/>
    </row>
    <row r="699" ht="15.75" customHeight="1">
      <c r="C699" s="34">
        <v>2222.0</v>
      </c>
      <c r="D699" s="70" t="s">
        <v>849</v>
      </c>
      <c r="E699" s="71" t="str">
        <f>vlookup(C699,'NOC-List'!B$2:C$502,2,False)</f>
        <v>Agricultural and fish products inspectors</v>
      </c>
      <c r="F699" s="72">
        <v>2.0</v>
      </c>
      <c r="G699" s="72">
        <v>3.0</v>
      </c>
      <c r="H699" s="72">
        <v>3.0</v>
      </c>
      <c r="I699" s="72">
        <v>4.0</v>
      </c>
      <c r="J699" s="72">
        <v>2.0</v>
      </c>
      <c r="K699" s="72">
        <v>4.0</v>
      </c>
      <c r="L699" s="72">
        <v>4.0</v>
      </c>
      <c r="M699" s="72">
        <v>4.0</v>
      </c>
      <c r="N699" s="72">
        <v>3.0</v>
      </c>
      <c r="O699" s="73"/>
    </row>
    <row r="700" ht="15.75" customHeight="1">
      <c r="C700" s="34">
        <v>3112.0</v>
      </c>
      <c r="D700" s="70" t="s">
        <v>850</v>
      </c>
      <c r="E700" s="71" t="str">
        <f>vlookup(C700,'NOC-List'!B$2:C$502,2,False)</f>
        <v>General practitioners and family physicians</v>
      </c>
      <c r="F700" s="72">
        <v>1.0</v>
      </c>
      <c r="G700" s="72">
        <v>1.0</v>
      </c>
      <c r="H700" s="72">
        <v>2.0</v>
      </c>
      <c r="I700" s="72">
        <v>2.0</v>
      </c>
      <c r="J700" s="72">
        <v>2.0</v>
      </c>
      <c r="K700" s="72">
        <v>2.0</v>
      </c>
      <c r="L700" s="72">
        <v>3.0</v>
      </c>
      <c r="M700" s="72">
        <v>2.0</v>
      </c>
      <c r="N700" s="72">
        <v>2.0</v>
      </c>
      <c r="O700" s="73"/>
    </row>
    <row r="701" ht="15.75" customHeight="1">
      <c r="C701" s="34">
        <v>2222.0</v>
      </c>
      <c r="D701" s="70" t="s">
        <v>851</v>
      </c>
      <c r="E701" s="71" t="str">
        <f>vlookup(C701,'NOC-List'!B$2:C$502,2,False)</f>
        <v>Agricultural and fish products inspectors</v>
      </c>
      <c r="F701" s="72">
        <v>2.0</v>
      </c>
      <c r="G701" s="72">
        <v>3.0</v>
      </c>
      <c r="H701" s="72">
        <v>3.0</v>
      </c>
      <c r="I701" s="72">
        <v>4.0</v>
      </c>
      <c r="J701" s="72">
        <v>2.0</v>
      </c>
      <c r="K701" s="72">
        <v>4.0</v>
      </c>
      <c r="L701" s="72">
        <v>4.0</v>
      </c>
      <c r="M701" s="72">
        <v>4.0</v>
      </c>
      <c r="N701" s="72">
        <v>3.0</v>
      </c>
      <c r="O701" s="73"/>
    </row>
    <row r="702" ht="15.75" customHeight="1">
      <c r="C702" s="81">
        <v>9472.0</v>
      </c>
      <c r="D702" s="70" t="s">
        <v>852</v>
      </c>
      <c r="E702" s="71" t="str">
        <f>vlookup(C702,'NOC-List'!B$2:C$502,2,False)</f>
        <v>Camera, platemaking and other prepress occupations</v>
      </c>
      <c r="F702" s="72">
        <v>3.0</v>
      </c>
      <c r="G702" s="72">
        <v>3.0</v>
      </c>
      <c r="H702" s="72">
        <v>3.0</v>
      </c>
      <c r="I702" s="72">
        <v>3.0</v>
      </c>
      <c r="J702" s="72">
        <v>2.0</v>
      </c>
      <c r="K702" s="72">
        <v>4.0</v>
      </c>
      <c r="L702" s="72">
        <v>3.0</v>
      </c>
      <c r="M702" s="72">
        <v>4.0</v>
      </c>
      <c r="N702" s="72">
        <v>4.0</v>
      </c>
      <c r="O702" s="73"/>
    </row>
    <row r="703" ht="15.75" customHeight="1">
      <c r="C703" s="34">
        <v>5227.0</v>
      </c>
      <c r="D703" s="70" t="s">
        <v>853</v>
      </c>
      <c r="E703" s="71" t="str">
        <f>vlookup(C703,'NOC-List'!B$2:C$502,2,False)</f>
        <v>Support occupations in motion pictures, broadcasting, photography and the performing arts</v>
      </c>
      <c r="F703" s="72">
        <v>4.0</v>
      </c>
      <c r="G703" s="72">
        <v>4.0</v>
      </c>
      <c r="H703" s="72">
        <v>5.0</v>
      </c>
      <c r="I703" s="72">
        <v>3.0</v>
      </c>
      <c r="J703" s="72">
        <v>4.0</v>
      </c>
      <c r="K703" s="72">
        <v>5.0</v>
      </c>
      <c r="L703" s="72">
        <v>3.0</v>
      </c>
      <c r="M703" s="72">
        <v>4.0</v>
      </c>
      <c r="N703" s="72">
        <v>3.0</v>
      </c>
      <c r="O703" s="73"/>
    </row>
    <row r="704" ht="15.75" customHeight="1">
      <c r="C704" s="34">
        <v>5244.0</v>
      </c>
      <c r="D704" s="70" t="s">
        <v>854</v>
      </c>
      <c r="E704" s="71" t="str">
        <f>vlookup(C704,'NOC-List'!B$2:C$502,2,False)</f>
        <v>Artisans and craftspersons</v>
      </c>
      <c r="F704" s="72">
        <v>3.0</v>
      </c>
      <c r="G704" s="72">
        <v>4.0</v>
      </c>
      <c r="H704" s="72">
        <v>4.0</v>
      </c>
      <c r="I704" s="72">
        <v>2.0</v>
      </c>
      <c r="J704" s="72">
        <v>2.0</v>
      </c>
      <c r="K704" s="72">
        <v>4.0</v>
      </c>
      <c r="L704" s="72">
        <v>2.0</v>
      </c>
      <c r="M704" s="72">
        <v>3.0</v>
      </c>
      <c r="N704" s="72">
        <v>2.0</v>
      </c>
      <c r="O704" s="73"/>
    </row>
    <row r="705" ht="15.75" customHeight="1">
      <c r="C705" s="34">
        <v>8612.0</v>
      </c>
      <c r="D705" s="70" t="s">
        <v>855</v>
      </c>
      <c r="E705" s="71" t="str">
        <f>vlookup(C705,'NOC-List'!B$2:C$502,2,False)</f>
        <v>Landscaping and grounds maintenance labourers</v>
      </c>
      <c r="F705" s="72">
        <v>4.0</v>
      </c>
      <c r="G705" s="72">
        <v>4.0</v>
      </c>
      <c r="H705" s="72">
        <v>5.0</v>
      </c>
      <c r="I705" s="72">
        <v>4.0</v>
      </c>
      <c r="J705" s="72">
        <v>4.0</v>
      </c>
      <c r="K705" s="72">
        <v>5.0</v>
      </c>
      <c r="L705" s="72">
        <v>3.0</v>
      </c>
      <c r="M705" s="72">
        <v>4.0</v>
      </c>
      <c r="N705" s="72">
        <v>3.0</v>
      </c>
      <c r="O705" s="73"/>
    </row>
    <row r="706" ht="15.75" customHeight="1">
      <c r="C706" s="34">
        <v>6742.0</v>
      </c>
      <c r="D706" s="70" t="s">
        <v>856</v>
      </c>
      <c r="E706" s="71" t="str">
        <f>vlookup(C706,'NOC-List'!B$2:C$502,2,False)</f>
        <v>Other service support occupations, n.e.c.</v>
      </c>
      <c r="F706" s="72">
        <v>4.0</v>
      </c>
      <c r="G706" s="72">
        <v>4.0</v>
      </c>
      <c r="H706" s="72">
        <v>4.0</v>
      </c>
      <c r="I706" s="72">
        <v>4.0</v>
      </c>
      <c r="J706" s="72">
        <v>4.0</v>
      </c>
      <c r="K706" s="72">
        <v>4.0</v>
      </c>
      <c r="L706" s="72">
        <v>4.0</v>
      </c>
      <c r="M706" s="72">
        <v>4.0</v>
      </c>
      <c r="N706" s="72">
        <v>4.0</v>
      </c>
      <c r="O706" s="73"/>
    </row>
    <row r="707" ht="15.75" customHeight="1">
      <c r="C707" s="81">
        <v>4211.0</v>
      </c>
      <c r="D707" s="70" t="s">
        <v>857</v>
      </c>
      <c r="E707" s="71" t="str">
        <f>vlookup(C707,'NOC-List'!B$2:C$502,2,False)</f>
        <v>Paralegal and related occupations</v>
      </c>
      <c r="F707" s="72">
        <v>3.0</v>
      </c>
      <c r="G707" s="72">
        <v>3.0</v>
      </c>
      <c r="H707" s="72">
        <v>3.0</v>
      </c>
      <c r="I707" s="72">
        <v>4.0</v>
      </c>
      <c r="J707" s="72">
        <v>4.0</v>
      </c>
      <c r="K707" s="72">
        <v>3.0</v>
      </c>
      <c r="L707" s="72">
        <v>4.0</v>
      </c>
      <c r="M707" s="72">
        <v>4.0</v>
      </c>
      <c r="N707" s="72">
        <v>4.0</v>
      </c>
      <c r="O707" s="73"/>
    </row>
    <row r="708" ht="15.75" customHeight="1">
      <c r="C708" s="34">
        <v>11.0</v>
      </c>
      <c r="D708" s="70" t="s">
        <v>858</v>
      </c>
      <c r="E708" s="71" t="str">
        <f>vlookup(C708,'NOC-List'!B$2:C$502,2,False)</f>
        <v>Legislators</v>
      </c>
      <c r="F708" s="72">
        <v>2.0</v>
      </c>
      <c r="G708" s="72">
        <v>2.0</v>
      </c>
      <c r="H708" s="72">
        <v>3.0</v>
      </c>
      <c r="I708" s="72">
        <v>4.0</v>
      </c>
      <c r="J708" s="72">
        <v>4.0</v>
      </c>
      <c r="K708" s="72">
        <v>3.0</v>
      </c>
      <c r="L708" s="72">
        <v>4.0</v>
      </c>
      <c r="M708" s="72">
        <v>4.0</v>
      </c>
      <c r="N708" s="72">
        <v>4.0</v>
      </c>
      <c r="O708" s="73"/>
    </row>
    <row r="709" ht="15.75" customHeight="1">
      <c r="C709" s="34">
        <v>5111.0</v>
      </c>
      <c r="D709" s="70" t="s">
        <v>859</v>
      </c>
      <c r="E709" s="71" t="str">
        <f>vlookup(C709,'NOC-List'!B$2:C$502,2,False)</f>
        <v>Librarians</v>
      </c>
      <c r="F709" s="72">
        <v>2.0</v>
      </c>
      <c r="G709" s="72">
        <v>2.0</v>
      </c>
      <c r="H709" s="72">
        <v>3.0</v>
      </c>
      <c r="I709" s="72">
        <v>4.0</v>
      </c>
      <c r="J709" s="72">
        <v>4.0</v>
      </c>
      <c r="K709" s="72">
        <v>3.0</v>
      </c>
      <c r="L709" s="72">
        <v>4.0</v>
      </c>
      <c r="M709" s="72">
        <v>4.0</v>
      </c>
      <c r="N709" s="72">
        <v>4.0</v>
      </c>
      <c r="O709" s="73"/>
    </row>
    <row r="710" ht="15.75" customHeight="1">
      <c r="C710" s="34">
        <v>5211.0</v>
      </c>
      <c r="D710" s="70" t="s">
        <v>860</v>
      </c>
      <c r="E710" s="71" t="str">
        <f>vlookup(C710,'NOC-List'!B$2:C$502,2,False)</f>
        <v>Library and public archive technicians</v>
      </c>
      <c r="F710" s="72">
        <v>3.0</v>
      </c>
      <c r="G710" s="72">
        <v>3.0</v>
      </c>
      <c r="H710" s="72">
        <v>4.0</v>
      </c>
      <c r="I710" s="72">
        <v>4.0</v>
      </c>
      <c r="J710" s="72">
        <v>4.0</v>
      </c>
      <c r="K710" s="72">
        <v>2.0</v>
      </c>
      <c r="L710" s="72">
        <v>4.0</v>
      </c>
      <c r="M710" s="72">
        <v>4.0</v>
      </c>
      <c r="N710" s="72">
        <v>4.0</v>
      </c>
      <c r="O710" s="73"/>
    </row>
    <row r="711" ht="15.75" customHeight="1">
      <c r="C711" s="34">
        <v>4423.0</v>
      </c>
      <c r="D711" s="70" t="s">
        <v>861</v>
      </c>
      <c r="E711" s="71" t="str">
        <f>vlookup(C711,'NOC-List'!B$2:C$502,2,False)</f>
        <v>By-law enforcement and other regulatory officers, n.e.c.</v>
      </c>
      <c r="F711" s="72">
        <v>3.0</v>
      </c>
      <c r="G711" s="72">
        <v>3.0</v>
      </c>
      <c r="H711" s="72">
        <v>4.0</v>
      </c>
      <c r="I711" s="72">
        <v>4.0</v>
      </c>
      <c r="J711" s="72">
        <v>4.0</v>
      </c>
      <c r="K711" s="72">
        <v>4.0</v>
      </c>
      <c r="L711" s="72">
        <v>4.0</v>
      </c>
      <c r="M711" s="72">
        <v>4.0</v>
      </c>
      <c r="N711" s="72">
        <v>4.0</v>
      </c>
      <c r="O711" s="73"/>
    </row>
    <row r="712" ht="15.75" customHeight="1">
      <c r="C712" s="81">
        <v>6511.0</v>
      </c>
      <c r="D712" s="70" t="s">
        <v>862</v>
      </c>
      <c r="E712" s="71" t="str">
        <f>vlookup(C712,'NOC-List'!B$2:C$502,2,False)</f>
        <v>Maîtres d'hôtel and hosts/hostesses</v>
      </c>
      <c r="F712" s="72">
        <v>3.0</v>
      </c>
      <c r="G712" s="72">
        <v>3.0</v>
      </c>
      <c r="H712" s="72">
        <v>4.0</v>
      </c>
      <c r="I712" s="72">
        <v>4.0</v>
      </c>
      <c r="J712" s="72">
        <v>4.0</v>
      </c>
      <c r="K712" s="72">
        <v>4.0</v>
      </c>
      <c r="L712" s="72">
        <v>4.0</v>
      </c>
      <c r="M712" s="72">
        <v>4.0</v>
      </c>
      <c r="N712" s="72">
        <v>4.0</v>
      </c>
      <c r="O712" s="73"/>
    </row>
    <row r="713" ht="15.75" customHeight="1">
      <c r="C713" s="81">
        <v>2113.0</v>
      </c>
      <c r="D713" s="70" t="s">
        <v>863</v>
      </c>
      <c r="E713" s="71" t="str">
        <f>vlookup(C713,'NOC-List'!B$2:C$502,2,False)</f>
        <v>Geoscientists and oceanographers</v>
      </c>
      <c r="F713" s="72">
        <v>1.0</v>
      </c>
      <c r="G713" s="72">
        <v>1.0</v>
      </c>
      <c r="H713" s="72">
        <v>1.0</v>
      </c>
      <c r="I713" s="72">
        <v>2.0</v>
      </c>
      <c r="J713" s="72">
        <v>2.0</v>
      </c>
      <c r="K713" s="72">
        <v>4.0</v>
      </c>
      <c r="L713" s="72">
        <v>3.0</v>
      </c>
      <c r="M713" s="72">
        <v>3.0</v>
      </c>
      <c r="N713" s="72">
        <v>3.0</v>
      </c>
      <c r="O713" s="73"/>
    </row>
    <row r="714" ht="15.75" customHeight="1">
      <c r="C714" s="34">
        <v>2142.0</v>
      </c>
      <c r="D714" s="70" t="s">
        <v>864</v>
      </c>
      <c r="E714" s="71" t="str">
        <f>vlookup(C714,'NOC-List'!B$2:C$502,2,False)</f>
        <v>Metallurgical and materials engineers</v>
      </c>
      <c r="F714" s="72">
        <v>1.0</v>
      </c>
      <c r="G714" s="72">
        <v>2.0</v>
      </c>
      <c r="H714" s="72">
        <v>1.0</v>
      </c>
      <c r="I714" s="72">
        <v>2.0</v>
      </c>
      <c r="J714" s="72">
        <v>3.0</v>
      </c>
      <c r="K714" s="72">
        <v>3.0</v>
      </c>
      <c r="L714" s="72">
        <v>4.0</v>
      </c>
      <c r="M714" s="72">
        <v>4.0</v>
      </c>
      <c r="N714" s="72">
        <v>4.0</v>
      </c>
      <c r="O714" s="73"/>
    </row>
    <row r="715" ht="15.75" customHeight="1">
      <c r="C715" s="34">
        <v>2115.0</v>
      </c>
      <c r="D715" s="70" t="s">
        <v>865</v>
      </c>
      <c r="E715" s="71" t="str">
        <f>vlookup(C715,'NOC-List'!B$2:C$502,2,False)</f>
        <v>Other professional occupations in physical sciences</v>
      </c>
      <c r="F715" s="72">
        <v>1.0</v>
      </c>
      <c r="G715" s="72">
        <v>1.0</v>
      </c>
      <c r="H715" s="72">
        <v>1.0</v>
      </c>
      <c r="I715" s="72">
        <v>2.0</v>
      </c>
      <c r="J715" s="72">
        <v>2.0</v>
      </c>
      <c r="K715" s="72">
        <v>4.0</v>
      </c>
      <c r="L715" s="72">
        <v>3.0</v>
      </c>
      <c r="M715" s="72">
        <v>3.0</v>
      </c>
      <c r="N715" s="72">
        <v>3.0</v>
      </c>
      <c r="O715" s="73"/>
    </row>
    <row r="716" ht="15.75" customHeight="1">
      <c r="C716" s="34">
        <v>2114.0</v>
      </c>
      <c r="D716" s="70" t="s">
        <v>866</v>
      </c>
      <c r="E716" s="71" t="str">
        <f>vlookup(C716,'NOC-List'!B$2:C$502,2,False)</f>
        <v>Meteorologists and climatologists</v>
      </c>
      <c r="F716" s="72">
        <v>1.0</v>
      </c>
      <c r="G716" s="72">
        <v>1.0</v>
      </c>
      <c r="H716" s="72">
        <v>1.0</v>
      </c>
      <c r="I716" s="72">
        <v>1.0</v>
      </c>
      <c r="J716" s="72">
        <v>2.0</v>
      </c>
      <c r="K716" s="72">
        <v>3.0</v>
      </c>
      <c r="L716" s="72">
        <v>4.0</v>
      </c>
      <c r="M716" s="72">
        <v>4.0</v>
      </c>
      <c r="N716" s="72">
        <v>3.0</v>
      </c>
      <c r="O716" s="73"/>
    </row>
    <row r="717" ht="15.75" customHeight="1">
      <c r="C717" s="34">
        <v>2121.0</v>
      </c>
      <c r="D717" s="70" t="s">
        <v>867</v>
      </c>
      <c r="E717" s="71" t="str">
        <f>vlookup(C717,'NOC-List'!B$2:C$502,2,False)</f>
        <v>Biologists and related scientists</v>
      </c>
      <c r="F717" s="72">
        <v>1.0</v>
      </c>
      <c r="G717" s="72">
        <v>1.0</v>
      </c>
      <c r="H717" s="72">
        <v>1.0</v>
      </c>
      <c r="I717" s="72">
        <v>2.0</v>
      </c>
      <c r="J717" s="72">
        <v>2.0</v>
      </c>
      <c r="K717" s="72">
        <v>3.0</v>
      </c>
      <c r="L717" s="72">
        <v>4.0</v>
      </c>
      <c r="M717" s="72">
        <v>3.0</v>
      </c>
      <c r="N717" s="72">
        <v>3.0</v>
      </c>
      <c r="O717" s="73"/>
    </row>
    <row r="718" ht="15.75" customHeight="1">
      <c r="C718" s="34">
        <v>2143.0</v>
      </c>
      <c r="D718" s="70" t="s">
        <v>868</v>
      </c>
      <c r="E718" s="71" t="str">
        <f>vlookup(C718,'NOC-List'!B$2:C$502,2,False)</f>
        <v>Mining engineers</v>
      </c>
      <c r="F718" s="72">
        <v>1.0</v>
      </c>
      <c r="G718" s="72">
        <v>2.0</v>
      </c>
      <c r="H718" s="72">
        <v>1.0</v>
      </c>
      <c r="I718" s="72">
        <v>1.0</v>
      </c>
      <c r="J718" s="72">
        <v>3.0</v>
      </c>
      <c r="K718" s="72">
        <v>4.0</v>
      </c>
      <c r="L718" s="72">
        <v>4.0</v>
      </c>
      <c r="M718" s="72">
        <v>4.0</v>
      </c>
      <c r="N718" s="72">
        <v>4.0</v>
      </c>
      <c r="O718" s="73"/>
    </row>
    <row r="719" ht="15.75" customHeight="1">
      <c r="C719" s="34">
        <v>5212.0</v>
      </c>
      <c r="D719" s="70" t="s">
        <v>869</v>
      </c>
      <c r="E719" s="71" t="str">
        <f>vlookup(C719,'NOC-List'!B$2:C$502,2,False)</f>
        <v>Technical occupations related to museums and art galleries</v>
      </c>
      <c r="F719" s="72">
        <v>2.0</v>
      </c>
      <c r="G719" s="72">
        <v>2.0</v>
      </c>
      <c r="H719" s="72">
        <v>3.0</v>
      </c>
      <c r="I719" s="72">
        <v>4.0</v>
      </c>
      <c r="J719" s="72">
        <v>4.0</v>
      </c>
      <c r="K719" s="72">
        <v>3.0</v>
      </c>
      <c r="L719" s="72">
        <v>4.0</v>
      </c>
      <c r="M719" s="72">
        <v>4.0</v>
      </c>
      <c r="N719" s="72">
        <v>4.0</v>
      </c>
      <c r="O719" s="73"/>
    </row>
    <row r="720" ht="15.75" customHeight="1">
      <c r="C720" s="81">
        <v>2281.0</v>
      </c>
      <c r="D720" s="70" t="s">
        <v>870</v>
      </c>
      <c r="E720" s="71" t="str">
        <f>vlookup(C720,'NOC-List'!B$2:C$502,2,False)</f>
        <v>Computer network technicians</v>
      </c>
      <c r="F720" s="72">
        <v>1.0</v>
      </c>
      <c r="G720" s="72">
        <v>2.0</v>
      </c>
      <c r="H720" s="72">
        <v>1.0</v>
      </c>
      <c r="I720" s="72">
        <v>2.0</v>
      </c>
      <c r="J720" s="72">
        <v>3.0</v>
      </c>
      <c r="K720" s="72">
        <v>3.0</v>
      </c>
      <c r="L720" s="72">
        <v>4.0</v>
      </c>
      <c r="M720" s="72">
        <v>4.0</v>
      </c>
      <c r="N720" s="72">
        <v>4.0</v>
      </c>
      <c r="O720" s="73"/>
    </row>
    <row r="721" ht="15.75" customHeight="1">
      <c r="C721" s="34">
        <v>9619.0</v>
      </c>
      <c r="D721" s="70" t="s">
        <v>871</v>
      </c>
      <c r="E721" s="71" t="str">
        <f>vlookup(C721,'NOC-List'!B$2:C$502,2,False)</f>
        <v>Other labourers in processing, manufacturing and utilities</v>
      </c>
      <c r="F721" s="72">
        <v>4.0</v>
      </c>
      <c r="G721" s="72">
        <v>4.0</v>
      </c>
      <c r="H721" s="72">
        <v>4.0</v>
      </c>
      <c r="I721" s="72">
        <v>4.0</v>
      </c>
      <c r="J721" s="72">
        <v>4.0</v>
      </c>
      <c r="K721" s="72">
        <v>5.0</v>
      </c>
      <c r="L721" s="72">
        <v>4.0</v>
      </c>
      <c r="M721" s="72">
        <v>4.0</v>
      </c>
      <c r="N721" s="72">
        <v>3.0</v>
      </c>
      <c r="O721" s="73"/>
    </row>
    <row r="722" ht="15.75" customHeight="1">
      <c r="C722" s="34">
        <v>9537.0</v>
      </c>
      <c r="D722" s="70" t="s">
        <v>872</v>
      </c>
      <c r="E722" s="71" t="str">
        <f>vlookup(C722,'NOC-List'!B$2:C$502,2,False)</f>
        <v>Other products assemblers, finishers and inspectors</v>
      </c>
      <c r="F722" s="72">
        <v>4.0</v>
      </c>
      <c r="G722" s="72">
        <v>4.0</v>
      </c>
      <c r="H722" s="72">
        <v>4.0</v>
      </c>
      <c r="I722" s="72">
        <v>4.0</v>
      </c>
      <c r="J722" s="72">
        <v>4.0</v>
      </c>
      <c r="K722" s="72">
        <v>5.0</v>
      </c>
      <c r="L722" s="72">
        <v>4.0</v>
      </c>
      <c r="M722" s="72">
        <v>4.0</v>
      </c>
      <c r="N722" s="72">
        <v>3.0</v>
      </c>
      <c r="O722" s="73"/>
    </row>
    <row r="723" ht="15.75" customHeight="1">
      <c r="C723" s="81">
        <v>6316.0</v>
      </c>
      <c r="D723" s="70" t="s">
        <v>873</v>
      </c>
      <c r="E723" s="71" t="str">
        <f>vlookup(C723,'NOC-List'!B$2:C$502,2,False)</f>
        <v>Other services supervisors</v>
      </c>
      <c r="F723" s="72">
        <v>3.0</v>
      </c>
      <c r="G723" s="72">
        <v>3.0</v>
      </c>
      <c r="H723" s="72">
        <v>4.0</v>
      </c>
      <c r="I723" s="72">
        <v>4.0</v>
      </c>
      <c r="J723" s="72">
        <v>4.0</v>
      </c>
      <c r="K723" s="72">
        <v>4.0</v>
      </c>
      <c r="L723" s="72">
        <v>4.0</v>
      </c>
      <c r="M723" s="72">
        <v>4.0</v>
      </c>
      <c r="N723" s="72">
        <v>4.0</v>
      </c>
      <c r="O723" s="73"/>
    </row>
    <row r="724" ht="15.75" customHeight="1">
      <c r="C724" s="81">
        <v>651.0</v>
      </c>
      <c r="D724" s="70" t="s">
        <v>874</v>
      </c>
      <c r="E724" s="71" t="str">
        <f>vlookup(C724,'NOC-List'!B$2:C$502,2,False)</f>
        <v>Managers in customer and personal services, n.e.c.</v>
      </c>
      <c r="F724" s="72">
        <v>3.0</v>
      </c>
      <c r="G724" s="72">
        <v>3.0</v>
      </c>
      <c r="H724" s="72">
        <v>3.0</v>
      </c>
      <c r="I724" s="72">
        <v>4.0</v>
      </c>
      <c r="J724" s="72">
        <v>4.0</v>
      </c>
      <c r="K724" s="72">
        <v>3.0</v>
      </c>
      <c r="L724" s="72">
        <v>4.0</v>
      </c>
      <c r="M724" s="72">
        <v>4.0</v>
      </c>
      <c r="N724" s="72">
        <v>4.0</v>
      </c>
      <c r="O724" s="73"/>
    </row>
    <row r="725" ht="15.75" customHeight="1">
      <c r="C725" s="34">
        <v>4411.0</v>
      </c>
      <c r="D725" s="70" t="s">
        <v>875</v>
      </c>
      <c r="E725" s="71" t="str">
        <f>vlookup(C725,'NOC-List'!B$2:C$502,2,False)</f>
        <v>Home child care providers</v>
      </c>
      <c r="F725" s="72">
        <v>4.0</v>
      </c>
      <c r="G725" s="72">
        <v>4.0</v>
      </c>
      <c r="H725" s="72">
        <v>4.0</v>
      </c>
      <c r="I725" s="72">
        <v>4.0</v>
      </c>
      <c r="J725" s="72">
        <v>4.0</v>
      </c>
      <c r="K725" s="72">
        <v>5.0</v>
      </c>
      <c r="L725" s="72">
        <v>4.0</v>
      </c>
      <c r="M725" s="72">
        <v>4.0</v>
      </c>
      <c r="N725" s="72">
        <v>3.0</v>
      </c>
      <c r="O725" s="73"/>
    </row>
    <row r="726" ht="15.75" customHeight="1">
      <c r="C726" s="34">
        <v>6742.0</v>
      </c>
      <c r="D726" s="70" t="s">
        <v>876</v>
      </c>
      <c r="E726" s="71" t="str">
        <f>vlookup(C726,'NOC-List'!B$2:C$502,2,False)</f>
        <v>Other service support occupations, n.e.c.</v>
      </c>
      <c r="F726" s="72">
        <v>4.0</v>
      </c>
      <c r="G726" s="72">
        <v>4.0</v>
      </c>
      <c r="H726" s="72">
        <v>4.0</v>
      </c>
      <c r="I726" s="72">
        <v>4.0</v>
      </c>
      <c r="J726" s="72">
        <v>4.0</v>
      </c>
      <c r="K726" s="72">
        <v>4.0</v>
      </c>
      <c r="L726" s="72">
        <v>4.0</v>
      </c>
      <c r="M726" s="72">
        <v>4.0</v>
      </c>
      <c r="N726" s="72">
        <v>4.0</v>
      </c>
      <c r="O726" s="73"/>
    </row>
    <row r="727" ht="15.75" customHeight="1">
      <c r="C727" s="81">
        <v>1223.0</v>
      </c>
      <c r="D727" s="70" t="s">
        <v>877</v>
      </c>
      <c r="E727" s="71" t="str">
        <f>vlookup(C727,'NOC-List'!B$2:C$502,2,False)</f>
        <v>Human resources and recruitment officers</v>
      </c>
      <c r="F727" s="72">
        <v>2.0</v>
      </c>
      <c r="G727" s="72">
        <v>2.0</v>
      </c>
      <c r="H727" s="72">
        <v>3.0</v>
      </c>
      <c r="I727" s="72">
        <v>4.0</v>
      </c>
      <c r="J727" s="72">
        <v>4.0</v>
      </c>
      <c r="K727" s="72">
        <v>3.0</v>
      </c>
      <c r="L727" s="72">
        <v>4.0</v>
      </c>
      <c r="M727" s="72">
        <v>4.0</v>
      </c>
      <c r="N727" s="72">
        <v>4.0</v>
      </c>
      <c r="O727" s="73"/>
    </row>
    <row r="728" ht="15.75" customHeight="1">
      <c r="C728" s="34">
        <v>1415.0</v>
      </c>
      <c r="D728" s="70" t="s">
        <v>878</v>
      </c>
      <c r="E728" s="71" t="str">
        <f>vlookup(C728,'NOC-List'!B$2:C$502,2,False)</f>
        <v>Personnel clerks</v>
      </c>
      <c r="F728" s="72">
        <v>3.0</v>
      </c>
      <c r="G728" s="72">
        <v>3.0</v>
      </c>
      <c r="H728" s="72">
        <v>3.0</v>
      </c>
      <c r="I728" s="72">
        <v>4.0</v>
      </c>
      <c r="J728" s="72">
        <v>4.0</v>
      </c>
      <c r="K728" s="72">
        <v>3.0</v>
      </c>
      <c r="L728" s="72">
        <v>4.0</v>
      </c>
      <c r="M728" s="72">
        <v>4.0</v>
      </c>
      <c r="N728" s="72">
        <v>4.0</v>
      </c>
      <c r="O728" s="73"/>
    </row>
    <row r="729" ht="15.75" customHeight="1">
      <c r="C729" s="34">
        <v>2145.0</v>
      </c>
      <c r="D729" s="70" t="s">
        <v>879</v>
      </c>
      <c r="E729" s="71" t="str">
        <f>vlookup(C729,'NOC-List'!B$2:C$502,2,False)</f>
        <v>Petroleum engineers</v>
      </c>
      <c r="F729" s="72">
        <v>1.0</v>
      </c>
      <c r="G729" s="72">
        <v>2.0</v>
      </c>
      <c r="H729" s="72">
        <v>1.0</v>
      </c>
      <c r="I729" s="72">
        <v>2.0</v>
      </c>
      <c r="J729" s="72">
        <v>3.0</v>
      </c>
      <c r="K729" s="72">
        <v>3.0</v>
      </c>
      <c r="L729" s="72">
        <v>4.0</v>
      </c>
      <c r="M729" s="72">
        <v>4.0</v>
      </c>
      <c r="N729" s="72">
        <v>4.0</v>
      </c>
      <c r="O729" s="73"/>
    </row>
    <row r="730" ht="15.75" customHeight="1">
      <c r="C730" s="34">
        <v>132.0</v>
      </c>
      <c r="D730" s="70" t="s">
        <v>880</v>
      </c>
      <c r="E730" s="71" t="str">
        <f>vlookup(C730,'NOC-List'!B$2:C$502,2,False)</f>
        <v>Postal and courier services managers</v>
      </c>
      <c r="F730" s="72">
        <v>2.0</v>
      </c>
      <c r="G730" s="72">
        <v>2.0</v>
      </c>
      <c r="H730" s="72">
        <v>3.0</v>
      </c>
      <c r="I730" s="72">
        <v>4.0</v>
      </c>
      <c r="J730" s="72">
        <v>4.0</v>
      </c>
      <c r="K730" s="72">
        <v>3.0</v>
      </c>
      <c r="L730" s="72">
        <v>4.0</v>
      </c>
      <c r="M730" s="72">
        <v>4.0</v>
      </c>
      <c r="N730" s="72">
        <v>4.0</v>
      </c>
      <c r="O730" s="73"/>
    </row>
    <row r="731" ht="15.75" customHeight="1">
      <c r="C731" s="34">
        <v>4155.0</v>
      </c>
      <c r="D731" s="70" t="s">
        <v>881</v>
      </c>
      <c r="E731" s="71" t="str">
        <f>vlookup(C731,'NOC-List'!B$2:C$502,2,False)</f>
        <v>Probation and parole officers and related occupations</v>
      </c>
      <c r="F731" s="72">
        <v>2.0</v>
      </c>
      <c r="G731" s="72">
        <v>2.0</v>
      </c>
      <c r="H731" s="72">
        <v>3.0</v>
      </c>
      <c r="I731" s="72">
        <v>4.0</v>
      </c>
      <c r="J731" s="72">
        <v>4.0</v>
      </c>
      <c r="K731" s="72">
        <v>3.0</v>
      </c>
      <c r="L731" s="72">
        <v>4.0</v>
      </c>
      <c r="M731" s="72">
        <v>4.0</v>
      </c>
      <c r="N731" s="72">
        <v>4.0</v>
      </c>
      <c r="O731" s="73"/>
    </row>
    <row r="732" ht="15.75" customHeight="1">
      <c r="C732" s="81">
        <v>1523.0</v>
      </c>
      <c r="D732" s="70" t="s">
        <v>882</v>
      </c>
      <c r="E732" s="71" t="str">
        <f>vlookup(C732,'NOC-List'!B$2:C$502,2,False)</f>
        <v>Production logistics co-ordinators</v>
      </c>
      <c r="F732" s="72">
        <v>3.0</v>
      </c>
      <c r="G732" s="72">
        <v>3.0</v>
      </c>
      <c r="H732" s="72">
        <v>3.0</v>
      </c>
      <c r="I732" s="72">
        <v>4.0</v>
      </c>
      <c r="J732" s="72">
        <v>4.0</v>
      </c>
      <c r="K732" s="72">
        <v>3.0</v>
      </c>
      <c r="L732" s="72">
        <v>4.0</v>
      </c>
      <c r="M732" s="72">
        <v>4.0</v>
      </c>
      <c r="N732" s="72">
        <v>4.0</v>
      </c>
      <c r="O732" s="73"/>
    </row>
    <row r="733" ht="15.75" customHeight="1">
      <c r="C733" s="34">
        <v>4168.0</v>
      </c>
      <c r="D733" s="70" t="s">
        <v>883</v>
      </c>
      <c r="E733" s="71" t="str">
        <f>vlookup(C733,'NOC-List'!B$2:C$502,2,False)</f>
        <v>Program officers unique to government</v>
      </c>
      <c r="F733" s="72">
        <v>2.0</v>
      </c>
      <c r="G733" s="72">
        <v>2.0</v>
      </c>
      <c r="H733" s="72">
        <v>3.0</v>
      </c>
      <c r="I733" s="72">
        <v>4.0</v>
      </c>
      <c r="J733" s="72">
        <v>4.0</v>
      </c>
      <c r="K733" s="72">
        <v>3.0</v>
      </c>
      <c r="L733" s="72">
        <v>4.0</v>
      </c>
      <c r="M733" s="72">
        <v>4.0</v>
      </c>
      <c r="N733" s="72">
        <v>4.0</v>
      </c>
      <c r="O733" s="73"/>
    </row>
    <row r="734" ht="15.75" customHeight="1">
      <c r="C734" s="34">
        <v>1224.0</v>
      </c>
      <c r="D734" s="70" t="s">
        <v>884</v>
      </c>
      <c r="E734" s="71" t="str">
        <f>vlookup(C734,'NOC-List'!B$2:C$502,2,False)</f>
        <v>Property administrators</v>
      </c>
      <c r="F734" s="72">
        <v>2.0</v>
      </c>
      <c r="G734" s="72">
        <v>2.0</v>
      </c>
      <c r="H734" s="72">
        <v>3.0</v>
      </c>
      <c r="I734" s="72">
        <v>4.0</v>
      </c>
      <c r="J734" s="72">
        <v>4.0</v>
      </c>
      <c r="K734" s="72">
        <v>3.0</v>
      </c>
      <c r="L734" s="72">
        <v>4.0</v>
      </c>
      <c r="M734" s="72">
        <v>4.0</v>
      </c>
      <c r="N734" s="72">
        <v>4.0</v>
      </c>
      <c r="O734" s="73"/>
    </row>
    <row r="735" ht="15.75" customHeight="1">
      <c r="C735" s="81">
        <v>1524.0</v>
      </c>
      <c r="D735" s="70" t="s">
        <v>885</v>
      </c>
      <c r="E735" s="71" t="str">
        <f>vlookup(C735,'NOC-List'!B$2:C$502,2,False)</f>
        <v>Purchasing and inventory control workers</v>
      </c>
      <c r="F735" s="72">
        <v>3.0</v>
      </c>
      <c r="G735" s="72">
        <v>3.0</v>
      </c>
      <c r="H735" s="72">
        <v>3.0</v>
      </c>
      <c r="I735" s="72">
        <v>4.0</v>
      </c>
      <c r="J735" s="72">
        <v>4.0</v>
      </c>
      <c r="K735" s="72">
        <v>3.0</v>
      </c>
      <c r="L735" s="72">
        <v>4.0</v>
      </c>
      <c r="M735" s="72">
        <v>4.0</v>
      </c>
      <c r="N735" s="72">
        <v>4.0</v>
      </c>
      <c r="O735" s="73"/>
    </row>
    <row r="736" ht="15.75" customHeight="1">
      <c r="C736" s="34">
        <v>1525.0</v>
      </c>
      <c r="D736" s="70" t="s">
        <v>886</v>
      </c>
      <c r="E736" s="71" t="str">
        <f>vlookup(C736,'NOC-List'!B$2:C$502,2,False)</f>
        <v>Dispatchers</v>
      </c>
      <c r="F736" s="72">
        <v>3.0</v>
      </c>
      <c r="G736" s="72">
        <v>3.0</v>
      </c>
      <c r="H736" s="72">
        <v>3.0</v>
      </c>
      <c r="I736" s="72">
        <v>4.0</v>
      </c>
      <c r="J736" s="72">
        <v>4.0</v>
      </c>
      <c r="K736" s="72">
        <v>3.0</v>
      </c>
      <c r="L736" s="72">
        <v>4.0</v>
      </c>
      <c r="M736" s="72">
        <v>4.0</v>
      </c>
      <c r="N736" s="72">
        <v>4.0</v>
      </c>
      <c r="O736" s="73"/>
    </row>
    <row r="737" ht="15.75" customHeight="1">
      <c r="C737" s="34">
        <v>7531.0</v>
      </c>
      <c r="D737" s="70" t="s">
        <v>887</v>
      </c>
      <c r="E737" s="71" t="str">
        <f>vlookup(C737,'NOC-List'!B$2:C$502,2,False)</f>
        <v>Railway yard and track maintenance workers</v>
      </c>
      <c r="F737" s="72">
        <v>3.0</v>
      </c>
      <c r="G737" s="72">
        <v>4.0</v>
      </c>
      <c r="H737" s="72">
        <v>5.0</v>
      </c>
      <c r="I737" s="72">
        <v>4.0</v>
      </c>
      <c r="J737" s="72">
        <v>4.0</v>
      </c>
      <c r="K737" s="72">
        <v>4.0</v>
      </c>
      <c r="L737" s="72">
        <v>4.0</v>
      </c>
      <c r="M737" s="72">
        <v>4.0</v>
      </c>
      <c r="N737" s="72">
        <v>4.0</v>
      </c>
      <c r="O737" s="73"/>
    </row>
    <row r="738" ht="15.75" customHeight="1">
      <c r="C738" s="34">
        <v>6232.0</v>
      </c>
      <c r="D738" s="70" t="s">
        <v>888</v>
      </c>
      <c r="E738" s="71" t="str">
        <f>vlookup(C738,'NOC-List'!B$2:C$502,2,False)</f>
        <v>Real estate agents and salespersons</v>
      </c>
      <c r="F738" s="72">
        <v>3.0</v>
      </c>
      <c r="G738" s="72">
        <v>3.0</v>
      </c>
      <c r="H738" s="72">
        <v>3.0</v>
      </c>
      <c r="I738" s="72">
        <v>4.0</v>
      </c>
      <c r="J738" s="72">
        <v>4.0</v>
      </c>
      <c r="K738" s="72">
        <v>3.0</v>
      </c>
      <c r="L738" s="72">
        <v>4.0</v>
      </c>
      <c r="M738" s="72">
        <v>4.0</v>
      </c>
      <c r="N738" s="72">
        <v>4.0</v>
      </c>
      <c r="O738" s="73"/>
    </row>
    <row r="739" ht="15.75" customHeight="1">
      <c r="C739" s="81">
        <v>513.0</v>
      </c>
      <c r="D739" s="70" t="s">
        <v>889</v>
      </c>
      <c r="E739" s="71" t="str">
        <f>vlookup(C739,'NOC-List'!B$2:C$502,2,False)</f>
        <v>Recreation, sports and fitness program and service directors</v>
      </c>
      <c r="F739" s="72">
        <v>2.0</v>
      </c>
      <c r="G739" s="72">
        <v>2.0</v>
      </c>
      <c r="H739" s="72">
        <v>3.0</v>
      </c>
      <c r="I739" s="72">
        <v>4.0</v>
      </c>
      <c r="J739" s="72">
        <v>4.0</v>
      </c>
      <c r="K739" s="72">
        <v>3.0</v>
      </c>
      <c r="L739" s="72">
        <v>4.0</v>
      </c>
      <c r="M739" s="72">
        <v>4.0</v>
      </c>
      <c r="N739" s="72">
        <v>4.0</v>
      </c>
      <c r="O739" s="73"/>
    </row>
    <row r="740" ht="15.75" customHeight="1">
      <c r="C740" s="34">
        <v>4167.0</v>
      </c>
      <c r="D740" s="70" t="s">
        <v>890</v>
      </c>
      <c r="E740" s="71" t="str">
        <f>vlookup(C740,'NOC-List'!B$2:C$502,2,False)</f>
        <v>Recreation, sports and fitness policy researchers, consultants and program officers</v>
      </c>
      <c r="F740" s="72">
        <v>2.0</v>
      </c>
      <c r="G740" s="72">
        <v>2.0</v>
      </c>
      <c r="H740" s="72">
        <v>3.0</v>
      </c>
      <c r="I740" s="72">
        <v>4.0</v>
      </c>
      <c r="J740" s="72">
        <v>4.0</v>
      </c>
      <c r="K740" s="72">
        <v>3.0</v>
      </c>
      <c r="L740" s="72">
        <v>4.0</v>
      </c>
      <c r="M740" s="72">
        <v>4.0</v>
      </c>
      <c r="N740" s="72">
        <v>4.0</v>
      </c>
      <c r="O740" s="73"/>
    </row>
    <row r="741" ht="15.75" customHeight="1">
      <c r="C741" s="81">
        <v>712.0</v>
      </c>
      <c r="D741" s="70" t="s">
        <v>891</v>
      </c>
      <c r="E741" s="71" t="str">
        <f>vlookup(C741,'NOC-List'!B$2:C$502,2,False)</f>
        <v>Home building and renovation managers</v>
      </c>
      <c r="F741" s="72">
        <v>3.0</v>
      </c>
      <c r="G741" s="72">
        <v>3.0</v>
      </c>
      <c r="H741" s="72">
        <v>3.0</v>
      </c>
      <c r="I741" s="72">
        <v>3.0</v>
      </c>
      <c r="J741" s="72">
        <v>4.0</v>
      </c>
      <c r="K741" s="72">
        <v>4.0</v>
      </c>
      <c r="L741" s="72">
        <v>4.0</v>
      </c>
      <c r="M741" s="72">
        <v>4.0</v>
      </c>
      <c r="N741" s="72">
        <v>4.0</v>
      </c>
      <c r="O741" s="73"/>
    </row>
    <row r="742" ht="15.75" customHeight="1">
      <c r="C742" s="34">
        <v>631.0</v>
      </c>
      <c r="D742" s="70" t="s">
        <v>892</v>
      </c>
      <c r="E742" s="71" t="str">
        <f>vlookup(C742,'NOC-List'!B$2:C$502,2,False)</f>
        <v>Restaurant and food service managers</v>
      </c>
      <c r="F742" s="72">
        <v>3.0</v>
      </c>
      <c r="G742" s="72">
        <v>3.0</v>
      </c>
      <c r="H742" s="72">
        <v>3.0</v>
      </c>
      <c r="I742" s="72">
        <v>4.0</v>
      </c>
      <c r="J742" s="72">
        <v>4.0</v>
      </c>
      <c r="K742" s="72">
        <v>3.0</v>
      </c>
      <c r="L742" s="72">
        <v>4.0</v>
      </c>
      <c r="M742" s="72">
        <v>4.0</v>
      </c>
      <c r="N742" s="72">
        <v>4.0</v>
      </c>
      <c r="O742" s="73"/>
    </row>
    <row r="743" ht="15.75" customHeight="1">
      <c r="C743" s="34">
        <v>6541.0</v>
      </c>
      <c r="D743" s="70" t="s">
        <v>893</v>
      </c>
      <c r="E743" s="71" t="str">
        <f>vlookup(C743,'NOC-List'!B$2:C$502,2,False)</f>
        <v>Security guards and related security service occupations</v>
      </c>
      <c r="F743" s="72">
        <v>3.0</v>
      </c>
      <c r="G743" s="72">
        <v>3.0</v>
      </c>
      <c r="H743" s="72">
        <v>4.0</v>
      </c>
      <c r="I743" s="72">
        <v>4.0</v>
      </c>
      <c r="J743" s="72">
        <v>4.0</v>
      </c>
      <c r="K743" s="72">
        <v>4.0</v>
      </c>
      <c r="L743" s="72">
        <v>4.0</v>
      </c>
      <c r="M743" s="72">
        <v>4.0</v>
      </c>
      <c r="N743" s="72">
        <v>4.0</v>
      </c>
      <c r="O743" s="73"/>
    </row>
    <row r="744" ht="15.75" customHeight="1">
      <c r="C744" s="81">
        <v>6421.0</v>
      </c>
      <c r="D744" s="70" t="s">
        <v>894</v>
      </c>
      <c r="E744" s="71" t="str">
        <f>vlookup(C744,'NOC-List'!B$2:C$502,2,False)</f>
        <v>Retail salespersons</v>
      </c>
      <c r="F744" s="72">
        <v>3.0</v>
      </c>
      <c r="G744" s="72">
        <v>3.0</v>
      </c>
      <c r="H744" s="72">
        <v>3.0</v>
      </c>
      <c r="I744" s="72">
        <v>4.0</v>
      </c>
      <c r="J744" s="72">
        <v>4.0</v>
      </c>
      <c r="K744" s="72">
        <v>3.0</v>
      </c>
      <c r="L744" s="72">
        <v>4.0</v>
      </c>
      <c r="M744" s="72">
        <v>4.0</v>
      </c>
      <c r="N744" s="72">
        <v>4.0</v>
      </c>
      <c r="O744" s="73"/>
    </row>
    <row r="745" ht="15.75" customHeight="1">
      <c r="C745" s="81">
        <v>621.0</v>
      </c>
      <c r="D745" s="70" t="s">
        <v>895</v>
      </c>
      <c r="E745" s="71" t="str">
        <f>vlookup(C745,'NOC-List'!B$2:C$502,2,False)</f>
        <v>Retail and wholesale trade managers</v>
      </c>
      <c r="F745" s="72">
        <v>3.0</v>
      </c>
      <c r="G745" s="72">
        <v>3.0</v>
      </c>
      <c r="H745" s="72">
        <v>3.0</v>
      </c>
      <c r="I745" s="72">
        <v>4.0</v>
      </c>
      <c r="J745" s="72">
        <v>4.0</v>
      </c>
      <c r="K745" s="72">
        <v>3.0</v>
      </c>
      <c r="L745" s="72">
        <v>4.0</v>
      </c>
      <c r="M745" s="72">
        <v>4.0</v>
      </c>
      <c r="N745" s="72">
        <v>4.0</v>
      </c>
      <c r="O745" s="73"/>
    </row>
    <row r="746" ht="15.75" customHeight="1">
      <c r="C746" s="81">
        <v>6211.0</v>
      </c>
      <c r="D746" s="70" t="s">
        <v>896</v>
      </c>
      <c r="E746" s="71" t="str">
        <f>vlookup(C746,'NOC-List'!B$2:C$502,2,False)</f>
        <v>Retail sales supervisors</v>
      </c>
      <c r="F746" s="72">
        <v>3.0</v>
      </c>
      <c r="G746" s="72">
        <v>3.0</v>
      </c>
      <c r="H746" s="72">
        <v>3.0</v>
      </c>
      <c r="I746" s="72">
        <v>4.0</v>
      </c>
      <c r="J746" s="72">
        <v>4.0</v>
      </c>
      <c r="K746" s="72">
        <v>3.0</v>
      </c>
      <c r="L746" s="72">
        <v>4.0</v>
      </c>
      <c r="M746" s="72">
        <v>4.0</v>
      </c>
      <c r="N746" s="72">
        <v>4.0</v>
      </c>
      <c r="O746" s="73"/>
    </row>
    <row r="747" ht="15.75" customHeight="1">
      <c r="C747" s="81">
        <v>6411.0</v>
      </c>
      <c r="D747" s="70" t="s">
        <v>897</v>
      </c>
      <c r="E747" s="71" t="str">
        <f>vlookup(C747,'NOC-List'!B$2:C$502,2,False)</f>
        <v>Sales and account representatives - wholesale trade (non-technical)</v>
      </c>
      <c r="F747" s="72">
        <v>3.0</v>
      </c>
      <c r="G747" s="72">
        <v>3.0</v>
      </c>
      <c r="H747" s="72">
        <v>3.0</v>
      </c>
      <c r="I747" s="72">
        <v>4.0</v>
      </c>
      <c r="J747" s="72">
        <v>4.0</v>
      </c>
      <c r="K747" s="72">
        <v>3.0</v>
      </c>
      <c r="L747" s="72">
        <v>4.0</v>
      </c>
      <c r="M747" s="72">
        <v>4.0</v>
      </c>
      <c r="N747" s="72">
        <v>4.0</v>
      </c>
      <c r="O747" s="73"/>
    </row>
    <row r="748" ht="15.75" customHeight="1">
      <c r="C748" s="34">
        <v>4031.0</v>
      </c>
      <c r="D748" s="70" t="s">
        <v>898</v>
      </c>
      <c r="E748" s="71" t="str">
        <f>vlookup(C748,'NOC-List'!B$2:C$502,2,False)</f>
        <v>Secondary school teachers</v>
      </c>
      <c r="F748" s="72">
        <v>2.0</v>
      </c>
      <c r="G748" s="72">
        <v>2.0</v>
      </c>
      <c r="H748" s="72">
        <v>2.0</v>
      </c>
      <c r="I748" s="72">
        <v>4.0</v>
      </c>
      <c r="J748" s="72">
        <v>3.0</v>
      </c>
      <c r="K748" s="72">
        <v>3.0</v>
      </c>
      <c r="L748" s="72">
        <v>4.0</v>
      </c>
      <c r="M748" s="72">
        <v>4.0</v>
      </c>
      <c r="N748" s="72">
        <v>4.0</v>
      </c>
      <c r="O748" s="73"/>
    </row>
    <row r="749" ht="15.75" customHeight="1">
      <c r="C749" s="34">
        <v>6721.0</v>
      </c>
      <c r="D749" s="70" t="s">
        <v>899</v>
      </c>
      <c r="E749" s="71" t="str">
        <f>vlookup(C749,'NOC-List'!B$2:C$502,2,False)</f>
        <v>Support occupations in accommodation, travel and facilities set-up services</v>
      </c>
      <c r="F749" s="72">
        <v>4.0</v>
      </c>
      <c r="G749" s="72">
        <v>4.0</v>
      </c>
      <c r="H749" s="72">
        <v>4.0</v>
      </c>
      <c r="I749" s="72">
        <v>4.0</v>
      </c>
      <c r="J749" s="72">
        <v>4.0</v>
      </c>
      <c r="K749" s="72">
        <v>5.0</v>
      </c>
      <c r="L749" s="72">
        <v>4.0</v>
      </c>
      <c r="M749" s="72">
        <v>4.0</v>
      </c>
      <c r="N749" s="72">
        <v>3.0</v>
      </c>
      <c r="O749" s="73"/>
    </row>
    <row r="750" ht="15.75" customHeight="1">
      <c r="C750" s="81">
        <v>1315.0</v>
      </c>
      <c r="D750" s="70" t="s">
        <v>900</v>
      </c>
      <c r="E750" s="71" t="str">
        <f>vlookup(C750,'NOC-List'!B$2:C$502,2,False)</f>
        <v>Customs, ship and other brokers</v>
      </c>
      <c r="F750" s="72">
        <v>2.0</v>
      </c>
      <c r="G750" s="72">
        <v>2.0</v>
      </c>
      <c r="H750" s="72">
        <v>3.0</v>
      </c>
      <c r="I750" s="72">
        <v>4.0</v>
      </c>
      <c r="J750" s="72">
        <v>4.0</v>
      </c>
      <c r="K750" s="72">
        <v>3.0</v>
      </c>
      <c r="L750" s="72">
        <v>4.0</v>
      </c>
      <c r="M750" s="72">
        <v>4.0</v>
      </c>
      <c r="N750" s="72">
        <v>4.0</v>
      </c>
      <c r="O750" s="73"/>
    </row>
    <row r="751" ht="15.75" customHeight="1">
      <c r="C751" s="34">
        <v>4164.0</v>
      </c>
      <c r="D751" s="70" t="s">
        <v>901</v>
      </c>
      <c r="E751" s="71" t="str">
        <f>vlookup(C751,'NOC-List'!B$2:C$502,2,False)</f>
        <v>Social policy researchers, consultants and program officers</v>
      </c>
      <c r="F751" s="72">
        <v>2.0</v>
      </c>
      <c r="G751" s="72">
        <v>2.0</v>
      </c>
      <c r="H751" s="72">
        <v>3.0</v>
      </c>
      <c r="I751" s="72">
        <v>4.0</v>
      </c>
      <c r="J751" s="72">
        <v>4.0</v>
      </c>
      <c r="K751" s="72">
        <v>3.0</v>
      </c>
      <c r="L751" s="72">
        <v>4.0</v>
      </c>
      <c r="M751" s="72">
        <v>4.0</v>
      </c>
      <c r="N751" s="72">
        <v>4.0</v>
      </c>
      <c r="O751" s="73"/>
    </row>
    <row r="752" ht="15.75" customHeight="1">
      <c r="C752" s="34">
        <v>4164.0</v>
      </c>
      <c r="D752" s="70" t="s">
        <v>902</v>
      </c>
      <c r="E752" s="71" t="str">
        <f>vlookup(C752,'NOC-List'!B$2:C$502,2,False)</f>
        <v>Social policy researchers, consultants and program officers</v>
      </c>
      <c r="F752" s="72">
        <v>2.0</v>
      </c>
      <c r="G752" s="72">
        <v>2.0</v>
      </c>
      <c r="H752" s="72">
        <v>3.0</v>
      </c>
      <c r="I752" s="72">
        <v>4.0</v>
      </c>
      <c r="J752" s="72">
        <v>4.0</v>
      </c>
      <c r="K752" s="72">
        <v>3.0</v>
      </c>
      <c r="L752" s="72">
        <v>4.0</v>
      </c>
      <c r="M752" s="72">
        <v>4.0</v>
      </c>
      <c r="N752" s="72">
        <v>4.0</v>
      </c>
      <c r="O752" s="73"/>
    </row>
    <row r="753" ht="15.75" customHeight="1">
      <c r="C753" s="34">
        <v>4152.0</v>
      </c>
      <c r="D753" s="70" t="s">
        <v>903</v>
      </c>
      <c r="E753" s="71" t="str">
        <f>vlookup(C753,'NOC-List'!B$2:C$502,2,False)</f>
        <v>Social workers</v>
      </c>
      <c r="F753" s="72">
        <v>2.0</v>
      </c>
      <c r="G753" s="72">
        <v>2.0</v>
      </c>
      <c r="H753" s="72">
        <v>3.0</v>
      </c>
      <c r="I753" s="72">
        <v>4.0</v>
      </c>
      <c r="J753" s="72">
        <v>4.0</v>
      </c>
      <c r="K753" s="72">
        <v>3.0</v>
      </c>
      <c r="L753" s="72">
        <v>4.0</v>
      </c>
      <c r="M753" s="72">
        <v>4.0</v>
      </c>
      <c r="N753" s="72">
        <v>4.0</v>
      </c>
      <c r="O753" s="73"/>
    </row>
    <row r="754" ht="15.75" customHeight="1">
      <c r="C754" s="34">
        <v>2147.0</v>
      </c>
      <c r="D754" s="70" t="s">
        <v>904</v>
      </c>
      <c r="E754" s="71" t="str">
        <f>vlookup(C754,'NOC-List'!B$2:C$502,2,False)</f>
        <v>Computer engineers (except software engineers and designers)</v>
      </c>
      <c r="F754" s="72">
        <v>1.0</v>
      </c>
      <c r="G754" s="72">
        <v>2.0</v>
      </c>
      <c r="H754" s="72">
        <v>1.0</v>
      </c>
      <c r="I754" s="72">
        <v>2.0</v>
      </c>
      <c r="J754" s="72">
        <v>3.0</v>
      </c>
      <c r="K754" s="72">
        <v>3.0</v>
      </c>
      <c r="L754" s="72">
        <v>4.0</v>
      </c>
      <c r="M754" s="72">
        <v>4.0</v>
      </c>
      <c r="N754" s="72">
        <v>4.0</v>
      </c>
      <c r="O754" s="73"/>
    </row>
    <row r="755" ht="15.75" customHeight="1">
      <c r="C755" s="34">
        <v>2115.0</v>
      </c>
      <c r="D755" s="70" t="s">
        <v>905</v>
      </c>
      <c r="E755" s="71" t="str">
        <f>vlookup(C755,'NOC-List'!B$2:C$502,2,False)</f>
        <v>Other professional occupations in physical sciences</v>
      </c>
      <c r="F755" s="72">
        <v>1.0</v>
      </c>
      <c r="G755" s="72">
        <v>1.0</v>
      </c>
      <c r="H755" s="72">
        <v>1.0</v>
      </c>
      <c r="I755" s="72">
        <v>2.0</v>
      </c>
      <c r="J755" s="72">
        <v>2.0</v>
      </c>
      <c r="K755" s="72">
        <v>4.0</v>
      </c>
      <c r="L755" s="72">
        <v>3.0</v>
      </c>
      <c r="M755" s="72">
        <v>3.0</v>
      </c>
      <c r="N755" s="72">
        <v>3.0</v>
      </c>
      <c r="O755" s="73"/>
    </row>
    <row r="756" ht="15.75" customHeight="1">
      <c r="C756" s="81">
        <v>1121.0</v>
      </c>
      <c r="D756" s="70" t="s">
        <v>906</v>
      </c>
      <c r="E756" s="71" t="str">
        <f>vlookup(C756,'NOC-List'!B$2:C$502,2,False)</f>
        <v>Human resources professionals</v>
      </c>
      <c r="F756" s="72">
        <v>2.0</v>
      </c>
      <c r="G756" s="72">
        <v>2.0</v>
      </c>
      <c r="H756" s="72">
        <v>3.0</v>
      </c>
      <c r="I756" s="72">
        <v>4.0</v>
      </c>
      <c r="J756" s="72">
        <v>4.0</v>
      </c>
      <c r="K756" s="72">
        <v>3.0</v>
      </c>
      <c r="L756" s="72">
        <v>4.0</v>
      </c>
      <c r="M756" s="72">
        <v>4.0</v>
      </c>
      <c r="N756" s="72">
        <v>4.0</v>
      </c>
      <c r="O756" s="73"/>
    </row>
    <row r="757" ht="15.75" customHeight="1">
      <c r="C757" s="34">
        <v>3111.0</v>
      </c>
      <c r="D757" s="70" t="s">
        <v>907</v>
      </c>
      <c r="E757" s="71" t="str">
        <f>vlookup(C757,'NOC-List'!B$2:C$502,2,False)</f>
        <v>Specialist physicians</v>
      </c>
      <c r="F757" s="72">
        <v>1.0</v>
      </c>
      <c r="G757" s="72">
        <v>1.0</v>
      </c>
      <c r="H757" s="72">
        <v>1.0</v>
      </c>
      <c r="I757" s="72">
        <v>2.0</v>
      </c>
      <c r="J757" s="72">
        <v>2.0</v>
      </c>
      <c r="K757" s="72">
        <v>3.0</v>
      </c>
      <c r="L757" s="72">
        <v>3.0</v>
      </c>
      <c r="M757" s="72">
        <v>2.0</v>
      </c>
      <c r="N757" s="72">
        <v>3.0</v>
      </c>
      <c r="O757" s="73"/>
    </row>
    <row r="758" ht="15.75" customHeight="1">
      <c r="C758" s="34">
        <v>6623.0</v>
      </c>
      <c r="D758" s="70" t="s">
        <v>908</v>
      </c>
      <c r="E758" s="71" t="str">
        <f>vlookup(C758,'NOC-List'!B$2:C$502,2,False)</f>
        <v>Other sales related occupations</v>
      </c>
      <c r="F758" s="72">
        <v>4.0</v>
      </c>
      <c r="G758" s="72">
        <v>4.0</v>
      </c>
      <c r="H758" s="72">
        <v>4.0</v>
      </c>
      <c r="I758" s="72">
        <v>4.0</v>
      </c>
      <c r="J758" s="72">
        <v>4.0</v>
      </c>
      <c r="K758" s="72">
        <v>4.0</v>
      </c>
      <c r="L758" s="72">
        <v>4.0</v>
      </c>
      <c r="M758" s="72">
        <v>4.0</v>
      </c>
      <c r="N758" s="72">
        <v>4.0</v>
      </c>
      <c r="O758" s="73"/>
    </row>
    <row r="759" ht="15.75" customHeight="1">
      <c r="C759" s="81">
        <v>9213.0</v>
      </c>
      <c r="D759" s="70" t="s">
        <v>909</v>
      </c>
      <c r="E759" s="71" t="str">
        <f>vlookup(C759,'NOC-List'!B$2:C$502,2,False)</f>
        <v>Supervisors, food, beverage and associated products processing</v>
      </c>
      <c r="F759" s="72">
        <v>3.0</v>
      </c>
      <c r="G759" s="72">
        <v>3.0</v>
      </c>
      <c r="H759" s="72">
        <v>3.0</v>
      </c>
      <c r="I759" s="72">
        <v>4.0</v>
      </c>
      <c r="J759" s="72">
        <v>4.0</v>
      </c>
      <c r="K759" s="72">
        <v>3.0</v>
      </c>
      <c r="L759" s="72">
        <v>4.0</v>
      </c>
      <c r="M759" s="72">
        <v>4.0</v>
      </c>
      <c r="N759" s="72">
        <v>4.0</v>
      </c>
      <c r="O759" s="73"/>
    </row>
    <row r="760" ht="15.75" customHeight="1">
      <c r="C760" s="81">
        <v>1211.0</v>
      </c>
      <c r="D760" s="70" t="s">
        <v>910</v>
      </c>
      <c r="E760" s="71" t="str">
        <f>vlookup(C760,'NOC-List'!B$2:C$502,2,False)</f>
        <v>Supervisors, general office and administrative support workers</v>
      </c>
      <c r="F760" s="72">
        <v>3.0</v>
      </c>
      <c r="G760" s="72">
        <v>3.0</v>
      </c>
      <c r="H760" s="72">
        <v>3.0</v>
      </c>
      <c r="I760" s="72">
        <v>4.0</v>
      </c>
      <c r="J760" s="72">
        <v>4.0</v>
      </c>
      <c r="K760" s="72">
        <v>3.0</v>
      </c>
      <c r="L760" s="72">
        <v>4.0</v>
      </c>
      <c r="M760" s="72">
        <v>4.0</v>
      </c>
      <c r="N760" s="72">
        <v>4.0</v>
      </c>
      <c r="O760" s="73"/>
    </row>
    <row r="761" ht="15.75" customHeight="1">
      <c r="C761" s="81">
        <v>2225.0</v>
      </c>
      <c r="D761" s="70" t="s">
        <v>911</v>
      </c>
      <c r="E761" s="71" t="str">
        <f>vlookup(C761,'NOC-List'!B$2:C$502,2,False)</f>
        <v>Landscape and horticulture technicians and specialists</v>
      </c>
      <c r="F761" s="72">
        <v>3.0</v>
      </c>
      <c r="G761" s="72">
        <v>3.0</v>
      </c>
      <c r="H761" s="72">
        <v>4.0</v>
      </c>
      <c r="I761" s="72">
        <v>4.0</v>
      </c>
      <c r="J761" s="72">
        <v>4.0</v>
      </c>
      <c r="K761" s="72">
        <v>4.0</v>
      </c>
      <c r="L761" s="72">
        <v>4.0</v>
      </c>
      <c r="M761" s="72">
        <v>4.0</v>
      </c>
      <c r="N761" s="72">
        <v>4.0</v>
      </c>
      <c r="O761" s="73"/>
    </row>
    <row r="762" ht="15.75" customHeight="1">
      <c r="C762" s="34">
        <v>1215.0</v>
      </c>
      <c r="D762" s="70" t="s">
        <v>912</v>
      </c>
      <c r="E762" s="71" t="str">
        <f>vlookup(C762,'NOC-List'!B$2:C$502,2,False)</f>
        <v>Supervisors, supply chain, tracking and scheduling co-ordination occupations</v>
      </c>
      <c r="F762" s="72">
        <v>3.0</v>
      </c>
      <c r="G762" s="72">
        <v>3.0</v>
      </c>
      <c r="H762" s="72">
        <v>3.0</v>
      </c>
      <c r="I762" s="72">
        <v>4.0</v>
      </c>
      <c r="J762" s="72">
        <v>4.0</v>
      </c>
      <c r="K762" s="72">
        <v>3.0</v>
      </c>
      <c r="L762" s="72">
        <v>4.0</v>
      </c>
      <c r="M762" s="72">
        <v>4.0</v>
      </c>
      <c r="N762" s="72">
        <v>4.0</v>
      </c>
      <c r="O762" s="73"/>
    </row>
    <row r="763" ht="15.75" customHeight="1">
      <c r="C763" s="34">
        <v>2171.0</v>
      </c>
      <c r="D763" s="70" t="s">
        <v>913</v>
      </c>
      <c r="E763" s="71" t="str">
        <f>vlookup(C763,'NOC-List'!B$2:C$502,2,False)</f>
        <v>Information systems analysts and consultants</v>
      </c>
      <c r="F763" s="72">
        <v>2.0</v>
      </c>
      <c r="G763" s="72">
        <v>2.0</v>
      </c>
      <c r="H763" s="72">
        <v>2.0</v>
      </c>
      <c r="I763" s="72">
        <v>2.0</v>
      </c>
      <c r="J763" s="72">
        <v>2.0</v>
      </c>
      <c r="K763" s="72">
        <v>2.0</v>
      </c>
      <c r="L763" s="72">
        <v>4.0</v>
      </c>
      <c r="M763" s="72">
        <v>4.0</v>
      </c>
      <c r="N763" s="72">
        <v>4.0</v>
      </c>
      <c r="O763" s="73"/>
    </row>
    <row r="764" ht="15.75" customHeight="1">
      <c r="C764" s="34">
        <v>4423.0</v>
      </c>
      <c r="D764" s="70" t="s">
        <v>914</v>
      </c>
      <c r="E764" s="71" t="str">
        <f>vlookup(C764,'NOC-List'!B$2:C$502,2,False)</f>
        <v>By-law enforcement and other regulatory officers, n.e.c.</v>
      </c>
      <c r="F764" s="72">
        <v>3.0</v>
      </c>
      <c r="G764" s="72">
        <v>3.0</v>
      </c>
      <c r="H764" s="72">
        <v>4.0</v>
      </c>
      <c r="I764" s="72">
        <v>4.0</v>
      </c>
      <c r="J764" s="72">
        <v>4.0</v>
      </c>
      <c r="K764" s="72">
        <v>4.0</v>
      </c>
      <c r="L764" s="72">
        <v>4.0</v>
      </c>
      <c r="M764" s="72">
        <v>4.0</v>
      </c>
      <c r="N764" s="72">
        <v>4.0</v>
      </c>
      <c r="O764" s="73"/>
    </row>
    <row r="765" ht="15.75" customHeight="1">
      <c r="C765" s="34">
        <v>131.0</v>
      </c>
      <c r="D765" s="70" t="s">
        <v>915</v>
      </c>
      <c r="E765" s="71" t="str">
        <f>vlookup(C765,'NOC-List'!B$2:C$502,2,False)</f>
        <v>Telecommunication carriers managers</v>
      </c>
      <c r="F765" s="72">
        <v>2.0</v>
      </c>
      <c r="G765" s="72">
        <v>2.0</v>
      </c>
      <c r="H765" s="72">
        <v>2.0</v>
      </c>
      <c r="I765" s="72">
        <v>3.0</v>
      </c>
      <c r="J765" s="72">
        <v>4.0</v>
      </c>
      <c r="K765" s="72">
        <v>3.0</v>
      </c>
      <c r="L765" s="72">
        <v>4.0</v>
      </c>
      <c r="M765" s="72">
        <v>4.0</v>
      </c>
      <c r="N765" s="72">
        <v>4.0</v>
      </c>
      <c r="O765" s="73"/>
    </row>
    <row r="766" ht="15.75" customHeight="1">
      <c r="C766" s="34">
        <v>5125.0</v>
      </c>
      <c r="D766" s="70" t="s">
        <v>916</v>
      </c>
      <c r="E766" s="71" t="str">
        <f>vlookup(C766,'NOC-List'!B$2:C$502,2,False)</f>
        <v>Translators, terminologists and interpreters</v>
      </c>
      <c r="F766" s="72">
        <v>2.0</v>
      </c>
      <c r="G766" s="72">
        <v>1.0</v>
      </c>
      <c r="H766" s="72">
        <v>4.0</v>
      </c>
      <c r="I766" s="72">
        <v>4.0</v>
      </c>
      <c r="J766" s="72">
        <v>4.0</v>
      </c>
      <c r="K766" s="72">
        <v>3.0</v>
      </c>
      <c r="L766" s="72">
        <v>4.0</v>
      </c>
      <c r="M766" s="72">
        <v>4.0</v>
      </c>
      <c r="N766" s="72">
        <v>4.0</v>
      </c>
      <c r="O766" s="73"/>
    </row>
    <row r="767" ht="15.75" customHeight="1">
      <c r="C767" s="34">
        <v>2148.0</v>
      </c>
      <c r="D767" s="70" t="s">
        <v>917</v>
      </c>
      <c r="E767" s="71" t="str">
        <f>vlookup(C767,'NOC-List'!B$2:C$502,2,False)</f>
        <v>Other professional engineers, n.e.c.</v>
      </c>
      <c r="F767" s="72">
        <v>1.0</v>
      </c>
      <c r="G767" s="72">
        <v>2.0</v>
      </c>
      <c r="H767" s="72">
        <v>1.0</v>
      </c>
      <c r="I767" s="72">
        <v>1.0</v>
      </c>
      <c r="J767" s="72">
        <v>3.0</v>
      </c>
      <c r="K767" s="72">
        <v>4.0</v>
      </c>
      <c r="L767" s="72">
        <v>4.0</v>
      </c>
      <c r="M767" s="72">
        <v>4.0</v>
      </c>
      <c r="N767" s="72">
        <v>4.0</v>
      </c>
      <c r="O767" s="73"/>
    </row>
    <row r="768" ht="15.75" customHeight="1">
      <c r="C768" s="81">
        <v>9441.0</v>
      </c>
      <c r="D768" s="70" t="s">
        <v>918</v>
      </c>
      <c r="E768" s="71" t="str">
        <f>vlookup(C768,'NOC-List'!B$2:C$502,2,False)</f>
        <v>Textile fibre and yarn, hide and pelt processing machine operators and workers</v>
      </c>
      <c r="F768" s="72">
        <v>4.0</v>
      </c>
      <c r="G768" s="72">
        <v>4.0</v>
      </c>
      <c r="H768" s="72">
        <v>5.0</v>
      </c>
      <c r="I768" s="72">
        <v>4.0</v>
      </c>
      <c r="J768" s="72">
        <v>4.0</v>
      </c>
      <c r="K768" s="72">
        <v>5.0</v>
      </c>
      <c r="L768" s="72">
        <v>3.0</v>
      </c>
      <c r="M768" s="72">
        <v>4.0</v>
      </c>
      <c r="N768" s="72">
        <v>3.0</v>
      </c>
      <c r="O768" s="73"/>
    </row>
    <row r="769" ht="15.75" customHeight="1">
      <c r="C769" s="34">
        <v>6524.0</v>
      </c>
      <c r="D769" s="70" t="s">
        <v>919</v>
      </c>
      <c r="E769" s="71" t="str">
        <f>vlookup(C769,'NOC-List'!B$2:C$502,2,False)</f>
        <v>Ground and water transport ticket agents, cargo service representatives and related clerks</v>
      </c>
      <c r="F769" s="72">
        <v>3.0</v>
      </c>
      <c r="G769" s="72">
        <v>3.0</v>
      </c>
      <c r="H769" s="72">
        <v>3.0</v>
      </c>
      <c r="I769" s="72">
        <v>4.0</v>
      </c>
      <c r="J769" s="72">
        <v>4.0</v>
      </c>
      <c r="K769" s="72">
        <v>3.0</v>
      </c>
      <c r="L769" s="72">
        <v>4.0</v>
      </c>
      <c r="M769" s="72">
        <v>4.0</v>
      </c>
      <c r="N769" s="72">
        <v>4.0</v>
      </c>
      <c r="O769" s="73"/>
    </row>
    <row r="770" ht="15.75" customHeight="1">
      <c r="C770" s="34">
        <v>9461.0</v>
      </c>
      <c r="D770" s="70" t="s">
        <v>920</v>
      </c>
      <c r="E770" s="71" t="str">
        <f>vlookup(C770,'NOC-List'!B$2:C$502,2,False)</f>
        <v>Process control and machine operators, food, beverage and associated products processing</v>
      </c>
      <c r="F770" s="72">
        <v>4.0</v>
      </c>
      <c r="G770" s="72">
        <v>4.0</v>
      </c>
      <c r="H770" s="72">
        <v>4.0</v>
      </c>
      <c r="I770" s="72">
        <v>4.0</v>
      </c>
      <c r="J770" s="72">
        <v>4.0</v>
      </c>
      <c r="K770" s="72">
        <v>5.0</v>
      </c>
      <c r="L770" s="72">
        <v>4.0</v>
      </c>
      <c r="M770" s="72">
        <v>4.0</v>
      </c>
      <c r="N770" s="72">
        <v>3.0</v>
      </c>
      <c r="O770" s="73"/>
    </row>
    <row r="771" ht="15.75" customHeight="1">
      <c r="C771" s="34">
        <v>6531.0</v>
      </c>
      <c r="D771" s="70" t="s">
        <v>921</v>
      </c>
      <c r="E771" s="71" t="str">
        <f>vlookup(C771,'NOC-List'!B$2:C$502,2,False)</f>
        <v>Tour and travel guides</v>
      </c>
      <c r="F771" s="72">
        <v>3.0</v>
      </c>
      <c r="G771" s="72">
        <v>3.0</v>
      </c>
      <c r="H771" s="72">
        <v>3.0</v>
      </c>
      <c r="I771" s="72">
        <v>4.0</v>
      </c>
      <c r="J771" s="72">
        <v>4.0</v>
      </c>
      <c r="K771" s="72">
        <v>3.0</v>
      </c>
      <c r="L771" s="72">
        <v>4.0</v>
      </c>
      <c r="M771" s="72">
        <v>4.0</v>
      </c>
      <c r="N771" s="72">
        <v>4.0</v>
      </c>
      <c r="O771" s="73"/>
    </row>
    <row r="772" ht="15.75" customHeight="1">
      <c r="C772" s="81">
        <v>7384.0</v>
      </c>
      <c r="D772" s="70" t="s">
        <v>922</v>
      </c>
      <c r="E772" s="71" t="str">
        <f>vlookup(C772,'NOC-List'!B$2:C$502,2,False)</f>
        <v>Other trades and related occupations, n.e.c.</v>
      </c>
      <c r="F772" s="72">
        <v>2.0</v>
      </c>
      <c r="G772" s="72">
        <v>2.0</v>
      </c>
      <c r="H772" s="72">
        <v>3.0</v>
      </c>
      <c r="I772" s="72">
        <v>4.0</v>
      </c>
      <c r="J772" s="72">
        <v>4.0</v>
      </c>
      <c r="K772" s="72">
        <v>3.0</v>
      </c>
      <c r="L772" s="72">
        <v>4.0</v>
      </c>
      <c r="M772" s="72">
        <v>4.0</v>
      </c>
      <c r="N772" s="72">
        <v>4.0</v>
      </c>
      <c r="O772" s="73"/>
    </row>
    <row r="773" ht="15.75" customHeight="1">
      <c r="C773" s="34">
        <v>1526.0</v>
      </c>
      <c r="D773" s="70" t="s">
        <v>923</v>
      </c>
      <c r="E773" s="71" t="str">
        <f>vlookup(C773,'NOC-List'!B$2:C$502,2,False)</f>
        <v>Transportation route and crew schedulers</v>
      </c>
      <c r="F773" s="72">
        <v>3.0</v>
      </c>
      <c r="G773" s="72">
        <v>3.0</v>
      </c>
      <c r="H773" s="72">
        <v>3.0</v>
      </c>
      <c r="I773" s="72">
        <v>4.0</v>
      </c>
      <c r="J773" s="72">
        <v>4.0</v>
      </c>
      <c r="K773" s="72">
        <v>3.0</v>
      </c>
      <c r="L773" s="72">
        <v>4.0</v>
      </c>
      <c r="M773" s="72">
        <v>4.0</v>
      </c>
      <c r="N773" s="72">
        <v>4.0</v>
      </c>
      <c r="O773" s="73"/>
    </row>
    <row r="774" ht="15.75" customHeight="1">
      <c r="C774" s="34">
        <v>8442.0</v>
      </c>
      <c r="D774" s="70" t="s">
        <v>924</v>
      </c>
      <c r="E774" s="71" t="str">
        <f>vlookup(C774,'NOC-List'!B$2:C$502,2,False)</f>
        <v>Trappers and hunters</v>
      </c>
      <c r="F774" s="72">
        <v>4.0</v>
      </c>
      <c r="G774" s="72">
        <v>4.0</v>
      </c>
      <c r="H774" s="72">
        <v>5.0</v>
      </c>
      <c r="I774" s="72">
        <v>4.0</v>
      </c>
      <c r="J774" s="72">
        <v>4.0</v>
      </c>
      <c r="K774" s="72">
        <v>5.0</v>
      </c>
      <c r="L774" s="72">
        <v>3.0</v>
      </c>
      <c r="M774" s="72">
        <v>4.0</v>
      </c>
      <c r="N774" s="72">
        <v>3.0</v>
      </c>
      <c r="O774" s="73"/>
    </row>
    <row r="775" ht="15.75" customHeight="1">
      <c r="C775" s="34">
        <v>6531.0</v>
      </c>
      <c r="D775" s="70" t="s">
        <v>925</v>
      </c>
      <c r="E775" s="71" t="str">
        <f>vlookup(C775,'NOC-List'!B$2:C$502,2,False)</f>
        <v>Tour and travel guides</v>
      </c>
      <c r="F775" s="72">
        <v>3.0</v>
      </c>
      <c r="G775" s="72">
        <v>3.0</v>
      </c>
      <c r="H775" s="72">
        <v>3.0</v>
      </c>
      <c r="I775" s="72">
        <v>4.0</v>
      </c>
      <c r="J775" s="72">
        <v>4.0</v>
      </c>
      <c r="K775" s="72">
        <v>3.0</v>
      </c>
      <c r="L775" s="72">
        <v>4.0</v>
      </c>
      <c r="M775" s="72">
        <v>4.0</v>
      </c>
      <c r="N775" s="72">
        <v>4.0</v>
      </c>
      <c r="O775" s="73"/>
    </row>
    <row r="776" ht="15.75" customHeight="1">
      <c r="C776" s="34">
        <v>4412.0</v>
      </c>
      <c r="D776" s="70" t="s">
        <v>926</v>
      </c>
      <c r="E776" s="71" t="str">
        <f>vlookup(C776,'NOC-List'!B$2:C$502,2,False)</f>
        <v>Home support workers, housekeepers and related occupations</v>
      </c>
      <c r="F776" s="72">
        <v>3.0</v>
      </c>
      <c r="G776" s="72">
        <v>3.0</v>
      </c>
      <c r="H776" s="72">
        <v>4.0</v>
      </c>
      <c r="I776" s="72">
        <v>4.0</v>
      </c>
      <c r="J776" s="72">
        <v>4.0</v>
      </c>
      <c r="K776" s="72">
        <v>4.0</v>
      </c>
      <c r="L776" s="72">
        <v>4.0</v>
      </c>
      <c r="M776" s="72">
        <v>4.0</v>
      </c>
      <c r="N776" s="72">
        <v>4.0</v>
      </c>
      <c r="O776" s="73"/>
    </row>
    <row r="777" ht="15.75" customHeight="1">
      <c r="C777" s="34">
        <v>6561.0</v>
      </c>
      <c r="D777" s="70" t="s">
        <v>927</v>
      </c>
      <c r="E777" s="71" t="str">
        <f>vlookup(C777,'NOC-List'!B$2:C$502,2,False)</f>
        <v>Image, social and other personal consultants</v>
      </c>
      <c r="F777" s="72">
        <v>4.0</v>
      </c>
      <c r="G777" s="72">
        <v>3.0</v>
      </c>
      <c r="H777" s="72">
        <v>4.0</v>
      </c>
      <c r="I777" s="72">
        <v>4.0</v>
      </c>
      <c r="J777" s="72">
        <v>4.0</v>
      </c>
      <c r="K777" s="72">
        <v>3.0</v>
      </c>
      <c r="L777" s="72">
        <v>4.0</v>
      </c>
      <c r="M777" s="72">
        <v>4.0</v>
      </c>
      <c r="N777" s="72">
        <v>4.0</v>
      </c>
      <c r="O777" s="73"/>
    </row>
    <row r="778" ht="15.75" customHeight="1">
      <c r="C778" s="34">
        <v>6732.0</v>
      </c>
      <c r="D778" s="70" t="s">
        <v>928</v>
      </c>
      <c r="E778" s="71" t="str">
        <f>vlookup(C778,'NOC-List'!B$2:C$502,2,False)</f>
        <v>Specialized cleaners</v>
      </c>
      <c r="F778" s="72">
        <v>4.0</v>
      </c>
      <c r="G778" s="72">
        <v>4.0</v>
      </c>
      <c r="H778" s="72">
        <v>5.0</v>
      </c>
      <c r="I778" s="72">
        <v>4.0</v>
      </c>
      <c r="J778" s="72">
        <v>4.0</v>
      </c>
      <c r="K778" s="72">
        <v>5.0</v>
      </c>
      <c r="L778" s="72">
        <v>3.0</v>
      </c>
      <c r="M778" s="72">
        <v>4.0</v>
      </c>
      <c r="N778" s="72">
        <v>3.0</v>
      </c>
      <c r="O778" s="73"/>
    </row>
    <row r="779" ht="15.75" customHeight="1">
      <c r="C779" s="34">
        <v>4423.0</v>
      </c>
      <c r="D779" s="70" t="s">
        <v>929</v>
      </c>
      <c r="E779" s="71" t="str">
        <f>vlookup(C779,'NOC-List'!B$2:C$502,2,False)</f>
        <v>By-law enforcement and other regulatory officers, n.e.c.</v>
      </c>
      <c r="F779" s="72">
        <v>3.0</v>
      </c>
      <c r="G779" s="72">
        <v>3.0</v>
      </c>
      <c r="H779" s="72">
        <v>4.0</v>
      </c>
      <c r="I779" s="72">
        <v>4.0</v>
      </c>
      <c r="J779" s="72">
        <v>4.0</v>
      </c>
      <c r="K779" s="72">
        <v>4.0</v>
      </c>
      <c r="L779" s="72">
        <v>4.0</v>
      </c>
      <c r="M779" s="72">
        <v>4.0</v>
      </c>
      <c r="N779" s="72">
        <v>4.0</v>
      </c>
      <c r="O779" s="73"/>
    </row>
    <row r="780" ht="15.75" customHeight="1">
      <c r="C780" s="34">
        <v>1221.0</v>
      </c>
      <c r="D780" s="70" t="s">
        <v>930</v>
      </c>
      <c r="E780" s="71" t="str">
        <f>vlookup(C780,'NOC-List'!B$2:C$502,2,False)</f>
        <v>Administrative officers</v>
      </c>
      <c r="F780" s="72">
        <v>2.0</v>
      </c>
      <c r="G780" s="72">
        <v>2.0</v>
      </c>
      <c r="H780" s="72">
        <v>2.0</v>
      </c>
      <c r="I780" s="72">
        <v>4.0</v>
      </c>
      <c r="J780" s="72">
        <v>4.0</v>
      </c>
      <c r="K780" s="72">
        <v>3.0</v>
      </c>
      <c r="L780" s="72">
        <v>4.0</v>
      </c>
      <c r="M780" s="72">
        <v>4.0</v>
      </c>
      <c r="N780" s="72">
        <v>4.0</v>
      </c>
      <c r="O780" s="73"/>
    </row>
    <row r="781" ht="15.75" customHeight="1">
      <c r="C781" s="34">
        <v>124.0</v>
      </c>
      <c r="D781" s="70" t="s">
        <v>931</v>
      </c>
      <c r="E781" s="71" t="str">
        <f>vlookup(C781,'NOC-List'!B$2:C$502,2,False)</f>
        <v>Advertising, marketing and public relations managers</v>
      </c>
      <c r="F781" s="72">
        <v>2.0</v>
      </c>
      <c r="G781" s="72">
        <v>2.0</v>
      </c>
      <c r="H781" s="72">
        <v>2.0</v>
      </c>
      <c r="I781" s="72">
        <v>4.0</v>
      </c>
      <c r="J781" s="72">
        <v>4.0</v>
      </c>
      <c r="K781" s="72">
        <v>3.0</v>
      </c>
      <c r="L781" s="72">
        <v>4.0</v>
      </c>
      <c r="M781" s="72">
        <v>4.0</v>
      </c>
      <c r="N781" s="72">
        <v>4.0</v>
      </c>
      <c r="O781" s="73"/>
    </row>
    <row r="782" ht="15.75" customHeight="1">
      <c r="C782" s="34">
        <v>6523.0</v>
      </c>
      <c r="D782" s="70" t="s">
        <v>932</v>
      </c>
      <c r="E782" s="71" t="str">
        <f>vlookup(C782,'NOC-List'!B$2:C$502,2,False)</f>
        <v>Airline ticket and service agents</v>
      </c>
      <c r="F782" s="72">
        <v>3.0</v>
      </c>
      <c r="G782" s="72">
        <v>3.0</v>
      </c>
      <c r="H782" s="72">
        <v>3.0</v>
      </c>
      <c r="I782" s="72">
        <v>4.0</v>
      </c>
      <c r="J782" s="72">
        <v>4.0</v>
      </c>
      <c r="K782" s="72">
        <v>2.0</v>
      </c>
      <c r="L782" s="72">
        <v>4.0</v>
      </c>
      <c r="M782" s="72">
        <v>4.0</v>
      </c>
      <c r="N782" s="72">
        <v>4.0</v>
      </c>
      <c r="O782" s="73"/>
    </row>
    <row r="783" ht="15.75" customHeight="1">
      <c r="C783" s="34">
        <v>6523.0</v>
      </c>
      <c r="D783" s="70" t="s">
        <v>933</v>
      </c>
      <c r="E783" s="71" t="str">
        <f>vlookup(C783,'NOC-List'!B$2:C$502,2,False)</f>
        <v>Airline ticket and service agents</v>
      </c>
      <c r="F783" s="72">
        <v>3.0</v>
      </c>
      <c r="G783" s="72">
        <v>3.0</v>
      </c>
      <c r="H783" s="72">
        <v>3.0</v>
      </c>
      <c r="I783" s="72">
        <v>4.0</v>
      </c>
      <c r="J783" s="72">
        <v>4.0</v>
      </c>
      <c r="K783" s="72">
        <v>2.0</v>
      </c>
      <c r="L783" s="72">
        <v>4.0</v>
      </c>
      <c r="M783" s="72">
        <v>4.0</v>
      </c>
      <c r="N783" s="72">
        <v>4.0</v>
      </c>
      <c r="O783" s="73"/>
    </row>
    <row r="784" ht="15.75" customHeight="1">
      <c r="C784" s="34">
        <v>6523.0</v>
      </c>
      <c r="D784" s="70" t="s">
        <v>934</v>
      </c>
      <c r="E784" s="71" t="str">
        <f>vlookup(C784,'NOC-List'!B$2:C$502,2,False)</f>
        <v>Airline ticket and service agents</v>
      </c>
      <c r="F784" s="72">
        <v>3.0</v>
      </c>
      <c r="G784" s="72">
        <v>3.0</v>
      </c>
      <c r="H784" s="72">
        <v>3.0</v>
      </c>
      <c r="I784" s="72">
        <v>4.0</v>
      </c>
      <c r="J784" s="72">
        <v>4.0</v>
      </c>
      <c r="K784" s="72">
        <v>2.0</v>
      </c>
      <c r="L784" s="72">
        <v>4.0</v>
      </c>
      <c r="M784" s="72">
        <v>4.0</v>
      </c>
      <c r="N784" s="72">
        <v>4.0</v>
      </c>
      <c r="O784" s="73"/>
    </row>
    <row r="785" ht="15.75" customHeight="1">
      <c r="C785" s="81">
        <v>6523.0</v>
      </c>
      <c r="D785" s="70" t="s">
        <v>935</v>
      </c>
      <c r="E785" s="71" t="str">
        <f>vlookup(C785,'NOC-List'!B$2:C$502,2,False)</f>
        <v>Airline ticket and service agents</v>
      </c>
      <c r="F785" s="72">
        <v>3.0</v>
      </c>
      <c r="G785" s="72">
        <v>3.0</v>
      </c>
      <c r="H785" s="72">
        <v>3.0</v>
      </c>
      <c r="I785" s="72">
        <v>4.0</v>
      </c>
      <c r="J785" s="72">
        <v>4.0</v>
      </c>
      <c r="K785" s="72">
        <v>2.0</v>
      </c>
      <c r="L785" s="72">
        <v>4.0</v>
      </c>
      <c r="M785" s="72">
        <v>4.0</v>
      </c>
      <c r="N785" s="72">
        <v>4.0</v>
      </c>
      <c r="O785" s="73"/>
    </row>
    <row r="786" ht="15.75" customHeight="1">
      <c r="C786" s="34">
        <v>6523.0</v>
      </c>
      <c r="D786" s="70" t="s">
        <v>936</v>
      </c>
      <c r="E786" s="71" t="str">
        <f>vlookup(C786,'NOC-List'!B$2:C$502,2,False)</f>
        <v>Airline ticket and service agents</v>
      </c>
      <c r="F786" s="72">
        <v>3.0</v>
      </c>
      <c r="G786" s="72">
        <v>3.0</v>
      </c>
      <c r="H786" s="72">
        <v>3.0</v>
      </c>
      <c r="I786" s="72">
        <v>4.0</v>
      </c>
      <c r="J786" s="72">
        <v>4.0</v>
      </c>
      <c r="K786" s="72">
        <v>2.0</v>
      </c>
      <c r="L786" s="72">
        <v>4.0</v>
      </c>
      <c r="M786" s="72">
        <v>4.0</v>
      </c>
      <c r="N786" s="72">
        <v>4.0</v>
      </c>
      <c r="O786" s="73"/>
    </row>
    <row r="787" ht="15.75" customHeight="1">
      <c r="C787" s="34">
        <v>6523.0</v>
      </c>
      <c r="D787" s="70" t="s">
        <v>937</v>
      </c>
      <c r="E787" s="71" t="str">
        <f>vlookup(C787,'NOC-List'!B$2:C$502,2,False)</f>
        <v>Airline ticket and service agents</v>
      </c>
      <c r="F787" s="72">
        <v>3.0</v>
      </c>
      <c r="G787" s="72">
        <v>3.0</v>
      </c>
      <c r="H787" s="72">
        <v>3.0</v>
      </c>
      <c r="I787" s="72">
        <v>4.0</v>
      </c>
      <c r="J787" s="72">
        <v>4.0</v>
      </c>
      <c r="K787" s="72">
        <v>2.0</v>
      </c>
      <c r="L787" s="72">
        <v>4.0</v>
      </c>
      <c r="M787" s="72">
        <v>4.0</v>
      </c>
      <c r="N787" s="72">
        <v>4.0</v>
      </c>
      <c r="O787" s="73"/>
    </row>
    <row r="788" ht="15.75" customHeight="1">
      <c r="C788" s="34">
        <v>5231.0</v>
      </c>
      <c r="D788" s="70" t="s">
        <v>938</v>
      </c>
      <c r="E788" s="71" t="str">
        <f>vlookup(C788,'NOC-List'!B$2:C$502,2,False)</f>
        <v>Announcers and other broadcasters</v>
      </c>
      <c r="F788" s="72">
        <v>3.0</v>
      </c>
      <c r="G788" s="72">
        <v>2.0</v>
      </c>
      <c r="H788" s="72">
        <v>3.0</v>
      </c>
      <c r="I788" s="72">
        <v>4.0</v>
      </c>
      <c r="J788" s="72">
        <v>4.0</v>
      </c>
      <c r="K788" s="72">
        <v>3.0</v>
      </c>
      <c r="L788" s="72">
        <v>4.0</v>
      </c>
      <c r="M788" s="72">
        <v>4.0</v>
      </c>
      <c r="N788" s="72">
        <v>4.0</v>
      </c>
      <c r="O788" s="73"/>
    </row>
    <row r="789" ht="15.75" customHeight="1">
      <c r="C789" s="81">
        <v>2148.0</v>
      </c>
      <c r="D789" s="70" t="s">
        <v>939</v>
      </c>
      <c r="E789" s="71" t="str">
        <f>vlookup(C789,'NOC-List'!B$2:C$502,2,False)</f>
        <v>Other professional engineers, n.e.c.</v>
      </c>
      <c r="F789" s="72">
        <v>1.0</v>
      </c>
      <c r="G789" s="72">
        <v>1.0</v>
      </c>
      <c r="H789" s="72">
        <v>1.0</v>
      </c>
      <c r="I789" s="72">
        <v>1.0</v>
      </c>
      <c r="J789" s="72">
        <v>3.0</v>
      </c>
      <c r="K789" s="72">
        <v>4.0</v>
      </c>
      <c r="L789" s="72">
        <v>4.0</v>
      </c>
      <c r="M789" s="72">
        <v>4.0</v>
      </c>
      <c r="N789" s="72">
        <v>4.0</v>
      </c>
      <c r="O789" s="73"/>
    </row>
    <row r="790" ht="15.75" customHeight="1">
      <c r="C790" s="34">
        <v>1113.0</v>
      </c>
      <c r="D790" s="70" t="s">
        <v>940</v>
      </c>
      <c r="E790" s="71" t="str">
        <f>vlookup(C790,'NOC-List'!B$2:C$502,2,False)</f>
        <v>Securities agents, investment dealers and brokers</v>
      </c>
      <c r="F790" s="72">
        <v>2.0</v>
      </c>
      <c r="G790" s="72">
        <v>2.0</v>
      </c>
      <c r="H790" s="72">
        <v>2.0</v>
      </c>
      <c r="I790" s="72">
        <v>4.0</v>
      </c>
      <c r="J790" s="72">
        <v>4.0</v>
      </c>
      <c r="K790" s="72">
        <v>3.0</v>
      </c>
      <c r="L790" s="72">
        <v>4.0</v>
      </c>
      <c r="M790" s="72">
        <v>4.0</v>
      </c>
      <c r="N790" s="72">
        <v>4.0</v>
      </c>
      <c r="O790" s="73"/>
    </row>
    <row r="791" ht="15.75" customHeight="1">
      <c r="C791" s="34">
        <v>4163.0</v>
      </c>
      <c r="D791" s="70" t="s">
        <v>941</v>
      </c>
      <c r="E791" s="71" t="str">
        <f>vlookup(C791,'NOC-List'!B$2:C$502,2,False)</f>
        <v>Business development officers and marketing researchers and consultants</v>
      </c>
      <c r="F791" s="72">
        <v>2.0</v>
      </c>
      <c r="G791" s="72">
        <v>2.0</v>
      </c>
      <c r="H791" s="72">
        <v>2.0</v>
      </c>
      <c r="I791" s="72">
        <v>4.0</v>
      </c>
      <c r="J791" s="72">
        <v>4.0</v>
      </c>
      <c r="K791" s="72">
        <v>3.0</v>
      </c>
      <c r="L791" s="72">
        <v>4.0</v>
      </c>
      <c r="M791" s="72">
        <v>4.0</v>
      </c>
      <c r="N791" s="72">
        <v>4.0</v>
      </c>
      <c r="O791" s="73"/>
    </row>
    <row r="792" ht="15.75" customHeight="1">
      <c r="C792" s="34">
        <v>2134.0</v>
      </c>
      <c r="D792" s="70" t="s">
        <v>942</v>
      </c>
      <c r="E792" s="71" t="str">
        <f>vlookup(C792,'NOC-List'!B$2:C$502,2,False)</f>
        <v>Chemical engineers</v>
      </c>
      <c r="F792" s="72">
        <v>1.0</v>
      </c>
      <c r="G792" s="72">
        <v>2.0</v>
      </c>
      <c r="H792" s="72">
        <v>1.0</v>
      </c>
      <c r="I792" s="72">
        <v>2.0</v>
      </c>
      <c r="J792" s="72">
        <v>3.0</v>
      </c>
      <c r="K792" s="72">
        <v>4.0</v>
      </c>
      <c r="L792" s="72">
        <v>4.0</v>
      </c>
      <c r="M792" s="72">
        <v>4.0</v>
      </c>
      <c r="N792" s="72">
        <v>4.0</v>
      </c>
      <c r="O792" s="73"/>
    </row>
    <row r="793" ht="15.75" customHeight="1">
      <c r="C793" s="34">
        <v>2112.0</v>
      </c>
      <c r="D793" s="70" t="s">
        <v>943</v>
      </c>
      <c r="E793" s="71" t="str">
        <f>vlookup(C793,'NOC-List'!B$2:C$502,2,False)</f>
        <v>Chemists</v>
      </c>
      <c r="F793" s="72">
        <v>1.0</v>
      </c>
      <c r="G793" s="72">
        <v>1.0</v>
      </c>
      <c r="H793" s="72">
        <v>1.0</v>
      </c>
      <c r="I793" s="72">
        <v>1.0</v>
      </c>
      <c r="J793" s="72">
        <v>1.0</v>
      </c>
      <c r="K793" s="72">
        <v>1.0</v>
      </c>
      <c r="L793" s="72">
        <v>3.0</v>
      </c>
      <c r="M793" s="72">
        <v>3.0</v>
      </c>
      <c r="N793" s="72">
        <v>3.0</v>
      </c>
      <c r="O793" s="73"/>
    </row>
    <row r="794" ht="15.75" customHeight="1">
      <c r="C794" s="34">
        <v>3012.0</v>
      </c>
      <c r="D794" s="70" t="s">
        <v>944</v>
      </c>
      <c r="E794" s="71" t="str">
        <f>vlookup(C794,'NOC-List'!B$2:C$502,2,False)</f>
        <v>Registered nurses and registered psychiatric nurses</v>
      </c>
      <c r="F794" s="72">
        <v>2.0</v>
      </c>
      <c r="G794" s="72">
        <v>2.0</v>
      </c>
      <c r="H794" s="72">
        <v>3.0</v>
      </c>
      <c r="I794" s="72">
        <v>4.0</v>
      </c>
      <c r="J794" s="72">
        <v>4.0</v>
      </c>
      <c r="K794" s="72">
        <v>4.0</v>
      </c>
      <c r="L794" s="72">
        <v>4.0</v>
      </c>
      <c r="M794" s="72">
        <v>4.0</v>
      </c>
      <c r="N794" s="72">
        <v>4.0</v>
      </c>
      <c r="O794" s="73"/>
    </row>
    <row r="795" ht="15.75" customHeight="1">
      <c r="C795" s="34">
        <v>6561.0</v>
      </c>
      <c r="D795" s="70" t="s">
        <v>945</v>
      </c>
      <c r="E795" s="71" t="str">
        <f>vlookup(C795,'NOC-List'!B$2:C$502,2,False)</f>
        <v>Image, social and other personal consultants</v>
      </c>
      <c r="F795" s="72">
        <v>4.0</v>
      </c>
      <c r="G795" s="72">
        <v>3.0</v>
      </c>
      <c r="H795" s="72">
        <v>4.0</v>
      </c>
      <c r="I795" s="72">
        <v>4.0</v>
      </c>
      <c r="J795" s="72">
        <v>4.0</v>
      </c>
      <c r="K795" s="72">
        <v>4.0</v>
      </c>
      <c r="L795" s="72">
        <v>4.0</v>
      </c>
      <c r="M795" s="72">
        <v>4.0</v>
      </c>
      <c r="N795" s="72">
        <v>4.0</v>
      </c>
      <c r="O795" s="73"/>
    </row>
    <row r="796" ht="15.75" customHeight="1">
      <c r="C796" s="34">
        <v>431.0</v>
      </c>
      <c r="D796" s="70" t="s">
        <v>946</v>
      </c>
      <c r="E796" s="71" t="str">
        <f>vlookup(C796,'NOC-List'!B$2:C$502,2,False)</f>
        <v>Commissioned police officers</v>
      </c>
      <c r="F796" s="72">
        <v>2.0</v>
      </c>
      <c r="G796" s="72">
        <v>2.0</v>
      </c>
      <c r="H796" s="72">
        <v>3.0</v>
      </c>
      <c r="I796" s="72">
        <v>4.0</v>
      </c>
      <c r="J796" s="72">
        <v>4.0</v>
      </c>
      <c r="K796" s="72">
        <v>4.0</v>
      </c>
      <c r="L796" s="72">
        <v>4.0</v>
      </c>
      <c r="M796" s="72">
        <v>4.0</v>
      </c>
      <c r="N796" s="72">
        <v>4.0</v>
      </c>
      <c r="O796" s="73"/>
    </row>
    <row r="797" ht="15.75" customHeight="1">
      <c r="C797" s="81">
        <v>2173.0</v>
      </c>
      <c r="D797" s="70" t="s">
        <v>947</v>
      </c>
      <c r="E797" s="71" t="str">
        <f>vlookup(C797,'NOC-List'!B$2:C$502,2,False)</f>
        <v>Software engineers and designers</v>
      </c>
      <c r="F797" s="72">
        <v>1.0</v>
      </c>
      <c r="G797" s="72">
        <v>2.0</v>
      </c>
      <c r="H797" s="72">
        <v>1.0</v>
      </c>
      <c r="I797" s="72">
        <v>3.0</v>
      </c>
      <c r="J797" s="72">
        <v>3.0</v>
      </c>
      <c r="K797" s="72">
        <v>3.0</v>
      </c>
      <c r="L797" s="72">
        <v>4.0</v>
      </c>
      <c r="M797" s="72">
        <v>4.0</v>
      </c>
      <c r="N797" s="72">
        <v>4.0</v>
      </c>
      <c r="O797" s="73"/>
    </row>
    <row r="798" ht="15.75" customHeight="1">
      <c r="C798" s="34">
        <v>7611.0</v>
      </c>
      <c r="D798" s="70" t="s">
        <v>948</v>
      </c>
      <c r="E798" s="71" t="str">
        <f>vlookup(C798,'NOC-List'!B$2:C$502,2,False)</f>
        <v>Construction trades helpers and labourers</v>
      </c>
      <c r="F798" s="72">
        <v>4.0</v>
      </c>
      <c r="G798" s="72">
        <v>4.0</v>
      </c>
      <c r="H798" s="72">
        <v>4.0</v>
      </c>
      <c r="I798" s="72">
        <v>4.0</v>
      </c>
      <c r="J798" s="72">
        <v>4.0</v>
      </c>
      <c r="K798" s="72">
        <v>5.0</v>
      </c>
      <c r="L798" s="72">
        <v>4.0</v>
      </c>
      <c r="M798" s="72">
        <v>4.0</v>
      </c>
      <c r="N798" s="72">
        <v>4.0</v>
      </c>
      <c r="O798" s="73"/>
    </row>
    <row r="799" ht="15.75" customHeight="1">
      <c r="C799" s="34">
        <v>2172.0</v>
      </c>
      <c r="D799" s="70" t="s">
        <v>949</v>
      </c>
      <c r="E799" s="71" t="str">
        <f>vlookup(C799,'NOC-List'!B$2:C$502,2,False)</f>
        <v>Database analysts and data administrators</v>
      </c>
      <c r="F799" s="72">
        <v>2.0</v>
      </c>
      <c r="G799" s="72">
        <v>2.0</v>
      </c>
      <c r="H799" s="72">
        <v>2.0</v>
      </c>
      <c r="I799" s="72">
        <v>2.0</v>
      </c>
      <c r="J799" s="72">
        <v>2.0</v>
      </c>
      <c r="K799" s="72">
        <v>1.0</v>
      </c>
      <c r="L799" s="72">
        <v>4.0</v>
      </c>
      <c r="M799" s="72">
        <v>4.0</v>
      </c>
      <c r="N799" s="72">
        <v>4.0</v>
      </c>
      <c r="O799" s="73"/>
    </row>
    <row r="800" ht="15.75" customHeight="1">
      <c r="C800" s="34">
        <v>6623.0</v>
      </c>
      <c r="D800" s="70" t="s">
        <v>950</v>
      </c>
      <c r="E800" s="71" t="str">
        <f>vlookup(C800,'NOC-List'!B$2:C$502,2,False)</f>
        <v>Other sales related occupations</v>
      </c>
      <c r="F800" s="72">
        <v>4.0</v>
      </c>
      <c r="G800" s="72">
        <v>3.0</v>
      </c>
      <c r="H800" s="72">
        <v>4.0</v>
      </c>
      <c r="I800" s="72">
        <v>4.0</v>
      </c>
      <c r="J800" s="72">
        <v>4.0</v>
      </c>
      <c r="K800" s="72">
        <v>4.0</v>
      </c>
      <c r="L800" s="72">
        <v>4.0</v>
      </c>
      <c r="M800" s="72">
        <v>4.0</v>
      </c>
      <c r="N800" s="72">
        <v>4.0</v>
      </c>
      <c r="O800" s="73"/>
    </row>
    <row r="801" ht="15.75" customHeight="1">
      <c r="C801" s="34">
        <v>6623.0</v>
      </c>
      <c r="D801" s="70" t="s">
        <v>951</v>
      </c>
      <c r="E801" s="71" t="str">
        <f>vlookup(C801,'NOC-List'!B$2:C$502,2,False)</f>
        <v>Other sales related occupations</v>
      </c>
      <c r="F801" s="72">
        <v>4.0</v>
      </c>
      <c r="G801" s="72">
        <v>3.0</v>
      </c>
      <c r="H801" s="72">
        <v>4.0</v>
      </c>
      <c r="I801" s="72">
        <v>4.0</v>
      </c>
      <c r="J801" s="72">
        <v>4.0</v>
      </c>
      <c r="K801" s="72">
        <v>4.0</v>
      </c>
      <c r="L801" s="72">
        <v>4.0</v>
      </c>
      <c r="M801" s="72">
        <v>4.0</v>
      </c>
      <c r="N801" s="72">
        <v>4.0</v>
      </c>
      <c r="O801" s="73"/>
    </row>
    <row r="802" ht="15.75" customHeight="1">
      <c r="C802" s="34">
        <v>6711.0</v>
      </c>
      <c r="D802" s="70" t="s">
        <v>952</v>
      </c>
      <c r="E802" s="71" t="str">
        <f>vlookup(C802,'NOC-List'!B$2:C$502,2,False)</f>
        <v>Food counter attendants, kitchen helpers and related support occupations</v>
      </c>
      <c r="F802" s="72">
        <v>4.0</v>
      </c>
      <c r="G802" s="72">
        <v>5.0</v>
      </c>
      <c r="H802" s="72">
        <v>5.0</v>
      </c>
      <c r="I802" s="72">
        <v>4.0</v>
      </c>
      <c r="J802" s="72">
        <v>4.0</v>
      </c>
      <c r="K802" s="72">
        <v>5.0</v>
      </c>
      <c r="L802" s="72">
        <v>4.0</v>
      </c>
      <c r="M802" s="72">
        <v>4.0</v>
      </c>
      <c r="N802" s="72">
        <v>4.0</v>
      </c>
      <c r="O802" s="73"/>
    </row>
    <row r="803" ht="15.75" customHeight="1">
      <c r="C803" s="34">
        <v>6623.0</v>
      </c>
      <c r="D803" s="70" t="s">
        <v>953</v>
      </c>
      <c r="E803" s="71" t="str">
        <f>vlookup(C803,'NOC-List'!B$2:C$502,2,False)</f>
        <v>Other sales related occupations</v>
      </c>
      <c r="F803" s="72">
        <v>4.0</v>
      </c>
      <c r="G803" s="72">
        <v>3.0</v>
      </c>
      <c r="H803" s="72">
        <v>4.0</v>
      </c>
      <c r="I803" s="72">
        <v>4.0</v>
      </c>
      <c r="J803" s="72">
        <v>4.0</v>
      </c>
      <c r="K803" s="72">
        <v>4.0</v>
      </c>
      <c r="L803" s="72">
        <v>4.0</v>
      </c>
      <c r="M803" s="72">
        <v>4.0</v>
      </c>
      <c r="N803" s="72">
        <v>4.0</v>
      </c>
      <c r="O803" s="73"/>
    </row>
    <row r="804" ht="15.75" customHeight="1">
      <c r="C804" s="34">
        <v>6741.0</v>
      </c>
      <c r="D804" s="70" t="s">
        <v>954</v>
      </c>
      <c r="E804" s="71" t="str">
        <f>vlookup(C804,'NOC-List'!B$2:C$502,2,False)</f>
        <v>Dry cleaning, laundry and related occupations</v>
      </c>
      <c r="F804" s="72">
        <v>4.0</v>
      </c>
      <c r="G804" s="72">
        <v>4.0</v>
      </c>
      <c r="H804" s="72">
        <v>5.0</v>
      </c>
      <c r="I804" s="72">
        <v>4.0</v>
      </c>
      <c r="J804" s="72">
        <v>4.0</v>
      </c>
      <c r="K804" s="72">
        <v>4.0</v>
      </c>
      <c r="L804" s="72">
        <v>4.0</v>
      </c>
      <c r="M804" s="72">
        <v>4.0</v>
      </c>
      <c r="N804" s="72">
        <v>4.0</v>
      </c>
      <c r="O804" s="73"/>
    </row>
    <row r="805" ht="15.75" customHeight="1">
      <c r="C805" s="34">
        <v>6741.0</v>
      </c>
      <c r="D805" s="70" t="s">
        <v>955</v>
      </c>
      <c r="E805" s="71" t="str">
        <f>vlookup(C805,'NOC-List'!B$2:C$502,2,False)</f>
        <v>Dry cleaning, laundry and related occupations</v>
      </c>
      <c r="F805" s="72">
        <v>4.0</v>
      </c>
      <c r="G805" s="72">
        <v>4.0</v>
      </c>
      <c r="H805" s="72">
        <v>5.0</v>
      </c>
      <c r="I805" s="72">
        <v>4.0</v>
      </c>
      <c r="J805" s="72">
        <v>4.0</v>
      </c>
      <c r="K805" s="72">
        <v>5.0</v>
      </c>
      <c r="L805" s="72">
        <v>4.0</v>
      </c>
      <c r="M805" s="72">
        <v>4.0</v>
      </c>
      <c r="N805" s="72">
        <v>3.0</v>
      </c>
      <c r="O805" s="73"/>
    </row>
    <row r="806" ht="15.75" customHeight="1">
      <c r="C806" s="34">
        <v>124.0</v>
      </c>
      <c r="D806" s="70" t="s">
        <v>956</v>
      </c>
      <c r="E806" s="71" t="str">
        <f>vlookup(C806,'NOC-List'!B$2:C$502,2,False)</f>
        <v>Advertising, marketing and public relations managers</v>
      </c>
      <c r="F806" s="72">
        <v>2.0</v>
      </c>
      <c r="G806" s="72">
        <v>2.0</v>
      </c>
      <c r="H806" s="72">
        <v>2.0</v>
      </c>
      <c r="I806" s="72">
        <v>4.0</v>
      </c>
      <c r="J806" s="72">
        <v>4.0</v>
      </c>
      <c r="K806" s="72">
        <v>3.0</v>
      </c>
      <c r="L806" s="72">
        <v>4.0</v>
      </c>
      <c r="M806" s="72">
        <v>4.0</v>
      </c>
      <c r="N806" s="72">
        <v>4.0</v>
      </c>
      <c r="O806" s="73"/>
    </row>
    <row r="807" ht="15.75" customHeight="1">
      <c r="C807" s="34">
        <v>4033.0</v>
      </c>
      <c r="D807" s="70" t="s">
        <v>957</v>
      </c>
      <c r="E807" s="71" t="str">
        <f>vlookup(C807,'NOC-List'!B$2:C$502,2,False)</f>
        <v>Educational counsellors</v>
      </c>
      <c r="F807" s="72">
        <v>2.0</v>
      </c>
      <c r="G807" s="72">
        <v>2.0</v>
      </c>
      <c r="H807" s="72">
        <v>3.0</v>
      </c>
      <c r="I807" s="72">
        <v>4.0</v>
      </c>
      <c r="J807" s="72">
        <v>4.0</v>
      </c>
      <c r="K807" s="72">
        <v>4.0</v>
      </c>
      <c r="L807" s="72">
        <v>4.0</v>
      </c>
      <c r="M807" s="72">
        <v>4.0</v>
      </c>
      <c r="N807" s="72">
        <v>4.0</v>
      </c>
      <c r="O807" s="73"/>
    </row>
    <row r="808" ht="15.75" customHeight="1">
      <c r="C808" s="34">
        <v>4156.0</v>
      </c>
      <c r="D808" s="70" t="s">
        <v>958</v>
      </c>
      <c r="E808" s="71" t="str">
        <f>vlookup(C808,'NOC-List'!B$2:C$502,2,False)</f>
        <v>Employment counsellors</v>
      </c>
      <c r="F808" s="72">
        <v>3.0</v>
      </c>
      <c r="G808" s="72">
        <v>2.0</v>
      </c>
      <c r="H808" s="72">
        <v>3.0</v>
      </c>
      <c r="I808" s="72">
        <v>4.0</v>
      </c>
      <c r="J808" s="72">
        <v>4.0</v>
      </c>
      <c r="K808" s="72">
        <v>3.0</v>
      </c>
      <c r="L808" s="72">
        <v>4.0</v>
      </c>
      <c r="M808" s="72">
        <v>4.0</v>
      </c>
      <c r="N808" s="72">
        <v>4.0</v>
      </c>
      <c r="O808" s="73"/>
    </row>
    <row r="809" ht="15.75" customHeight="1">
      <c r="C809" s="34">
        <v>1228.0</v>
      </c>
      <c r="D809" s="70" t="s">
        <v>959</v>
      </c>
      <c r="E809" s="71" t="str">
        <f>vlookup(C809,'NOC-List'!B$2:C$502,2,False)</f>
        <v>Employment insurance, immigration, border services and revenue officers</v>
      </c>
      <c r="F809" s="72">
        <v>2.0</v>
      </c>
      <c r="G809" s="72">
        <v>2.0</v>
      </c>
      <c r="H809" s="72">
        <v>3.0</v>
      </c>
      <c r="I809" s="72">
        <v>4.0</v>
      </c>
      <c r="J809" s="72">
        <v>4.0</v>
      </c>
      <c r="K809" s="72">
        <v>2.0</v>
      </c>
      <c r="L809" s="72">
        <v>4.0</v>
      </c>
      <c r="M809" s="72">
        <v>4.0</v>
      </c>
      <c r="N809" s="72">
        <v>4.0</v>
      </c>
      <c r="O809" s="73"/>
    </row>
    <row r="810" ht="15.75" customHeight="1">
      <c r="C810" s="34">
        <v>2148.0</v>
      </c>
      <c r="D810" s="70" t="s">
        <v>960</v>
      </c>
      <c r="E810" s="71" t="str">
        <f>vlookup(C810,'NOC-List'!B$2:C$502,2,False)</f>
        <v>Other professional engineers, n.e.c.</v>
      </c>
      <c r="F810" s="72">
        <v>1.0</v>
      </c>
      <c r="G810" s="72">
        <v>1.0</v>
      </c>
      <c r="H810" s="72">
        <v>1.0</v>
      </c>
      <c r="I810" s="72">
        <v>1.0</v>
      </c>
      <c r="J810" s="72">
        <v>3.0</v>
      </c>
      <c r="K810" s="72">
        <v>4.0</v>
      </c>
      <c r="L810" s="72">
        <v>4.0</v>
      </c>
      <c r="M810" s="72">
        <v>4.0</v>
      </c>
      <c r="N810" s="72">
        <v>4.0</v>
      </c>
      <c r="O810" s="73"/>
    </row>
    <row r="811" ht="15.75" customHeight="1">
      <c r="C811" s="34">
        <v>4153.0</v>
      </c>
      <c r="D811" s="70" t="s">
        <v>961</v>
      </c>
      <c r="E811" s="71" t="str">
        <f>vlookup(C811,'NOC-List'!B$2:C$502,2,False)</f>
        <v>Family, marriage and other related counsellors</v>
      </c>
      <c r="F811" s="72">
        <v>2.0</v>
      </c>
      <c r="G811" s="72">
        <v>2.0</v>
      </c>
      <c r="H811" s="72">
        <v>3.0</v>
      </c>
      <c r="I811" s="72">
        <v>4.0</v>
      </c>
      <c r="J811" s="72">
        <v>4.0</v>
      </c>
      <c r="K811" s="72">
        <v>4.0</v>
      </c>
      <c r="L811" s="72">
        <v>4.0</v>
      </c>
      <c r="M811" s="72">
        <v>4.0</v>
      </c>
      <c r="N811" s="72">
        <v>4.0</v>
      </c>
      <c r="O811" s="73"/>
    </row>
    <row r="812" ht="15.75" customHeight="1">
      <c r="C812" s="34">
        <v>1114.0</v>
      </c>
      <c r="D812" s="70" t="s">
        <v>962</v>
      </c>
      <c r="E812" s="71" t="str">
        <f>vlookup(C812,'NOC-List'!B$2:C$502,2,False)</f>
        <v>Other financial officers</v>
      </c>
      <c r="F812" s="72">
        <v>2.0</v>
      </c>
      <c r="G812" s="72">
        <v>2.0</v>
      </c>
      <c r="H812" s="72">
        <v>2.0</v>
      </c>
      <c r="I812" s="72">
        <v>4.0</v>
      </c>
      <c r="J812" s="72">
        <v>4.0</v>
      </c>
      <c r="K812" s="72">
        <v>3.0</v>
      </c>
      <c r="L812" s="72">
        <v>4.0</v>
      </c>
      <c r="M812" s="72">
        <v>4.0</v>
      </c>
      <c r="N812" s="72">
        <v>4.0</v>
      </c>
      <c r="O812" s="73"/>
    </row>
    <row r="813" ht="15.75" customHeight="1">
      <c r="C813" s="81">
        <v>9463.0</v>
      </c>
      <c r="D813" s="70" t="s">
        <v>963</v>
      </c>
      <c r="E813" s="71" t="str">
        <f>vlookup(C813,'NOC-List'!B$2:C$502,2,False)</f>
        <v>Fish and seafood plant workers</v>
      </c>
      <c r="F813" s="72">
        <v>4.0</v>
      </c>
      <c r="G813" s="72">
        <v>4.0</v>
      </c>
      <c r="H813" s="72">
        <v>5.0</v>
      </c>
      <c r="I813" s="72">
        <v>4.0</v>
      </c>
      <c r="J813" s="72">
        <v>4.0</v>
      </c>
      <c r="K813" s="72">
        <v>5.0</v>
      </c>
      <c r="L813" s="72">
        <v>4.0</v>
      </c>
      <c r="M813" s="72">
        <v>4.0</v>
      </c>
      <c r="N813" s="72">
        <v>3.0</v>
      </c>
      <c r="O813" s="73"/>
    </row>
    <row r="814" ht="15.75" customHeight="1">
      <c r="C814" s="34">
        <v>2272.0</v>
      </c>
      <c r="D814" s="70" t="s">
        <v>964</v>
      </c>
      <c r="E814" s="71" t="str">
        <f>vlookup(C814,'NOC-List'!B$2:C$502,2,False)</f>
        <v>Air traffic controllers and related occupations</v>
      </c>
      <c r="F814" s="72">
        <v>3.0</v>
      </c>
      <c r="G814" s="72">
        <v>3.0</v>
      </c>
      <c r="H814" s="72">
        <v>3.0</v>
      </c>
      <c r="I814" s="72">
        <v>4.0</v>
      </c>
      <c r="J814" s="72">
        <v>4.0</v>
      </c>
      <c r="K814" s="72">
        <v>2.0</v>
      </c>
      <c r="L814" s="72">
        <v>4.0</v>
      </c>
      <c r="M814" s="72">
        <v>4.0</v>
      </c>
      <c r="N814" s="72">
        <v>4.0</v>
      </c>
      <c r="O814" s="73"/>
    </row>
    <row r="815" ht="15.75" customHeight="1">
      <c r="C815" s="34">
        <v>6346.0</v>
      </c>
      <c r="D815" s="70" t="s">
        <v>965</v>
      </c>
      <c r="E815" s="71" t="str">
        <f>vlookup(C815,'NOC-List'!B$2:C$502,2,False)</f>
        <v>Funeral directors and embalmers</v>
      </c>
      <c r="F815" s="72">
        <v>3.0</v>
      </c>
      <c r="G815" s="72">
        <v>2.0</v>
      </c>
      <c r="H815" s="72">
        <v>3.0</v>
      </c>
      <c r="I815" s="72">
        <v>4.0</v>
      </c>
      <c r="J815" s="72">
        <v>4.0</v>
      </c>
      <c r="K815" s="72">
        <v>3.0</v>
      </c>
      <c r="L815" s="72">
        <v>4.0</v>
      </c>
      <c r="M815" s="72">
        <v>4.0</v>
      </c>
      <c r="N815" s="72">
        <v>4.0</v>
      </c>
      <c r="O815" s="73"/>
    </row>
    <row r="816" ht="15.75" customHeight="1">
      <c r="C816" s="34">
        <v>6742.0</v>
      </c>
      <c r="D816" s="70" t="s">
        <v>966</v>
      </c>
      <c r="E816" s="71" t="str">
        <f>vlookup(C816,'NOC-List'!B$2:C$502,2,False)</f>
        <v>Other service support occupations, n.e.c.</v>
      </c>
      <c r="F816" s="72">
        <v>4.0</v>
      </c>
      <c r="G816" s="72">
        <v>4.0</v>
      </c>
      <c r="H816" s="72">
        <v>5.0</v>
      </c>
      <c r="I816" s="72">
        <v>4.0</v>
      </c>
      <c r="J816" s="72">
        <v>4.0</v>
      </c>
      <c r="K816" s="72">
        <v>4.0</v>
      </c>
      <c r="L816" s="72">
        <v>4.0</v>
      </c>
      <c r="M816" s="72">
        <v>4.0</v>
      </c>
      <c r="N816" s="72">
        <v>4.0</v>
      </c>
      <c r="O816" s="73"/>
    </row>
    <row r="817" ht="15.75" customHeight="1">
      <c r="C817" s="34">
        <v>6313.0</v>
      </c>
      <c r="D817" s="70" t="s">
        <v>967</v>
      </c>
      <c r="E817" s="71" t="str">
        <f>vlookup(C817,'NOC-List'!B$2:C$502,2,False)</f>
        <v>Accommodation, travel, tourism and related services supervisors</v>
      </c>
      <c r="F817" s="72">
        <v>3.0</v>
      </c>
      <c r="G817" s="72">
        <v>3.0</v>
      </c>
      <c r="H817" s="72">
        <v>3.0</v>
      </c>
      <c r="I817" s="72">
        <v>4.0</v>
      </c>
      <c r="J817" s="72">
        <v>4.0</v>
      </c>
      <c r="K817" s="72">
        <v>4.0</v>
      </c>
      <c r="L817" s="72">
        <v>4.0</v>
      </c>
      <c r="M817" s="72">
        <v>4.0</v>
      </c>
      <c r="N817" s="72">
        <v>4.0</v>
      </c>
      <c r="O817" s="73"/>
    </row>
    <row r="818" ht="15.75" customHeight="1">
      <c r="C818" s="81">
        <v>1228.0</v>
      </c>
      <c r="D818" s="70" t="s">
        <v>968</v>
      </c>
      <c r="E818" s="71" t="str">
        <f>vlookup(C818,'NOC-List'!B$2:C$502,2,False)</f>
        <v>Employment insurance, immigration, border services and revenue officers</v>
      </c>
      <c r="F818" s="72">
        <v>2.0</v>
      </c>
      <c r="G818" s="72">
        <v>2.0</v>
      </c>
      <c r="H818" s="72">
        <v>3.0</v>
      </c>
      <c r="I818" s="72">
        <v>4.0</v>
      </c>
      <c r="J818" s="72">
        <v>4.0</v>
      </c>
      <c r="K818" s="72">
        <v>2.0</v>
      </c>
      <c r="L818" s="72">
        <v>4.0</v>
      </c>
      <c r="M818" s="72">
        <v>4.0</v>
      </c>
      <c r="N818" s="72">
        <v>4.0</v>
      </c>
      <c r="O818" s="73"/>
    </row>
    <row r="819" ht="15.75" customHeight="1">
      <c r="C819" s="34">
        <v>4211.0</v>
      </c>
      <c r="D819" s="70" t="s">
        <v>969</v>
      </c>
      <c r="E819" s="71" t="str">
        <f>vlookup(C819,'NOC-List'!B$2:C$502,2,False)</f>
        <v>Paralegal and related occupations</v>
      </c>
      <c r="F819" s="72">
        <v>3.0</v>
      </c>
      <c r="G819" s="72">
        <v>2.0</v>
      </c>
      <c r="H819" s="72">
        <v>3.0</v>
      </c>
      <c r="I819" s="72">
        <v>4.0</v>
      </c>
      <c r="J819" s="72">
        <v>4.0</v>
      </c>
      <c r="K819" s="72">
        <v>3.0</v>
      </c>
      <c r="L819" s="72">
        <v>4.0</v>
      </c>
      <c r="M819" s="72">
        <v>4.0</v>
      </c>
      <c r="N819" s="72">
        <v>4.0</v>
      </c>
      <c r="O819" s="73"/>
    </row>
    <row r="820" ht="15.75" customHeight="1">
      <c r="C820" s="81">
        <v>121.0</v>
      </c>
      <c r="D820" s="70" t="s">
        <v>970</v>
      </c>
      <c r="E820" s="71" t="str">
        <f>vlookup(C820,'NOC-List'!B$2:C$502,2,False)</f>
        <v>Insurance, real estate and financial brokerage managers</v>
      </c>
      <c r="F820" s="72">
        <v>2.0</v>
      </c>
      <c r="G820" s="72">
        <v>2.0</v>
      </c>
      <c r="H820" s="72">
        <v>2.0</v>
      </c>
      <c r="I820" s="72">
        <v>4.0</v>
      </c>
      <c r="J820" s="72">
        <v>4.0</v>
      </c>
      <c r="K820" s="72">
        <v>3.0</v>
      </c>
      <c r="L820" s="72">
        <v>4.0</v>
      </c>
      <c r="M820" s="72">
        <v>4.0</v>
      </c>
      <c r="N820" s="72">
        <v>4.0</v>
      </c>
      <c r="O820" s="73"/>
    </row>
    <row r="821" ht="15.75" customHeight="1">
      <c r="C821" s="34">
        <v>1313.0</v>
      </c>
      <c r="D821" s="70" t="s">
        <v>971</v>
      </c>
      <c r="E821" s="71" t="str">
        <f>vlookup(C821,'NOC-List'!B$2:C$502,2,False)</f>
        <v>Insurance underwriters</v>
      </c>
      <c r="F821" s="72">
        <v>2.0</v>
      </c>
      <c r="G821" s="72">
        <v>2.0</v>
      </c>
      <c r="H821" s="72">
        <v>2.0</v>
      </c>
      <c r="I821" s="72">
        <v>4.0</v>
      </c>
      <c r="J821" s="72">
        <v>3.0</v>
      </c>
      <c r="K821" s="72">
        <v>2.0</v>
      </c>
      <c r="L821" s="72">
        <v>4.0</v>
      </c>
      <c r="M821" s="72">
        <v>4.0</v>
      </c>
      <c r="N821" s="72">
        <v>4.0</v>
      </c>
      <c r="O821" s="73"/>
    </row>
    <row r="822" ht="15.75" customHeight="1">
      <c r="C822" s="34">
        <v>5123.0</v>
      </c>
      <c r="D822" s="70" t="s">
        <v>972</v>
      </c>
      <c r="E822" s="71" t="str">
        <f>vlookup(C822,'NOC-List'!B$2:C$502,2,False)</f>
        <v>Journalists</v>
      </c>
      <c r="F822" s="72">
        <v>2.0</v>
      </c>
      <c r="G822" s="72">
        <v>1.0</v>
      </c>
      <c r="H822" s="72">
        <v>3.0</v>
      </c>
      <c r="I822" s="72">
        <v>4.0</v>
      </c>
      <c r="J822" s="72">
        <v>4.0</v>
      </c>
      <c r="K822" s="72">
        <v>3.0</v>
      </c>
      <c r="L822" s="72">
        <v>4.0</v>
      </c>
      <c r="M822" s="72">
        <v>4.0</v>
      </c>
      <c r="N822" s="72">
        <v>4.0</v>
      </c>
      <c r="O822" s="73"/>
    </row>
    <row r="823" ht="15.75" customHeight="1">
      <c r="C823" s="34">
        <v>6711.0</v>
      </c>
      <c r="D823" s="70" t="s">
        <v>973</v>
      </c>
      <c r="E823" s="71" t="str">
        <f>vlookup(C823,'NOC-List'!B$2:C$502,2,False)</f>
        <v>Food counter attendants, kitchen helpers and related support occupations</v>
      </c>
      <c r="F823" s="72">
        <v>4.0</v>
      </c>
      <c r="G823" s="72">
        <v>4.0</v>
      </c>
      <c r="H823" s="72">
        <v>5.0</v>
      </c>
      <c r="I823" s="72">
        <v>4.0</v>
      </c>
      <c r="J823" s="72">
        <v>4.0</v>
      </c>
      <c r="K823" s="72">
        <v>5.0</v>
      </c>
      <c r="L823" s="72">
        <v>4.0</v>
      </c>
      <c r="M823" s="72">
        <v>4.0</v>
      </c>
      <c r="N823" s="72">
        <v>3.0</v>
      </c>
      <c r="O823" s="73"/>
    </row>
    <row r="824" ht="15.75" customHeight="1">
      <c r="C824" s="34">
        <v>9615.0</v>
      </c>
      <c r="D824" s="70" t="s">
        <v>974</v>
      </c>
      <c r="E824" s="71" t="str">
        <f>vlookup(C824,'NOC-List'!B$2:C$502,2,False)</f>
        <v>Labourers in rubber and plastic products manufacturing</v>
      </c>
      <c r="F824" s="72">
        <v>4.0</v>
      </c>
      <c r="G824" s="72">
        <v>5.0</v>
      </c>
      <c r="H824" s="72">
        <v>5.0</v>
      </c>
      <c r="I824" s="72">
        <v>4.0</v>
      </c>
      <c r="J824" s="72">
        <v>4.0</v>
      </c>
      <c r="K824" s="72">
        <v>5.0</v>
      </c>
      <c r="L824" s="72">
        <v>4.0</v>
      </c>
      <c r="M824" s="72">
        <v>4.0</v>
      </c>
      <c r="N824" s="72">
        <v>4.0</v>
      </c>
      <c r="O824" s="73"/>
    </row>
    <row r="825" ht="15.75" customHeight="1">
      <c r="C825" s="34">
        <v>9614.0</v>
      </c>
      <c r="D825" s="70" t="s">
        <v>975</v>
      </c>
      <c r="E825" s="71" t="str">
        <f>vlookup(C825,'NOC-List'!B$2:C$502,2,False)</f>
        <v>Labourers in wood, pulp and paper processing</v>
      </c>
      <c r="F825" s="72">
        <v>4.0</v>
      </c>
      <c r="G825" s="72">
        <v>4.0</v>
      </c>
      <c r="H825" s="72">
        <v>5.0</v>
      </c>
      <c r="I825" s="72">
        <v>4.0</v>
      </c>
      <c r="J825" s="72">
        <v>4.0</v>
      </c>
      <c r="K825" s="72">
        <v>5.0</v>
      </c>
      <c r="L825" s="72">
        <v>4.0</v>
      </c>
      <c r="M825" s="72">
        <v>4.0</v>
      </c>
      <c r="N825" s="72">
        <v>3.0</v>
      </c>
      <c r="O825" s="73"/>
    </row>
    <row r="826" ht="15.75" customHeight="1">
      <c r="C826" s="34">
        <v>6731.0</v>
      </c>
      <c r="D826" s="70" t="s">
        <v>976</v>
      </c>
      <c r="E826" s="71" t="str">
        <f>vlookup(C826,'NOC-List'!B$2:C$502,2,False)</f>
        <v>Light duty cleaners</v>
      </c>
      <c r="F826" s="72">
        <v>4.0</v>
      </c>
      <c r="G826" s="72">
        <v>4.0</v>
      </c>
      <c r="H826" s="72">
        <v>5.0</v>
      </c>
      <c r="I826" s="72">
        <v>4.0</v>
      </c>
      <c r="J826" s="72">
        <v>4.0</v>
      </c>
      <c r="K826" s="72">
        <v>5.0</v>
      </c>
      <c r="L826" s="72">
        <v>4.0</v>
      </c>
      <c r="M826" s="72">
        <v>4.0</v>
      </c>
      <c r="N826" s="72">
        <v>3.0</v>
      </c>
      <c r="O826" s="73"/>
    </row>
    <row r="827" ht="15.75" customHeight="1">
      <c r="C827" s="81">
        <v>6235.0</v>
      </c>
      <c r="D827" s="70" t="s">
        <v>977</v>
      </c>
      <c r="E827" s="71" t="str">
        <f>vlookup(C827,'NOC-List'!B$2:C$502,2,False)</f>
        <v>Financial sales representatives</v>
      </c>
      <c r="F827" s="72">
        <v>2.0</v>
      </c>
      <c r="G827" s="72">
        <v>3.0</v>
      </c>
      <c r="H827" s="72">
        <v>2.0</v>
      </c>
      <c r="I827" s="72">
        <v>4.0</v>
      </c>
      <c r="J827" s="72">
        <v>4.0</v>
      </c>
      <c r="K827" s="72">
        <v>2.0</v>
      </c>
      <c r="L827" s="72">
        <v>4.0</v>
      </c>
      <c r="M827" s="72">
        <v>4.0</v>
      </c>
      <c r="N827" s="72">
        <v>4.0</v>
      </c>
      <c r="O827" s="73"/>
    </row>
    <row r="828" ht="15.75" customHeight="1">
      <c r="C828" s="34">
        <v>8616.0</v>
      </c>
      <c r="D828" s="70" t="s">
        <v>978</v>
      </c>
      <c r="E828" s="71" t="str">
        <f>vlookup(C828,'NOC-List'!B$2:C$502,2,False)</f>
        <v>Logging and forestry labourers</v>
      </c>
      <c r="F828" s="72">
        <v>4.0</v>
      </c>
      <c r="G828" s="72">
        <v>4.0</v>
      </c>
      <c r="H828" s="72">
        <v>5.0</v>
      </c>
      <c r="I828" s="72">
        <v>4.0</v>
      </c>
      <c r="J828" s="72">
        <v>4.0</v>
      </c>
      <c r="K828" s="72">
        <v>5.0</v>
      </c>
      <c r="L828" s="72">
        <v>4.0</v>
      </c>
      <c r="M828" s="72">
        <v>4.0</v>
      </c>
      <c r="N828" s="72">
        <v>3.0</v>
      </c>
      <c r="O828" s="73"/>
    </row>
    <row r="829" ht="15.75" customHeight="1">
      <c r="C829" s="81">
        <v>1122.0</v>
      </c>
      <c r="D829" s="70" t="s">
        <v>979</v>
      </c>
      <c r="E829" s="71" t="str">
        <f>vlookup(C829,'NOC-List'!B$2:C$502,2,False)</f>
        <v>Professional occupations in business management consulting</v>
      </c>
      <c r="F829" s="72">
        <v>2.0</v>
      </c>
      <c r="G829" s="72">
        <v>2.0</v>
      </c>
      <c r="H829" s="72">
        <v>3.0</v>
      </c>
      <c r="I829" s="72">
        <v>4.0</v>
      </c>
      <c r="J829" s="72">
        <v>4.0</v>
      </c>
      <c r="K829" s="72">
        <v>2.0</v>
      </c>
      <c r="L829" s="72">
        <v>4.0</v>
      </c>
      <c r="M829" s="72">
        <v>4.0</v>
      </c>
      <c r="N829" s="72">
        <v>4.0</v>
      </c>
      <c r="O829" s="73"/>
    </row>
    <row r="830" ht="15.75" customHeight="1">
      <c r="C830" s="81">
        <v>512.0</v>
      </c>
      <c r="D830" s="70" t="s">
        <v>980</v>
      </c>
      <c r="E830" s="71" t="str">
        <f>vlookup(C830,'NOC-List'!B$2:C$502,2,False)</f>
        <v>Managers - publishing, motion pictures, broadcasting and performing arts</v>
      </c>
      <c r="F830" s="72">
        <v>2.0</v>
      </c>
      <c r="G830" s="72">
        <v>1.0</v>
      </c>
      <c r="H830" s="72">
        <v>3.0</v>
      </c>
      <c r="I830" s="72">
        <v>4.0</v>
      </c>
      <c r="J830" s="72">
        <v>4.0</v>
      </c>
      <c r="K830" s="72">
        <v>3.0</v>
      </c>
      <c r="L830" s="72">
        <v>4.0</v>
      </c>
      <c r="M830" s="72">
        <v>4.0</v>
      </c>
      <c r="N830" s="72">
        <v>4.0</v>
      </c>
      <c r="O830" s="73"/>
    </row>
    <row r="831" ht="15.75" customHeight="1">
      <c r="C831" s="34">
        <v>2148.0</v>
      </c>
      <c r="D831" s="70" t="s">
        <v>981</v>
      </c>
      <c r="E831" s="71" t="str">
        <f>vlookup(C831,'NOC-List'!B$2:C$502,2,False)</f>
        <v>Other professional engineers, n.e.c.</v>
      </c>
      <c r="F831" s="72">
        <v>1.0</v>
      </c>
      <c r="G831" s="72">
        <v>2.0</v>
      </c>
      <c r="H831" s="72">
        <v>1.0</v>
      </c>
      <c r="I831" s="72">
        <v>1.0</v>
      </c>
      <c r="J831" s="72">
        <v>2.0</v>
      </c>
      <c r="K831" s="72">
        <v>4.0</v>
      </c>
      <c r="L831" s="72">
        <v>4.0</v>
      </c>
      <c r="M831" s="72">
        <v>4.0</v>
      </c>
      <c r="N831" s="72">
        <v>4.0</v>
      </c>
      <c r="O831" s="73"/>
    </row>
    <row r="832" ht="15.75" customHeight="1">
      <c r="C832" s="34">
        <v>124.0</v>
      </c>
      <c r="D832" s="70" t="s">
        <v>982</v>
      </c>
      <c r="E832" s="71" t="str">
        <f>vlookup(C832,'NOC-List'!B$2:C$502,2,False)</f>
        <v>Advertising, marketing and public relations managers</v>
      </c>
      <c r="F832" s="72">
        <v>2.0</v>
      </c>
      <c r="G832" s="72">
        <v>2.0</v>
      </c>
      <c r="H832" s="72">
        <v>2.0</v>
      </c>
      <c r="I832" s="72">
        <v>4.0</v>
      </c>
      <c r="J832" s="72">
        <v>4.0</v>
      </c>
      <c r="K832" s="72">
        <v>3.0</v>
      </c>
      <c r="L832" s="72">
        <v>4.0</v>
      </c>
      <c r="M832" s="72">
        <v>4.0</v>
      </c>
      <c r="N832" s="72">
        <v>4.0</v>
      </c>
      <c r="O832" s="73"/>
    </row>
    <row r="833" ht="15.75" customHeight="1">
      <c r="C833" s="34">
        <v>2132.0</v>
      </c>
      <c r="D833" s="70" t="s">
        <v>983</v>
      </c>
      <c r="E833" s="71" t="str">
        <f>vlookup(C833,'NOC-List'!B$2:C$502,2,False)</f>
        <v>Mechanical engineers</v>
      </c>
      <c r="F833" s="72">
        <v>1.0</v>
      </c>
      <c r="G833" s="72">
        <v>2.0</v>
      </c>
      <c r="H833" s="72">
        <v>1.0</v>
      </c>
      <c r="I833" s="72">
        <v>2.0</v>
      </c>
      <c r="J833" s="72">
        <v>3.0</v>
      </c>
      <c r="K833" s="72">
        <v>4.0</v>
      </c>
      <c r="L833" s="72">
        <v>4.0</v>
      </c>
      <c r="M833" s="72">
        <v>4.0</v>
      </c>
      <c r="N833" s="72">
        <v>4.0</v>
      </c>
      <c r="O833" s="73"/>
    </row>
    <row r="834" ht="15.75" customHeight="1">
      <c r="C834" s="34">
        <v>8614.0</v>
      </c>
      <c r="D834" s="70" t="s">
        <v>984</v>
      </c>
      <c r="E834" s="71" t="str">
        <f>vlookup(C834,'NOC-List'!B$2:C$502,2,False)</f>
        <v>Mine labourers</v>
      </c>
      <c r="F834" s="72">
        <v>4.0</v>
      </c>
      <c r="G834" s="72">
        <v>4.0</v>
      </c>
      <c r="H834" s="72">
        <v>5.0</v>
      </c>
      <c r="I834" s="72">
        <v>4.0</v>
      </c>
      <c r="J834" s="72">
        <v>4.0</v>
      </c>
      <c r="K834" s="72">
        <v>5.0</v>
      </c>
      <c r="L834" s="72">
        <v>4.0</v>
      </c>
      <c r="M834" s="72">
        <v>4.0</v>
      </c>
      <c r="N834" s="72">
        <v>3.0</v>
      </c>
      <c r="O834" s="73"/>
    </row>
    <row r="835" ht="15.75" customHeight="1">
      <c r="C835" s="81">
        <v>4154.0</v>
      </c>
      <c r="D835" s="70" t="s">
        <v>985</v>
      </c>
      <c r="E835" s="71" t="str">
        <f>vlookup(C835,'NOC-List'!B$2:C$502,2,False)</f>
        <v>Professional occupations in religion</v>
      </c>
      <c r="F835" s="72">
        <v>2.0</v>
      </c>
      <c r="G835" s="72">
        <v>2.0</v>
      </c>
      <c r="H835" s="72">
        <v>3.0</v>
      </c>
      <c r="I835" s="72">
        <v>4.0</v>
      </c>
      <c r="J835" s="72">
        <v>4.0</v>
      </c>
      <c r="K835" s="72">
        <v>4.0</v>
      </c>
      <c r="L835" s="72">
        <v>4.0</v>
      </c>
      <c r="M835" s="72">
        <v>4.0</v>
      </c>
      <c r="N835" s="72">
        <v>4.0</v>
      </c>
      <c r="O835" s="73"/>
    </row>
    <row r="836" ht="15.75" customHeight="1">
      <c r="C836" s="34">
        <v>121.0</v>
      </c>
      <c r="D836" s="70" t="s">
        <v>986</v>
      </c>
      <c r="E836" s="71" t="str">
        <f>vlookup(C836,'NOC-List'!B$2:C$502,2,False)</f>
        <v>Insurance, real estate and financial brokerage managers</v>
      </c>
      <c r="F836" s="72">
        <v>2.0</v>
      </c>
      <c r="G836" s="72">
        <v>2.0</v>
      </c>
      <c r="H836" s="72">
        <v>2.0</v>
      </c>
      <c r="I836" s="72">
        <v>4.0</v>
      </c>
      <c r="J836" s="72">
        <v>4.0</v>
      </c>
      <c r="K836" s="72">
        <v>3.0</v>
      </c>
      <c r="L836" s="72">
        <v>4.0</v>
      </c>
      <c r="M836" s="72">
        <v>4.0</v>
      </c>
      <c r="N836" s="72">
        <v>4.0</v>
      </c>
      <c r="O836" s="73"/>
    </row>
    <row r="837" ht="15.75" customHeight="1">
      <c r="C837" s="34">
        <v>1114.0</v>
      </c>
      <c r="D837" s="70" t="s">
        <v>987</v>
      </c>
      <c r="E837" s="71" t="str">
        <f>vlookup(C837,'NOC-List'!B$2:C$502,2,False)</f>
        <v>Other financial officers</v>
      </c>
      <c r="F837" s="72">
        <v>2.0</v>
      </c>
      <c r="G837" s="72">
        <v>2.0</v>
      </c>
      <c r="H837" s="72">
        <v>2.0</v>
      </c>
      <c r="I837" s="72">
        <v>4.0</v>
      </c>
      <c r="J837" s="72">
        <v>4.0</v>
      </c>
      <c r="K837" s="72">
        <v>3.0</v>
      </c>
      <c r="L837" s="72">
        <v>4.0</v>
      </c>
      <c r="M837" s="72">
        <v>4.0</v>
      </c>
      <c r="N837" s="72">
        <v>4.0</v>
      </c>
      <c r="O837" s="73"/>
    </row>
    <row r="838" ht="15.75" customHeight="1">
      <c r="C838" s="34">
        <v>9522.0</v>
      </c>
      <c r="D838" s="70" t="s">
        <v>988</v>
      </c>
      <c r="E838" s="71" t="str">
        <f>vlookup(C838,'NOC-List'!B$2:C$502,2,False)</f>
        <v>Motor vehicle assemblers, inspectors and testers</v>
      </c>
      <c r="F838" s="72">
        <v>4.0</v>
      </c>
      <c r="G838" s="72">
        <v>4.0</v>
      </c>
      <c r="H838" s="72">
        <v>5.0</v>
      </c>
      <c r="I838" s="72">
        <v>4.0</v>
      </c>
      <c r="J838" s="72">
        <v>4.0</v>
      </c>
      <c r="K838" s="72">
        <v>5.0</v>
      </c>
      <c r="L838" s="72">
        <v>4.0</v>
      </c>
      <c r="M838" s="72">
        <v>4.0</v>
      </c>
      <c r="N838" s="72">
        <v>3.0</v>
      </c>
      <c r="O838" s="73"/>
    </row>
    <row r="839" ht="15.75" customHeight="1">
      <c r="C839" s="81">
        <v>4411.0</v>
      </c>
      <c r="D839" s="70" t="s">
        <v>989</v>
      </c>
      <c r="E839" s="71" t="str">
        <f>vlookup(C839,'NOC-List'!B$2:C$502,2,False)</f>
        <v>Home child care providers</v>
      </c>
      <c r="F839" s="72">
        <v>4.0</v>
      </c>
      <c r="G839" s="72">
        <v>3.0</v>
      </c>
      <c r="H839" s="72">
        <v>4.0</v>
      </c>
      <c r="I839" s="72">
        <v>4.0</v>
      </c>
      <c r="J839" s="72">
        <v>4.0</v>
      </c>
      <c r="K839" s="72">
        <v>5.0</v>
      </c>
      <c r="L839" s="72">
        <v>4.0</v>
      </c>
      <c r="M839" s="72">
        <v>4.0</v>
      </c>
      <c r="N839" s="72">
        <v>3.0</v>
      </c>
      <c r="O839" s="73"/>
    </row>
    <row r="840" ht="15.75" customHeight="1">
      <c r="C840" s="34">
        <v>4211.0</v>
      </c>
      <c r="D840" s="70" t="s">
        <v>990</v>
      </c>
      <c r="E840" s="71" t="str">
        <f>vlookup(C840,'NOC-List'!B$2:C$502,2,False)</f>
        <v>Paralegal and related occupations</v>
      </c>
      <c r="F840" s="72">
        <v>3.0</v>
      </c>
      <c r="G840" s="72">
        <v>2.0</v>
      </c>
      <c r="H840" s="72">
        <v>3.0</v>
      </c>
      <c r="I840" s="72">
        <v>4.0</v>
      </c>
      <c r="J840" s="72">
        <v>4.0</v>
      </c>
      <c r="K840" s="72">
        <v>3.0</v>
      </c>
      <c r="L840" s="72">
        <v>4.0</v>
      </c>
      <c r="M840" s="72">
        <v>4.0</v>
      </c>
      <c r="N840" s="72">
        <v>4.0</v>
      </c>
      <c r="O840" s="73"/>
    </row>
    <row r="841" ht="15.75" customHeight="1">
      <c r="C841" s="81">
        <v>3011.0</v>
      </c>
      <c r="D841" s="70" t="s">
        <v>991</v>
      </c>
      <c r="E841" s="71" t="str">
        <f>vlookup(C841,'NOC-List'!B$2:C$502,2,False)</f>
        <v>Nursing co-ordinators and supervisors</v>
      </c>
      <c r="F841" s="72">
        <v>2.0</v>
      </c>
      <c r="G841" s="72">
        <v>2.0</v>
      </c>
      <c r="H841" s="72">
        <v>3.0</v>
      </c>
      <c r="I841" s="72">
        <v>4.0</v>
      </c>
      <c r="J841" s="72">
        <v>4.0</v>
      </c>
      <c r="K841" s="72">
        <v>4.0</v>
      </c>
      <c r="L841" s="72">
        <v>4.0</v>
      </c>
      <c r="M841" s="72">
        <v>4.0</v>
      </c>
      <c r="N841" s="72">
        <v>4.0</v>
      </c>
      <c r="O841" s="73"/>
    </row>
    <row r="842" ht="15.75" customHeight="1">
      <c r="C842" s="34">
        <v>3012.0</v>
      </c>
      <c r="D842" s="70" t="s">
        <v>992</v>
      </c>
      <c r="E842" s="71" t="str">
        <f>vlookup(C842,'NOC-List'!B$2:C$502,2,False)</f>
        <v>Registered nurses and registered psychiatric nurses</v>
      </c>
      <c r="F842" s="72">
        <v>2.0</v>
      </c>
      <c r="G842" s="72">
        <v>2.0</v>
      </c>
      <c r="H842" s="72">
        <v>3.0</v>
      </c>
      <c r="I842" s="72">
        <v>4.0</v>
      </c>
      <c r="J842" s="72">
        <v>4.0</v>
      </c>
      <c r="K842" s="72">
        <v>4.0</v>
      </c>
      <c r="L842" s="72">
        <v>4.0</v>
      </c>
      <c r="M842" s="72">
        <v>4.0</v>
      </c>
      <c r="N842" s="72">
        <v>4.0</v>
      </c>
      <c r="O842" s="73"/>
    </row>
    <row r="843" ht="15.75" customHeight="1">
      <c r="C843" s="34">
        <v>114.0</v>
      </c>
      <c r="D843" s="70" t="s">
        <v>993</v>
      </c>
      <c r="E843" s="71" t="str">
        <f>vlookup(C843,'NOC-List'!B$2:C$502,2,False)</f>
        <v>Other administrative services managers</v>
      </c>
      <c r="F843" s="72">
        <v>2.0</v>
      </c>
      <c r="G843" s="72">
        <v>2.0</v>
      </c>
      <c r="H843" s="72">
        <v>2.0</v>
      </c>
      <c r="I843" s="72">
        <v>4.0</v>
      </c>
      <c r="J843" s="72">
        <v>4.0</v>
      </c>
      <c r="K843" s="72">
        <v>3.0</v>
      </c>
      <c r="L843" s="72">
        <v>4.0</v>
      </c>
      <c r="M843" s="72">
        <v>4.0</v>
      </c>
      <c r="N843" s="72">
        <v>4.0</v>
      </c>
      <c r="O843" s="73"/>
    </row>
    <row r="844" ht="15.75" customHeight="1">
      <c r="C844" s="34">
        <v>125.0</v>
      </c>
      <c r="D844" s="70" t="s">
        <v>994</v>
      </c>
      <c r="E844" s="71" t="str">
        <f>vlookup(C844,'NOC-List'!B$2:C$502,2,False)</f>
        <v>Other business services managers</v>
      </c>
      <c r="F844" s="72">
        <v>2.0</v>
      </c>
      <c r="G844" s="72">
        <v>2.0</v>
      </c>
      <c r="H844" s="72">
        <v>2.0</v>
      </c>
      <c r="I844" s="72">
        <v>4.0</v>
      </c>
      <c r="J844" s="72">
        <v>4.0</v>
      </c>
      <c r="K844" s="72">
        <v>3.0</v>
      </c>
      <c r="L844" s="72">
        <v>4.0</v>
      </c>
      <c r="M844" s="72">
        <v>4.0</v>
      </c>
      <c r="N844" s="72">
        <v>4.0</v>
      </c>
      <c r="O844" s="73"/>
    </row>
    <row r="845" ht="15.75" customHeight="1">
      <c r="C845" s="34">
        <v>414.0</v>
      </c>
      <c r="D845" s="70" t="s">
        <v>995</v>
      </c>
      <c r="E845" s="71" t="str">
        <f>vlookup(C845,'NOC-List'!B$2:C$502,2,False)</f>
        <v>Other managers in public administration</v>
      </c>
      <c r="F845" s="72">
        <v>2.0</v>
      </c>
      <c r="G845" s="72">
        <v>2.0</v>
      </c>
      <c r="H845" s="72">
        <v>2.0</v>
      </c>
      <c r="I845" s="72">
        <v>4.0</v>
      </c>
      <c r="J845" s="72">
        <v>4.0</v>
      </c>
      <c r="K845" s="72">
        <v>3.0</v>
      </c>
      <c r="L845" s="72">
        <v>4.0</v>
      </c>
      <c r="M845" s="72">
        <v>4.0</v>
      </c>
      <c r="N845" s="72">
        <v>4.0</v>
      </c>
      <c r="O845" s="73"/>
    </row>
    <row r="846" ht="15.75" customHeight="1">
      <c r="C846" s="34">
        <v>3144.0</v>
      </c>
      <c r="D846" s="70" t="s">
        <v>996</v>
      </c>
      <c r="E846" s="71" t="str">
        <f>vlookup(C846,'NOC-List'!B$2:C$502,2,False)</f>
        <v>Other professional occupations in therapy and assessment</v>
      </c>
      <c r="F846" s="72">
        <v>2.0</v>
      </c>
      <c r="G846" s="72">
        <v>2.0</v>
      </c>
      <c r="H846" s="72">
        <v>3.0</v>
      </c>
      <c r="I846" s="72">
        <v>4.0</v>
      </c>
      <c r="J846" s="72">
        <v>4.0</v>
      </c>
      <c r="K846" s="72">
        <v>4.0</v>
      </c>
      <c r="L846" s="72">
        <v>4.0</v>
      </c>
      <c r="M846" s="72">
        <v>4.0</v>
      </c>
      <c r="N846" s="72">
        <v>4.0</v>
      </c>
      <c r="O846" s="73"/>
    </row>
    <row r="847" ht="15.75" customHeight="1">
      <c r="C847" s="34">
        <v>4217.0</v>
      </c>
      <c r="D847" s="70" t="s">
        <v>997</v>
      </c>
      <c r="E847" s="71" t="str">
        <f>vlookup(C847,'NOC-List'!B$2:C$502,2,False)</f>
        <v>Other religious occupations</v>
      </c>
      <c r="F847" s="72">
        <v>3.0</v>
      </c>
      <c r="G847" s="72">
        <v>3.0</v>
      </c>
      <c r="H847" s="72">
        <v>3.0</v>
      </c>
      <c r="I847" s="72">
        <v>4.0</v>
      </c>
      <c r="J847" s="72">
        <v>4.0</v>
      </c>
      <c r="K847" s="72">
        <v>4.0</v>
      </c>
      <c r="L847" s="72">
        <v>4.0</v>
      </c>
      <c r="M847" s="72">
        <v>4.0</v>
      </c>
      <c r="N847" s="72">
        <v>4.0</v>
      </c>
      <c r="O847" s="73"/>
    </row>
    <row r="848" ht="15.75" customHeight="1">
      <c r="C848" s="81">
        <v>1123.0</v>
      </c>
      <c r="D848" s="70" t="s">
        <v>998</v>
      </c>
      <c r="E848" s="71" t="str">
        <f>vlookup(C848,'NOC-List'!B$2:C$502,2,False)</f>
        <v>Professional occupations in advertising, marketing and public relations</v>
      </c>
      <c r="F848" s="72">
        <v>2.0</v>
      </c>
      <c r="G848" s="72">
        <v>1.0</v>
      </c>
      <c r="H848" s="72">
        <v>3.0</v>
      </c>
      <c r="I848" s="72">
        <v>4.0</v>
      </c>
      <c r="J848" s="72">
        <v>4.0</v>
      </c>
      <c r="K848" s="72">
        <v>3.0</v>
      </c>
      <c r="L848" s="72">
        <v>4.0</v>
      </c>
      <c r="M848" s="72">
        <v>4.0</v>
      </c>
      <c r="N848" s="72">
        <v>4.0</v>
      </c>
      <c r="O848" s="73"/>
    </row>
    <row r="849" ht="15.75" customHeight="1">
      <c r="C849" s="34">
        <v>124.0</v>
      </c>
      <c r="D849" s="70" t="s">
        <v>999</v>
      </c>
      <c r="E849" s="71" t="str">
        <f>vlookup(C849,'NOC-List'!B$2:C$502,2,False)</f>
        <v>Advertising, marketing and public relations managers</v>
      </c>
      <c r="F849" s="72">
        <v>2.0</v>
      </c>
      <c r="G849" s="72">
        <v>2.0</v>
      </c>
      <c r="H849" s="72">
        <v>2.0</v>
      </c>
      <c r="I849" s="72">
        <v>4.0</v>
      </c>
      <c r="J849" s="72">
        <v>4.0</v>
      </c>
      <c r="K849" s="72">
        <v>3.0</v>
      </c>
      <c r="L849" s="72">
        <v>4.0</v>
      </c>
      <c r="M849" s="72">
        <v>4.0</v>
      </c>
      <c r="N849" s="72">
        <v>4.0</v>
      </c>
      <c r="O849" s="73"/>
    </row>
    <row r="850" ht="15.75" customHeight="1">
      <c r="C850" s="34">
        <v>113.0</v>
      </c>
      <c r="D850" s="70" t="s">
        <v>1000</v>
      </c>
      <c r="E850" s="71" t="str">
        <f>vlookup(C850,'NOC-List'!B$2:C$502,2,False)</f>
        <v>Purchasing managers</v>
      </c>
      <c r="F850" s="72">
        <v>2.0</v>
      </c>
      <c r="G850" s="72">
        <v>2.0</v>
      </c>
      <c r="H850" s="72">
        <v>2.0</v>
      </c>
      <c r="I850" s="72">
        <v>4.0</v>
      </c>
      <c r="J850" s="72">
        <v>4.0</v>
      </c>
      <c r="K850" s="72">
        <v>3.0</v>
      </c>
      <c r="L850" s="72">
        <v>4.0</v>
      </c>
      <c r="M850" s="72">
        <v>4.0</v>
      </c>
      <c r="N850" s="72">
        <v>4.0</v>
      </c>
      <c r="O850" s="73"/>
    </row>
    <row r="851" ht="15.75" customHeight="1">
      <c r="C851" s="34">
        <v>121.0</v>
      </c>
      <c r="D851" s="70" t="s">
        <v>1001</v>
      </c>
      <c r="E851" s="71" t="str">
        <f>vlookup(C851,'NOC-List'!B$2:C$502,2,False)</f>
        <v>Insurance, real estate and financial brokerage managers</v>
      </c>
      <c r="F851" s="72">
        <v>2.0</v>
      </c>
      <c r="G851" s="72">
        <v>2.0</v>
      </c>
      <c r="H851" s="72">
        <v>2.0</v>
      </c>
      <c r="I851" s="72">
        <v>4.0</v>
      </c>
      <c r="J851" s="72">
        <v>4.0</v>
      </c>
      <c r="K851" s="72">
        <v>3.0</v>
      </c>
      <c r="L851" s="72">
        <v>4.0</v>
      </c>
      <c r="M851" s="72">
        <v>4.0</v>
      </c>
      <c r="N851" s="72">
        <v>4.0</v>
      </c>
      <c r="O851" s="73"/>
    </row>
    <row r="852" ht="15.75" customHeight="1">
      <c r="C852" s="34">
        <v>601.0</v>
      </c>
      <c r="D852" s="70" t="s">
        <v>1002</v>
      </c>
      <c r="E852" s="71" t="str">
        <f>vlookup(C852,'NOC-List'!B$2:C$502,2,False)</f>
        <v>Corporate sales managers</v>
      </c>
      <c r="F852" s="72">
        <v>2.0</v>
      </c>
      <c r="G852" s="72">
        <v>2.0</v>
      </c>
      <c r="H852" s="72">
        <v>2.0</v>
      </c>
      <c r="I852" s="72">
        <v>4.0</v>
      </c>
      <c r="J852" s="72">
        <v>4.0</v>
      </c>
      <c r="K852" s="72">
        <v>3.0</v>
      </c>
      <c r="L852" s="72">
        <v>4.0</v>
      </c>
      <c r="M852" s="72">
        <v>4.0</v>
      </c>
      <c r="N852" s="72">
        <v>4.0</v>
      </c>
      <c r="O852" s="73"/>
    </row>
    <row r="853" ht="15.75" customHeight="1">
      <c r="C853" s="34">
        <v>6732.0</v>
      </c>
      <c r="D853" s="70" t="s">
        <v>1003</v>
      </c>
      <c r="E853" s="71" t="str">
        <f>vlookup(C853,'NOC-List'!B$2:C$502,2,False)</f>
        <v>Specialized cleaners</v>
      </c>
      <c r="F853" s="72">
        <v>4.0</v>
      </c>
      <c r="G853" s="72">
        <v>4.0</v>
      </c>
      <c r="H853" s="72">
        <v>5.0</v>
      </c>
      <c r="I853" s="72">
        <v>4.0</v>
      </c>
      <c r="J853" s="72">
        <v>4.0</v>
      </c>
      <c r="K853" s="72">
        <v>5.0</v>
      </c>
      <c r="L853" s="72">
        <v>4.0</v>
      </c>
      <c r="M853" s="72">
        <v>4.0</v>
      </c>
      <c r="N853" s="72">
        <v>3.0</v>
      </c>
      <c r="O853" s="73"/>
    </row>
    <row r="854" ht="15.75" customHeight="1">
      <c r="C854" s="34">
        <v>1113.0</v>
      </c>
      <c r="D854" s="70" t="s">
        <v>1004</v>
      </c>
      <c r="E854" s="71" t="str">
        <f>vlookup(C854,'NOC-List'!B$2:C$502,2,False)</f>
        <v>Securities agents, investment dealers and brokers</v>
      </c>
      <c r="F854" s="72">
        <v>2.0</v>
      </c>
      <c r="G854" s="72">
        <v>2.0</v>
      </c>
      <c r="H854" s="72">
        <v>2.0</v>
      </c>
      <c r="I854" s="72">
        <v>4.0</v>
      </c>
      <c r="J854" s="72">
        <v>4.0</v>
      </c>
      <c r="K854" s="72">
        <v>3.0</v>
      </c>
      <c r="L854" s="72">
        <v>4.0</v>
      </c>
      <c r="M854" s="72">
        <v>4.0</v>
      </c>
      <c r="N854" s="72">
        <v>4.0</v>
      </c>
      <c r="O854" s="73"/>
    </row>
    <row r="855" ht="15.75" customHeight="1">
      <c r="C855" s="34">
        <v>121.0</v>
      </c>
      <c r="D855" s="70" t="s">
        <v>1005</v>
      </c>
      <c r="E855" s="71" t="str">
        <f>vlookup(C855,'NOC-List'!B$2:C$502,2,False)</f>
        <v>Insurance, real estate and financial brokerage managers</v>
      </c>
      <c r="F855" s="72">
        <v>2.0</v>
      </c>
      <c r="G855" s="72">
        <v>2.0</v>
      </c>
      <c r="H855" s="72">
        <v>2.0</v>
      </c>
      <c r="I855" s="72">
        <v>4.0</v>
      </c>
      <c r="J855" s="72">
        <v>4.0</v>
      </c>
      <c r="K855" s="72">
        <v>3.0</v>
      </c>
      <c r="L855" s="72">
        <v>4.0</v>
      </c>
      <c r="M855" s="72">
        <v>4.0</v>
      </c>
      <c r="N855" s="72">
        <v>4.0</v>
      </c>
      <c r="O855" s="73"/>
    </row>
    <row r="856" ht="15.75" customHeight="1">
      <c r="C856" s="81">
        <v>6541.0</v>
      </c>
      <c r="D856" s="70" t="s">
        <v>1006</v>
      </c>
      <c r="E856" s="71" t="str">
        <f>vlookup(C856,'NOC-List'!B$2:C$502,2,False)</f>
        <v>Security guards and related security service occupations</v>
      </c>
      <c r="F856" s="72">
        <v>4.0</v>
      </c>
      <c r="G856" s="72">
        <v>3.0</v>
      </c>
      <c r="H856" s="72">
        <v>4.0</v>
      </c>
      <c r="I856" s="72">
        <v>4.0</v>
      </c>
      <c r="J856" s="72">
        <v>4.0</v>
      </c>
      <c r="K856" s="72">
        <v>4.0</v>
      </c>
      <c r="L856" s="72">
        <v>4.0</v>
      </c>
      <c r="M856" s="72">
        <v>4.0</v>
      </c>
      <c r="N856" s="72">
        <v>4.0</v>
      </c>
      <c r="O856" s="73"/>
    </row>
    <row r="857" ht="15.75" customHeight="1">
      <c r="C857" s="34">
        <v>4164.0</v>
      </c>
      <c r="D857" s="70" t="s">
        <v>1007</v>
      </c>
      <c r="E857" s="71" t="str">
        <f>vlookup(C857,'NOC-List'!B$2:C$502,2,False)</f>
        <v>Social policy researchers, consultants and program officers</v>
      </c>
      <c r="F857" s="72">
        <v>2.0</v>
      </c>
      <c r="G857" s="72">
        <v>2.0</v>
      </c>
      <c r="H857" s="72">
        <v>2.0</v>
      </c>
      <c r="I857" s="72">
        <v>4.0</v>
      </c>
      <c r="J857" s="72">
        <v>4.0</v>
      </c>
      <c r="K857" s="72">
        <v>3.0</v>
      </c>
      <c r="L857" s="72">
        <v>4.0</v>
      </c>
      <c r="M857" s="72">
        <v>4.0</v>
      </c>
      <c r="N857" s="72">
        <v>4.0</v>
      </c>
      <c r="O857" s="73"/>
    </row>
    <row r="858" ht="15.75" customHeight="1">
      <c r="C858" s="81">
        <v>1213.0</v>
      </c>
      <c r="D858" s="70" t="s">
        <v>1008</v>
      </c>
      <c r="E858" s="71" t="str">
        <f>vlookup(C858,'NOC-List'!B$2:C$502,2,False)</f>
        <v>Supervisors, library, correspondence and related information workers</v>
      </c>
      <c r="F858" s="72">
        <v>3.0</v>
      </c>
      <c r="G858" s="72">
        <v>3.0</v>
      </c>
      <c r="H858" s="72">
        <v>3.0</v>
      </c>
      <c r="I858" s="72">
        <v>4.0</v>
      </c>
      <c r="J858" s="72">
        <v>4.0</v>
      </c>
      <c r="K858" s="72">
        <v>2.0</v>
      </c>
      <c r="L858" s="72">
        <v>4.0</v>
      </c>
      <c r="M858" s="72">
        <v>4.0</v>
      </c>
      <c r="N858" s="72">
        <v>4.0</v>
      </c>
      <c r="O858" s="73"/>
    </row>
    <row r="859" ht="15.75" customHeight="1">
      <c r="C859" s="34">
        <v>1214.0</v>
      </c>
      <c r="D859" s="70" t="s">
        <v>1009</v>
      </c>
      <c r="E859" s="71" t="str">
        <f>vlookup(C859,'NOC-List'!B$2:C$502,2,False)</f>
        <v>Supervisors, mail and message distribution occupations</v>
      </c>
      <c r="F859" s="72">
        <v>3.0</v>
      </c>
      <c r="G859" s="72">
        <v>3.0</v>
      </c>
      <c r="H859" s="72">
        <v>3.0</v>
      </c>
      <c r="I859" s="72">
        <v>4.0</v>
      </c>
      <c r="J859" s="72">
        <v>4.0</v>
      </c>
      <c r="K859" s="72">
        <v>2.0</v>
      </c>
      <c r="L859" s="72">
        <v>4.0</v>
      </c>
      <c r="M859" s="72">
        <v>4.0</v>
      </c>
      <c r="N859" s="72">
        <v>4.0</v>
      </c>
      <c r="O859" s="73"/>
    </row>
    <row r="860" ht="15.75" customHeight="1">
      <c r="C860" s="34">
        <v>6742.0</v>
      </c>
      <c r="D860" s="70" t="s">
        <v>1010</v>
      </c>
      <c r="E860" s="71" t="str">
        <f>vlookup(C860,'NOC-List'!B$2:C$502,2,False)</f>
        <v>Other service support occupations, n.e.c.</v>
      </c>
      <c r="F860" s="72">
        <v>4.0</v>
      </c>
      <c r="G860" s="72">
        <v>4.0</v>
      </c>
      <c r="H860" s="72">
        <v>5.0</v>
      </c>
      <c r="I860" s="72">
        <v>4.0</v>
      </c>
      <c r="J860" s="72">
        <v>4.0</v>
      </c>
      <c r="K860" s="72">
        <v>4.0</v>
      </c>
      <c r="L860" s="72">
        <v>4.0</v>
      </c>
      <c r="M860" s="72">
        <v>4.0</v>
      </c>
      <c r="N860" s="72">
        <v>4.0</v>
      </c>
      <c r="O860" s="73"/>
    </row>
    <row r="861" ht="15.75" customHeight="1">
      <c r="C861" s="34">
        <v>6721.0</v>
      </c>
      <c r="D861" s="70" t="s">
        <v>1011</v>
      </c>
      <c r="E861" s="71" t="str">
        <f>vlookup(C861,'NOC-List'!B$2:C$502,2,False)</f>
        <v>Support occupations in accommodation, travel and facilities set-up services</v>
      </c>
      <c r="F861" s="72">
        <v>4.0</v>
      </c>
      <c r="G861" s="72">
        <v>4.0</v>
      </c>
      <c r="H861" s="72">
        <v>4.0</v>
      </c>
      <c r="I861" s="72">
        <v>4.0</v>
      </c>
      <c r="J861" s="72">
        <v>4.0</v>
      </c>
      <c r="K861" s="72">
        <v>5.0</v>
      </c>
      <c r="L861" s="72">
        <v>4.0</v>
      </c>
      <c r="M861" s="72">
        <v>4.0</v>
      </c>
      <c r="N861" s="72">
        <v>4.0</v>
      </c>
      <c r="O861" s="73"/>
    </row>
    <row r="862" ht="15.75" customHeight="1">
      <c r="C862" s="34">
        <v>5125.0</v>
      </c>
      <c r="D862" s="70" t="s">
        <v>1012</v>
      </c>
      <c r="E862" s="71" t="str">
        <f>vlookup(C862,'NOC-List'!B$2:C$502,2,False)</f>
        <v>Translators, terminologists and interpreters</v>
      </c>
      <c r="F862" s="72">
        <v>2.0</v>
      </c>
      <c r="G862" s="72">
        <v>1.0</v>
      </c>
      <c r="H862" s="72">
        <v>4.0</v>
      </c>
      <c r="I862" s="72">
        <v>4.0</v>
      </c>
      <c r="J862" s="72">
        <v>4.0</v>
      </c>
      <c r="K862" s="72">
        <v>2.0</v>
      </c>
      <c r="L862" s="72">
        <v>4.0</v>
      </c>
      <c r="M862" s="72">
        <v>4.0</v>
      </c>
      <c r="N862" s="72">
        <v>4.0</v>
      </c>
      <c r="O862" s="73"/>
    </row>
    <row r="863" ht="15.75" customHeight="1">
      <c r="C863" s="34">
        <v>1114.0</v>
      </c>
      <c r="D863" s="70" t="s">
        <v>1013</v>
      </c>
      <c r="E863" s="71" t="str">
        <f>vlookup(C863,'NOC-List'!B$2:C$502,2,False)</f>
        <v>Other financial officers</v>
      </c>
      <c r="F863" s="72">
        <v>2.0</v>
      </c>
      <c r="G863" s="72">
        <v>2.0</v>
      </c>
      <c r="H863" s="72">
        <v>2.0</v>
      </c>
      <c r="I863" s="72">
        <v>4.0</v>
      </c>
      <c r="J863" s="72">
        <v>4.0</v>
      </c>
      <c r="K863" s="72">
        <v>3.0</v>
      </c>
      <c r="L863" s="72">
        <v>4.0</v>
      </c>
      <c r="M863" s="72">
        <v>4.0</v>
      </c>
      <c r="N863" s="72">
        <v>4.0</v>
      </c>
      <c r="O863" s="73"/>
    </row>
    <row r="864" ht="15.75" customHeight="1">
      <c r="C864" s="34">
        <v>1313.0</v>
      </c>
      <c r="D864" s="70" t="s">
        <v>1014</v>
      </c>
      <c r="E864" s="71" t="str">
        <f>vlookup(C864,'NOC-List'!B$2:C$502,2,False)</f>
        <v>Insurance underwriters</v>
      </c>
      <c r="F864" s="72">
        <v>2.0</v>
      </c>
      <c r="G864" s="72">
        <v>2.0</v>
      </c>
      <c r="H864" s="72">
        <v>2.0</v>
      </c>
      <c r="I864" s="72">
        <v>4.0</v>
      </c>
      <c r="J864" s="72">
        <v>4.0</v>
      </c>
      <c r="K864" s="72">
        <v>3.0</v>
      </c>
      <c r="L864" s="72">
        <v>4.0</v>
      </c>
      <c r="M864" s="72">
        <v>4.0</v>
      </c>
      <c r="N864" s="72">
        <v>4.0</v>
      </c>
      <c r="O864" s="73"/>
    </row>
    <row r="865" ht="15.75" customHeight="1">
      <c r="C865" s="34">
        <v>4011.0</v>
      </c>
      <c r="D865" s="70" t="s">
        <v>1015</v>
      </c>
      <c r="E865" s="71" t="str">
        <f>vlookup(C865,'NOC-List'!B$2:C$502,2,False)</f>
        <v>University professors and lecturers</v>
      </c>
      <c r="F865" s="72">
        <v>1.0</v>
      </c>
      <c r="G865" s="72">
        <v>1.0</v>
      </c>
      <c r="H865" s="72">
        <v>2.0</v>
      </c>
      <c r="I865" s="72">
        <v>3.0</v>
      </c>
      <c r="J865" s="72">
        <v>3.0</v>
      </c>
      <c r="K865" s="72">
        <v>3.0</v>
      </c>
      <c r="L865" s="72">
        <v>4.0</v>
      </c>
      <c r="M865" s="72">
        <v>4.0</v>
      </c>
      <c r="N865" s="72">
        <v>4.0</v>
      </c>
      <c r="O865" s="73"/>
    </row>
    <row r="866" ht="15.75" customHeight="1">
      <c r="C866" s="34">
        <v>6732.0</v>
      </c>
      <c r="D866" s="70" t="s">
        <v>1016</v>
      </c>
      <c r="E866" s="71" t="str">
        <f>vlookup(C866,'NOC-List'!B$2:C$502,2,False)</f>
        <v>Specialized cleaners</v>
      </c>
      <c r="F866" s="72">
        <v>4.0</v>
      </c>
      <c r="G866" s="72">
        <v>4.0</v>
      </c>
      <c r="H866" s="72">
        <v>5.0</v>
      </c>
      <c r="I866" s="72">
        <v>4.0</v>
      </c>
      <c r="J866" s="72">
        <v>4.0</v>
      </c>
      <c r="K866" s="72">
        <v>5.0</v>
      </c>
      <c r="L866" s="72">
        <v>4.0</v>
      </c>
      <c r="M866" s="72">
        <v>4.0</v>
      </c>
      <c r="N866" s="72">
        <v>3.0</v>
      </c>
      <c r="O866" s="73"/>
    </row>
    <row r="867" ht="15.75" customHeight="1">
      <c r="C867" s="34">
        <v>2175.0</v>
      </c>
      <c r="D867" s="70" t="s">
        <v>1017</v>
      </c>
      <c r="E867" s="71" t="str">
        <f>vlookup(C867,'NOC-List'!B$2:C$502,2,False)</f>
        <v>Web designers and developers</v>
      </c>
      <c r="F867" s="72">
        <v>2.0</v>
      </c>
      <c r="G867" s="72">
        <v>2.0</v>
      </c>
      <c r="H867" s="72">
        <v>2.0</v>
      </c>
      <c r="I867" s="72">
        <v>3.0</v>
      </c>
      <c r="J867" s="72">
        <v>3.0</v>
      </c>
      <c r="K867" s="72">
        <v>1.0</v>
      </c>
      <c r="L867" s="72">
        <v>4.0</v>
      </c>
      <c r="M867" s="72">
        <v>4.0</v>
      </c>
      <c r="N867" s="72">
        <v>4.0</v>
      </c>
      <c r="O867" s="73"/>
    </row>
    <row r="868" ht="15.75" customHeight="1">
      <c r="C868" s="34">
        <v>2161.0</v>
      </c>
      <c r="D868" s="70" t="s">
        <v>1018</v>
      </c>
      <c r="E868" s="71" t="str">
        <f>vlookup(C868,'NOC-List'!B$2:C$502,2,False)</f>
        <v>Mathematicians, statisticians and actuaries</v>
      </c>
      <c r="F868" s="72">
        <v>1.0</v>
      </c>
      <c r="G868" s="72">
        <v>2.0</v>
      </c>
      <c r="H868" s="72">
        <v>1.0</v>
      </c>
      <c r="I868" s="72">
        <v>2.0</v>
      </c>
      <c r="J868" s="72">
        <v>3.0</v>
      </c>
      <c r="K868" s="72">
        <v>1.0</v>
      </c>
      <c r="L868" s="72">
        <v>4.0</v>
      </c>
      <c r="M868" s="72">
        <v>4.0</v>
      </c>
      <c r="N868" s="72">
        <v>4.0</v>
      </c>
      <c r="O868" s="73"/>
    </row>
    <row r="869" ht="15.75" customHeight="1">
      <c r="C869" s="34">
        <v>422.0</v>
      </c>
      <c r="D869" s="70" t="s">
        <v>1019</v>
      </c>
      <c r="E869" s="71" t="str">
        <f>vlookup(C869,'NOC-List'!B$2:C$502,2,False)</f>
        <v>School principals and administrators of elementary and secondary education</v>
      </c>
      <c r="F869" s="72">
        <v>1.0</v>
      </c>
      <c r="G869" s="72">
        <v>2.0</v>
      </c>
      <c r="H869" s="72">
        <v>2.0</v>
      </c>
      <c r="I869" s="72">
        <v>4.0</v>
      </c>
      <c r="J869" s="72">
        <v>4.0</v>
      </c>
      <c r="K869" s="72">
        <v>3.0</v>
      </c>
      <c r="L869" s="72">
        <v>4.0</v>
      </c>
      <c r="M869" s="72">
        <v>4.0</v>
      </c>
      <c r="N869" s="72">
        <v>4.0</v>
      </c>
      <c r="O869" s="73"/>
    </row>
    <row r="870" ht="15.75" customHeight="1">
      <c r="C870" s="34">
        <v>421.0</v>
      </c>
      <c r="D870" s="70" t="s">
        <v>1020</v>
      </c>
      <c r="E870" s="71" t="str">
        <f>vlookup(C870,'NOC-List'!B$2:C$502,2,False)</f>
        <v>Administrators - post-secondary education and vocational training</v>
      </c>
      <c r="F870" s="72">
        <v>1.0</v>
      </c>
      <c r="G870" s="72">
        <v>2.0</v>
      </c>
      <c r="H870" s="72">
        <v>2.0</v>
      </c>
      <c r="I870" s="72">
        <v>4.0</v>
      </c>
      <c r="J870" s="72">
        <v>4.0</v>
      </c>
      <c r="K870" s="72">
        <v>3.0</v>
      </c>
      <c r="L870" s="72">
        <v>4.0</v>
      </c>
      <c r="M870" s="72">
        <v>4.0</v>
      </c>
      <c r="N870" s="72">
        <v>4.0</v>
      </c>
      <c r="O870" s="73"/>
    </row>
    <row r="871" ht="15.75" customHeight="1">
      <c r="C871" s="34">
        <v>2148.0</v>
      </c>
      <c r="D871" s="70" t="s">
        <v>1021</v>
      </c>
      <c r="E871" s="71" t="str">
        <f>vlookup(C871,'NOC-List'!B$2:C$502,2,False)</f>
        <v>Other professional engineers, n.e.c.</v>
      </c>
      <c r="F871" s="72">
        <v>1.0</v>
      </c>
      <c r="G871" s="72">
        <v>1.0</v>
      </c>
      <c r="H871" s="72">
        <v>1.0</v>
      </c>
      <c r="I871" s="72">
        <v>1.0</v>
      </c>
      <c r="J871" s="72">
        <v>2.0</v>
      </c>
      <c r="K871" s="72">
        <v>4.0</v>
      </c>
      <c r="L871" s="72">
        <v>4.0</v>
      </c>
      <c r="M871" s="72">
        <v>4.0</v>
      </c>
      <c r="N871" s="72">
        <v>4.0</v>
      </c>
      <c r="O871" s="73"/>
    </row>
    <row r="872" ht="15.75" customHeight="1">
      <c r="C872" s="34">
        <v>4169.0</v>
      </c>
      <c r="D872" s="70" t="s">
        <v>1022</v>
      </c>
      <c r="E872" s="71" t="str">
        <f>vlookup(C872,'NOC-List'!B$2:C$502,2,False)</f>
        <v>Other professional occupations in social science, n.e.c.</v>
      </c>
      <c r="F872" s="72">
        <v>1.0</v>
      </c>
      <c r="G872" s="72">
        <v>2.0</v>
      </c>
      <c r="H872" s="72">
        <v>3.0</v>
      </c>
      <c r="I872" s="72">
        <v>4.0</v>
      </c>
      <c r="J872" s="72">
        <v>4.0</v>
      </c>
      <c r="K872" s="72">
        <v>4.0</v>
      </c>
      <c r="L872" s="72">
        <v>4.0</v>
      </c>
      <c r="M872" s="72">
        <v>4.0</v>
      </c>
      <c r="N872" s="72">
        <v>4.0</v>
      </c>
      <c r="O872" s="73"/>
    </row>
    <row r="873" ht="15.75" customHeight="1">
      <c r="C873" s="34">
        <v>4169.0</v>
      </c>
      <c r="D873" s="70" t="s">
        <v>1023</v>
      </c>
      <c r="E873" s="71" t="str">
        <f>vlookup(C873,'NOC-List'!B$2:C$502,2,False)</f>
        <v>Other professional occupations in social science, n.e.c.</v>
      </c>
      <c r="F873" s="72">
        <v>1.0</v>
      </c>
      <c r="G873" s="72">
        <v>2.0</v>
      </c>
      <c r="H873" s="72">
        <v>3.0</v>
      </c>
      <c r="I873" s="72">
        <v>4.0</v>
      </c>
      <c r="J873" s="72">
        <v>4.0</v>
      </c>
      <c r="K873" s="72">
        <v>4.0</v>
      </c>
      <c r="L873" s="72">
        <v>4.0</v>
      </c>
      <c r="M873" s="72">
        <v>4.0</v>
      </c>
      <c r="N873" s="72">
        <v>4.0</v>
      </c>
      <c r="O873" s="73"/>
    </row>
    <row r="874" ht="15.75" customHeight="1">
      <c r="C874" s="34">
        <v>6721.0</v>
      </c>
      <c r="D874" s="70" t="s">
        <v>1024</v>
      </c>
      <c r="E874" s="71" t="str">
        <f>vlookup(C874,'NOC-List'!B$2:C$502,2,False)</f>
        <v>Support occupations in accommodation, travel and facilities set-up services</v>
      </c>
      <c r="F874" s="72">
        <v>4.0</v>
      </c>
      <c r="G874" s="72">
        <v>4.0</v>
      </c>
      <c r="H874" s="72">
        <v>5.0</v>
      </c>
      <c r="I874" s="72">
        <v>4.0</v>
      </c>
      <c r="J874" s="72">
        <v>4.0</v>
      </c>
      <c r="K874" s="72">
        <v>5.0</v>
      </c>
      <c r="L874" s="72">
        <v>4.0</v>
      </c>
      <c r="M874" s="72">
        <v>4.0</v>
      </c>
      <c r="N874" s="72">
        <v>4.0</v>
      </c>
      <c r="O874" s="73"/>
    </row>
    <row r="875" ht="15.75" customHeight="1">
      <c r="C875" s="34">
        <v>6742.0</v>
      </c>
      <c r="D875" s="70" t="s">
        <v>1025</v>
      </c>
      <c r="E875" s="71" t="str">
        <f>vlookup(C875,'NOC-List'!B$2:C$502,2,False)</f>
        <v>Other service support occupations, n.e.c.</v>
      </c>
      <c r="F875" s="72">
        <v>4.0</v>
      </c>
      <c r="G875" s="72">
        <v>4.0</v>
      </c>
      <c r="H875" s="72">
        <v>5.0</v>
      </c>
      <c r="I875" s="72">
        <v>4.0</v>
      </c>
      <c r="J875" s="72">
        <v>4.0</v>
      </c>
      <c r="K875" s="72">
        <v>5.0</v>
      </c>
      <c r="L875" s="72">
        <v>4.0</v>
      </c>
      <c r="M875" s="72">
        <v>4.0</v>
      </c>
      <c r="N875" s="72">
        <v>4.0</v>
      </c>
      <c r="O875" s="73"/>
    </row>
    <row r="876" ht="15.75" customHeight="1">
      <c r="C876" s="34">
        <v>2131.0</v>
      </c>
      <c r="D876" s="70" t="s">
        <v>1026</v>
      </c>
      <c r="E876" s="71" t="str">
        <f>vlookup(C876,'NOC-List'!B$2:C$502,2,False)</f>
        <v>Civil engineers</v>
      </c>
      <c r="F876" s="72">
        <v>1.0</v>
      </c>
      <c r="G876" s="72">
        <v>1.0</v>
      </c>
      <c r="H876" s="72">
        <v>1.0</v>
      </c>
      <c r="I876" s="72">
        <v>1.0</v>
      </c>
      <c r="J876" s="72">
        <v>2.0</v>
      </c>
      <c r="K876" s="72">
        <v>4.0</v>
      </c>
      <c r="L876" s="72">
        <v>4.0</v>
      </c>
      <c r="M876" s="72">
        <v>4.0</v>
      </c>
      <c r="N876" s="72">
        <v>4.0</v>
      </c>
      <c r="O876" s="73"/>
    </row>
    <row r="877" ht="15.75" customHeight="1">
      <c r="C877" s="34">
        <v>2174.0</v>
      </c>
      <c r="D877" s="70" t="s">
        <v>1027</v>
      </c>
      <c r="E877" s="71" t="str">
        <f>vlookup(C877,'NOC-List'!B$2:C$502,2,False)</f>
        <v>Computer programmers and interactive media developers</v>
      </c>
      <c r="F877" s="72">
        <v>1.0</v>
      </c>
      <c r="G877" s="72">
        <v>2.0</v>
      </c>
      <c r="H877" s="72">
        <v>1.0</v>
      </c>
      <c r="I877" s="72">
        <v>2.0</v>
      </c>
      <c r="J877" s="72">
        <v>3.0</v>
      </c>
      <c r="K877" s="72">
        <v>1.0</v>
      </c>
      <c r="L877" s="72">
        <v>4.0</v>
      </c>
      <c r="M877" s="72">
        <v>4.0</v>
      </c>
      <c r="N877" s="72">
        <v>4.0</v>
      </c>
      <c r="O877" s="73"/>
    </row>
    <row r="878" ht="15.75" customHeight="1">
      <c r="C878" s="81">
        <v>6742.0</v>
      </c>
      <c r="D878" s="70" t="s">
        <v>1028</v>
      </c>
      <c r="E878" s="71" t="str">
        <f>vlookup(C878,'NOC-List'!B$2:C$502,2,False)</f>
        <v>Other service support occupations, n.e.c.</v>
      </c>
      <c r="F878" s="72">
        <v>4.0</v>
      </c>
      <c r="G878" s="72">
        <v>4.0</v>
      </c>
      <c r="H878" s="72">
        <v>5.0</v>
      </c>
      <c r="I878" s="72">
        <v>4.0</v>
      </c>
      <c r="J878" s="72">
        <v>4.0</v>
      </c>
      <c r="K878" s="72">
        <v>5.0</v>
      </c>
      <c r="L878" s="72">
        <v>4.0</v>
      </c>
      <c r="M878" s="72">
        <v>4.0</v>
      </c>
      <c r="N878" s="72">
        <v>4.0</v>
      </c>
      <c r="O878" s="73"/>
    </row>
    <row r="879" ht="15.75" customHeight="1">
      <c r="C879" s="34">
        <v>2133.0</v>
      </c>
      <c r="D879" s="70" t="s">
        <v>1029</v>
      </c>
      <c r="E879" s="71" t="str">
        <f>vlookup(C879,'NOC-List'!B$2:C$502,2,False)</f>
        <v>Electrical and electronics engineers</v>
      </c>
      <c r="F879" s="72">
        <v>1.0</v>
      </c>
      <c r="G879" s="72">
        <v>2.0</v>
      </c>
      <c r="H879" s="72">
        <v>1.0</v>
      </c>
      <c r="I879" s="72">
        <v>2.0</v>
      </c>
      <c r="J879" s="72">
        <v>2.0</v>
      </c>
      <c r="K879" s="72">
        <v>4.0</v>
      </c>
      <c r="L879" s="72">
        <v>4.0</v>
      </c>
      <c r="M879" s="72">
        <v>4.0</v>
      </c>
      <c r="N879" s="72">
        <v>4.0</v>
      </c>
      <c r="O879" s="73"/>
    </row>
    <row r="880" ht="15.75" customHeight="1">
      <c r="C880" s="34">
        <v>421.0</v>
      </c>
      <c r="D880" s="70" t="s">
        <v>1030</v>
      </c>
      <c r="E880" s="71" t="str">
        <f>vlookup(C880,'NOC-List'!B$2:C$502,2,False)</f>
        <v>Administrators - post-secondary education and vocational training</v>
      </c>
      <c r="F880" s="72">
        <v>4.0</v>
      </c>
      <c r="G880" s="72">
        <v>4.0</v>
      </c>
      <c r="H880" s="72">
        <v>5.0</v>
      </c>
      <c r="I880" s="72">
        <v>4.0</v>
      </c>
      <c r="J880" s="72">
        <v>4.0</v>
      </c>
      <c r="K880" s="72">
        <v>5.0</v>
      </c>
      <c r="L880" s="72">
        <v>4.0</v>
      </c>
      <c r="M880" s="72">
        <v>4.0</v>
      </c>
      <c r="N880" s="72">
        <v>4.0</v>
      </c>
      <c r="O880" s="73"/>
    </row>
    <row r="881" ht="15.75" customHeight="1">
      <c r="C881" s="34">
        <v>1114.0</v>
      </c>
      <c r="D881" s="70" t="s">
        <v>1031</v>
      </c>
      <c r="E881" s="71" t="str">
        <f>vlookup(C881,'NOC-List'!B$2:C$502,2,False)</f>
        <v>Other financial officers</v>
      </c>
      <c r="F881" s="72">
        <v>2.0</v>
      </c>
      <c r="G881" s="72">
        <v>2.0</v>
      </c>
      <c r="H881" s="72">
        <v>2.0</v>
      </c>
      <c r="I881" s="72">
        <v>4.0</v>
      </c>
      <c r="J881" s="72">
        <v>4.0</v>
      </c>
      <c r="K881" s="72">
        <v>2.0</v>
      </c>
      <c r="L881" s="72">
        <v>4.0</v>
      </c>
      <c r="M881" s="72">
        <v>4.0</v>
      </c>
      <c r="N881" s="72">
        <v>4.0</v>
      </c>
      <c r="O881" s="73"/>
    </row>
    <row r="882" ht="15.75" customHeight="1">
      <c r="C882" s="34">
        <v>1114.0</v>
      </c>
      <c r="D882" s="70" t="s">
        <v>1032</v>
      </c>
      <c r="E882" s="71" t="str">
        <f>vlookup(C882,'NOC-List'!B$2:C$502,2,False)</f>
        <v>Other financial officers</v>
      </c>
      <c r="F882" s="72">
        <v>2.0</v>
      </c>
      <c r="G882" s="72">
        <v>2.0</v>
      </c>
      <c r="H882" s="72">
        <v>2.0</v>
      </c>
      <c r="I882" s="72">
        <v>4.0</v>
      </c>
      <c r="J882" s="72">
        <v>4.0</v>
      </c>
      <c r="K882" s="72">
        <v>2.0</v>
      </c>
      <c r="L882" s="72">
        <v>4.0</v>
      </c>
      <c r="M882" s="72">
        <v>4.0</v>
      </c>
      <c r="N882" s="72">
        <v>4.0</v>
      </c>
      <c r="O882" s="73"/>
    </row>
    <row r="883" ht="15.75" customHeight="1">
      <c r="C883" s="34">
        <v>6711.0</v>
      </c>
      <c r="D883" s="70" t="s">
        <v>1033</v>
      </c>
      <c r="E883" s="71" t="str">
        <f>vlookup(C883,'NOC-List'!B$2:C$502,2,False)</f>
        <v>Food counter attendants, kitchen helpers and related support occupations</v>
      </c>
      <c r="F883" s="72">
        <v>4.0</v>
      </c>
      <c r="G883" s="72">
        <v>4.0</v>
      </c>
      <c r="H883" s="72">
        <v>5.0</v>
      </c>
      <c r="I883" s="72">
        <v>4.0</v>
      </c>
      <c r="J883" s="72">
        <v>4.0</v>
      </c>
      <c r="K883" s="72">
        <v>5.0</v>
      </c>
      <c r="L883" s="72">
        <v>4.0</v>
      </c>
      <c r="M883" s="72">
        <v>4.0</v>
      </c>
      <c r="N883" s="72">
        <v>4.0</v>
      </c>
      <c r="O883" s="73"/>
    </row>
    <row r="884" ht="15.75" customHeight="1">
      <c r="C884" s="34">
        <v>412.0</v>
      </c>
      <c r="D884" s="70" t="s">
        <v>1034</v>
      </c>
      <c r="E884" s="71" t="str">
        <f>vlookup(C884,'NOC-List'!B$2:C$502,2,False)</f>
        <v>Government managers - economic analysis, policy development and program administration</v>
      </c>
      <c r="F884" s="72">
        <v>2.0</v>
      </c>
      <c r="G884" s="72">
        <v>2.0</v>
      </c>
      <c r="H884" s="72">
        <v>1.0</v>
      </c>
      <c r="I884" s="72">
        <v>4.0</v>
      </c>
      <c r="J884" s="72">
        <v>4.0</v>
      </c>
      <c r="K884" s="72">
        <v>3.0</v>
      </c>
      <c r="L884" s="72">
        <v>4.0</v>
      </c>
      <c r="M884" s="72">
        <v>4.0</v>
      </c>
      <c r="N884" s="72">
        <v>4.0</v>
      </c>
      <c r="O884" s="73"/>
    </row>
    <row r="885" ht="15.75" customHeight="1">
      <c r="C885" s="34">
        <v>413.0</v>
      </c>
      <c r="D885" s="70" t="s">
        <v>1035</v>
      </c>
      <c r="E885" s="71" t="str">
        <f>vlookup(C885,'NOC-List'!B$2:C$502,2,False)</f>
        <v>Government managers - education policy development and program administration</v>
      </c>
      <c r="F885" s="72">
        <v>2.0</v>
      </c>
      <c r="G885" s="72">
        <v>1.0</v>
      </c>
      <c r="H885" s="72">
        <v>2.0</v>
      </c>
      <c r="I885" s="72">
        <v>4.0</v>
      </c>
      <c r="J885" s="72">
        <v>4.0</v>
      </c>
      <c r="K885" s="72">
        <v>3.0</v>
      </c>
      <c r="L885" s="72">
        <v>4.0</v>
      </c>
      <c r="M885" s="72">
        <v>4.0</v>
      </c>
      <c r="N885" s="72">
        <v>4.0</v>
      </c>
      <c r="O885" s="73"/>
    </row>
    <row r="886" ht="15.75" customHeight="1">
      <c r="C886" s="34">
        <v>411.0</v>
      </c>
      <c r="D886" s="70" t="s">
        <v>1036</v>
      </c>
      <c r="E886" s="71" t="str">
        <f>vlookup(C886,'NOC-List'!B$2:C$502,2,False)</f>
        <v>Government managers - health and social policy development and program administration</v>
      </c>
      <c r="F886" s="72">
        <v>2.0</v>
      </c>
      <c r="G886" s="72">
        <v>1.0</v>
      </c>
      <c r="H886" s="72">
        <v>2.0</v>
      </c>
      <c r="I886" s="72">
        <v>4.0</v>
      </c>
      <c r="J886" s="72">
        <v>4.0</v>
      </c>
      <c r="K886" s="72">
        <v>3.0</v>
      </c>
      <c r="L886" s="72">
        <v>4.0</v>
      </c>
      <c r="M886" s="72">
        <v>4.0</v>
      </c>
      <c r="N886" s="72">
        <v>4.0</v>
      </c>
      <c r="O886" s="73"/>
    </row>
    <row r="887" ht="15.75" customHeight="1">
      <c r="C887" s="81">
        <v>6721.0</v>
      </c>
      <c r="D887" s="70" t="s">
        <v>1037</v>
      </c>
      <c r="E887" s="71" t="str">
        <f>vlookup(C887,'NOC-List'!B$2:C$502,2,False)</f>
        <v>Support occupations in accommodation, travel and facilities set-up services</v>
      </c>
      <c r="F887" s="72">
        <v>4.0</v>
      </c>
      <c r="G887" s="72">
        <v>4.0</v>
      </c>
      <c r="H887" s="72">
        <v>5.0</v>
      </c>
      <c r="I887" s="72">
        <v>4.0</v>
      </c>
      <c r="J887" s="72">
        <v>4.0</v>
      </c>
      <c r="K887" s="72">
        <v>5.0</v>
      </c>
      <c r="L887" s="72">
        <v>4.0</v>
      </c>
      <c r="M887" s="72">
        <v>4.0</v>
      </c>
      <c r="N887" s="72">
        <v>4.0</v>
      </c>
      <c r="O887" s="73"/>
    </row>
    <row r="888" ht="15.75" customHeight="1">
      <c r="C888" s="34">
        <v>4169.0</v>
      </c>
      <c r="D888" s="70" t="s">
        <v>1038</v>
      </c>
      <c r="E888" s="71" t="str">
        <f>vlookup(C888,'NOC-List'!B$2:C$502,2,False)</f>
        <v>Other professional occupations in social science, n.e.c.</v>
      </c>
      <c r="F888" s="72">
        <v>1.0</v>
      </c>
      <c r="G888" s="72">
        <v>2.0</v>
      </c>
      <c r="H888" s="72">
        <v>3.0</v>
      </c>
      <c r="I888" s="72">
        <v>4.0</v>
      </c>
      <c r="J888" s="72">
        <v>4.0</v>
      </c>
      <c r="K888" s="72">
        <v>4.0</v>
      </c>
      <c r="L888" s="72">
        <v>4.0</v>
      </c>
      <c r="M888" s="72">
        <v>4.0</v>
      </c>
      <c r="N888" s="72">
        <v>4.0</v>
      </c>
      <c r="O888" s="73"/>
    </row>
    <row r="889" ht="15.75" customHeight="1">
      <c r="C889" s="34">
        <v>2141.0</v>
      </c>
      <c r="D889" s="70" t="s">
        <v>1039</v>
      </c>
      <c r="E889" s="71" t="str">
        <f>vlookup(C889,'NOC-List'!B$2:C$502,2,False)</f>
        <v>Industrial and manufacturing engineers</v>
      </c>
      <c r="F889" s="72">
        <v>1.0</v>
      </c>
      <c r="G889" s="72">
        <v>2.0</v>
      </c>
      <c r="H889" s="72">
        <v>1.0</v>
      </c>
      <c r="I889" s="72">
        <v>2.0</v>
      </c>
      <c r="J889" s="72">
        <v>2.0</v>
      </c>
      <c r="K889" s="72">
        <v>4.0</v>
      </c>
      <c r="L889" s="72">
        <v>4.0</v>
      </c>
      <c r="M889" s="72">
        <v>4.0</v>
      </c>
      <c r="N889" s="72">
        <v>4.0</v>
      </c>
      <c r="O889" s="73"/>
    </row>
    <row r="890" ht="15.75" customHeight="1">
      <c r="C890" s="34">
        <v>2174.0</v>
      </c>
      <c r="D890" s="70" t="s">
        <v>1040</v>
      </c>
      <c r="E890" s="71" t="str">
        <f>vlookup(C890,'NOC-List'!B$2:C$502,2,False)</f>
        <v>Computer programmers and interactive media developers</v>
      </c>
      <c r="F890" s="72">
        <v>1.0</v>
      </c>
      <c r="G890" s="72">
        <v>2.0</v>
      </c>
      <c r="H890" s="72">
        <v>1.0</v>
      </c>
      <c r="I890" s="72">
        <v>2.0</v>
      </c>
      <c r="J890" s="72">
        <v>3.0</v>
      </c>
      <c r="K890" s="72">
        <v>1.0</v>
      </c>
      <c r="L890" s="72">
        <v>4.0</v>
      </c>
      <c r="M890" s="72">
        <v>4.0</v>
      </c>
      <c r="N890" s="72">
        <v>4.0</v>
      </c>
      <c r="O890" s="73"/>
    </row>
    <row r="891" ht="15.75" customHeight="1">
      <c r="C891" s="34">
        <v>4112.0</v>
      </c>
      <c r="D891" s="70" t="s">
        <v>1041</v>
      </c>
      <c r="E891" s="71" t="str">
        <f>vlookup(C891,'NOC-List'!B$2:C$502,2,False)</f>
        <v>Lawyers and Quebec notaries</v>
      </c>
      <c r="F891" s="72">
        <v>1.0</v>
      </c>
      <c r="G891" s="72">
        <v>1.0</v>
      </c>
      <c r="H891" s="72">
        <v>3.0</v>
      </c>
      <c r="I891" s="72">
        <v>4.0</v>
      </c>
      <c r="J891" s="72">
        <v>4.0</v>
      </c>
      <c r="K891" s="72">
        <v>3.0</v>
      </c>
      <c r="L891" s="72">
        <v>4.0</v>
      </c>
      <c r="M891" s="72">
        <v>4.0</v>
      </c>
      <c r="N891" s="72">
        <v>4.0</v>
      </c>
      <c r="O891" s="73"/>
    </row>
    <row r="892" ht="15.75" customHeight="1">
      <c r="C892" s="34">
        <v>511.0</v>
      </c>
      <c r="D892" s="70" t="s">
        <v>1042</v>
      </c>
      <c r="E892" s="71" t="str">
        <f>vlookup(C892,'NOC-List'!B$2:C$502,2,False)</f>
        <v>Library, archive, museum and art gallery managers</v>
      </c>
      <c r="F892" s="72">
        <v>2.0</v>
      </c>
      <c r="G892" s="72">
        <v>1.0</v>
      </c>
      <c r="H892" s="72">
        <v>2.0</v>
      </c>
      <c r="I892" s="72">
        <v>4.0</v>
      </c>
      <c r="J892" s="72">
        <v>4.0</v>
      </c>
      <c r="K892" s="72">
        <v>3.0</v>
      </c>
      <c r="L892" s="72">
        <v>4.0</v>
      </c>
      <c r="M892" s="72">
        <v>4.0</v>
      </c>
      <c r="N892" s="72">
        <v>4.0</v>
      </c>
      <c r="O892" s="73"/>
    </row>
    <row r="893" ht="15.75" customHeight="1">
      <c r="C893" s="34">
        <v>423.0</v>
      </c>
      <c r="D893" s="70" t="s">
        <v>1043</v>
      </c>
      <c r="E893" s="71" t="str">
        <f>vlookup(C893,'NOC-List'!B$2:C$502,2,False)</f>
        <v>Managers in social, community and correctional services</v>
      </c>
      <c r="F893" s="72">
        <v>2.0</v>
      </c>
      <c r="G893" s="72">
        <v>1.0</v>
      </c>
      <c r="H893" s="72">
        <v>2.0</v>
      </c>
      <c r="I893" s="72">
        <v>4.0</v>
      </c>
      <c r="J893" s="72">
        <v>4.0</v>
      </c>
      <c r="K893" s="72">
        <v>3.0</v>
      </c>
      <c r="L893" s="72">
        <v>4.0</v>
      </c>
      <c r="M893" s="72">
        <v>4.0</v>
      </c>
      <c r="N893" s="72">
        <v>4.0</v>
      </c>
      <c r="O893" s="73"/>
    </row>
    <row r="894" ht="15.75" customHeight="1">
      <c r="C894" s="34">
        <v>2161.0</v>
      </c>
      <c r="D894" s="70" t="s">
        <v>1044</v>
      </c>
      <c r="E894" s="71" t="str">
        <f>vlookup(C894,'NOC-List'!B$2:C$502,2,False)</f>
        <v>Mathematicians, statisticians and actuaries</v>
      </c>
      <c r="F894" s="72">
        <v>1.0</v>
      </c>
      <c r="G894" s="72">
        <v>2.0</v>
      </c>
      <c r="H894" s="72">
        <v>1.0</v>
      </c>
      <c r="I894" s="72">
        <v>2.0</v>
      </c>
      <c r="J894" s="72">
        <v>3.0</v>
      </c>
      <c r="K894" s="72">
        <v>1.0</v>
      </c>
      <c r="L894" s="72">
        <v>4.0</v>
      </c>
      <c r="M894" s="72">
        <v>4.0</v>
      </c>
      <c r="N894" s="72">
        <v>4.0</v>
      </c>
      <c r="O894" s="73"/>
    </row>
    <row r="895" ht="15.75" customHeight="1">
      <c r="C895" s="34">
        <v>7622.0</v>
      </c>
      <c r="D895" s="70" t="s">
        <v>1045</v>
      </c>
      <c r="E895" s="71" t="str">
        <f>vlookup(C895,'NOC-List'!B$2:C$502,2,False)</f>
        <v>Railway and motor transport labourers</v>
      </c>
      <c r="F895" s="72">
        <v>4.0</v>
      </c>
      <c r="G895" s="72">
        <v>4.0</v>
      </c>
      <c r="H895" s="72">
        <v>5.0</v>
      </c>
      <c r="I895" s="72">
        <v>4.0</v>
      </c>
      <c r="J895" s="72">
        <v>4.0</v>
      </c>
      <c r="K895" s="72">
        <v>5.0</v>
      </c>
      <c r="L895" s="72">
        <v>4.0</v>
      </c>
      <c r="M895" s="72">
        <v>4.0</v>
      </c>
      <c r="N895" s="72">
        <v>4.0</v>
      </c>
      <c r="O895" s="73"/>
    </row>
    <row r="896" ht="15.75" customHeight="1">
      <c r="C896" s="34">
        <v>6742.0</v>
      </c>
      <c r="D896" s="70" t="s">
        <v>1046</v>
      </c>
      <c r="E896" s="71" t="str">
        <f>vlookup(C896,'NOC-List'!B$2:C$502,2,False)</f>
        <v>Other service support occupations, n.e.c.</v>
      </c>
      <c r="F896" s="72">
        <v>4.0</v>
      </c>
      <c r="G896" s="72">
        <v>4.0</v>
      </c>
      <c r="H896" s="72">
        <v>5.0</v>
      </c>
      <c r="I896" s="72">
        <v>4.0</v>
      </c>
      <c r="J896" s="72">
        <v>4.0</v>
      </c>
      <c r="K896" s="72">
        <v>5.0</v>
      </c>
      <c r="L896" s="72">
        <v>4.0</v>
      </c>
      <c r="M896" s="72">
        <v>4.0</v>
      </c>
      <c r="N896" s="72">
        <v>4.0</v>
      </c>
      <c r="O896" s="73"/>
    </row>
    <row r="897" ht="15.75" customHeight="1">
      <c r="C897" s="34">
        <v>4169.0</v>
      </c>
      <c r="D897" s="70" t="s">
        <v>1047</v>
      </c>
      <c r="E897" s="71" t="str">
        <f>vlookup(C897,'NOC-List'!B$2:C$502,2,False)</f>
        <v>Other professional occupations in social science, n.e.c.</v>
      </c>
      <c r="F897" s="72">
        <v>1.0</v>
      </c>
      <c r="G897" s="72">
        <v>2.0</v>
      </c>
      <c r="H897" s="72">
        <v>3.0</v>
      </c>
      <c r="I897" s="72">
        <v>4.0</v>
      </c>
      <c r="J897" s="72">
        <v>4.0</v>
      </c>
      <c r="K897" s="72">
        <v>4.0</v>
      </c>
      <c r="L897" s="72">
        <v>4.0</v>
      </c>
      <c r="M897" s="72">
        <v>4.0</v>
      </c>
      <c r="N897" s="72">
        <v>4.0</v>
      </c>
      <c r="O897" s="73"/>
    </row>
    <row r="898" ht="15.75" customHeight="1">
      <c r="C898" s="34">
        <v>4151.0</v>
      </c>
      <c r="D898" s="70" t="s">
        <v>1048</v>
      </c>
      <c r="E898" s="71" t="str">
        <f>vlookup(C898,'NOC-List'!B$2:C$502,2,False)</f>
        <v>Psychologists</v>
      </c>
      <c r="F898" s="72">
        <v>1.0</v>
      </c>
      <c r="G898" s="72">
        <v>1.0</v>
      </c>
      <c r="H898" s="72">
        <v>2.0</v>
      </c>
      <c r="I898" s="72">
        <v>3.0</v>
      </c>
      <c r="J898" s="72">
        <v>4.0</v>
      </c>
      <c r="K898" s="72">
        <v>3.0</v>
      </c>
      <c r="L898" s="72">
        <v>4.0</v>
      </c>
      <c r="M898" s="72">
        <v>4.0</v>
      </c>
      <c r="N898" s="72">
        <v>4.0</v>
      </c>
      <c r="O898" s="73"/>
    </row>
    <row r="899" ht="15.75" customHeight="1">
      <c r="C899" s="34">
        <v>4169.0</v>
      </c>
      <c r="D899" s="70" t="s">
        <v>1049</v>
      </c>
      <c r="E899" s="71" t="str">
        <f>vlookup(C899,'NOC-List'!B$2:C$502,2,False)</f>
        <v>Other professional occupations in social science, n.e.c.</v>
      </c>
      <c r="F899" s="72">
        <v>1.0</v>
      </c>
      <c r="G899" s="72">
        <v>2.0</v>
      </c>
      <c r="H899" s="72">
        <v>3.0</v>
      </c>
      <c r="I899" s="72">
        <v>4.0</v>
      </c>
      <c r="J899" s="72">
        <v>4.0</v>
      </c>
      <c r="K899" s="72">
        <v>4.0</v>
      </c>
      <c r="L899" s="72">
        <v>4.0</v>
      </c>
      <c r="M899" s="72">
        <v>4.0</v>
      </c>
      <c r="N899" s="72">
        <v>4.0</v>
      </c>
      <c r="O899" s="73"/>
    </row>
    <row r="900" ht="15.75" customHeight="1">
      <c r="C900" s="34">
        <v>7621.0</v>
      </c>
      <c r="D900" s="70" t="s">
        <v>1050</v>
      </c>
      <c r="E900" s="71" t="str">
        <f>vlookup(C900,'NOC-List'!B$2:C$502,2,False)</f>
        <v>Public works and maintenance labourers</v>
      </c>
      <c r="F900" s="72">
        <v>4.0</v>
      </c>
      <c r="G900" s="72">
        <v>4.0</v>
      </c>
      <c r="H900" s="72">
        <v>5.0</v>
      </c>
      <c r="I900" s="72">
        <v>4.0</v>
      </c>
      <c r="J900" s="72">
        <v>4.0</v>
      </c>
      <c r="K900" s="72">
        <v>5.0</v>
      </c>
      <c r="L900" s="72">
        <v>4.0</v>
      </c>
      <c r="M900" s="72">
        <v>4.0</v>
      </c>
      <c r="N900" s="72">
        <v>4.0</v>
      </c>
      <c r="O900" s="73"/>
    </row>
    <row r="901" ht="15.75" customHeight="1">
      <c r="C901" s="34">
        <v>7622.0</v>
      </c>
      <c r="D901" s="70" t="s">
        <v>1051</v>
      </c>
      <c r="E901" s="71" t="str">
        <f>vlookup(C901,'NOC-List'!B$2:C$502,2,False)</f>
        <v>Railway and motor transport labourers</v>
      </c>
      <c r="F901" s="72">
        <v>4.0</v>
      </c>
      <c r="G901" s="72">
        <v>4.0</v>
      </c>
      <c r="H901" s="72">
        <v>5.0</v>
      </c>
      <c r="I901" s="72">
        <v>4.0</v>
      </c>
      <c r="J901" s="72">
        <v>4.0</v>
      </c>
      <c r="K901" s="72">
        <v>5.0</v>
      </c>
      <c r="L901" s="72">
        <v>4.0</v>
      </c>
      <c r="M901" s="72">
        <v>4.0</v>
      </c>
      <c r="N901" s="72">
        <v>4.0</v>
      </c>
      <c r="O901" s="73"/>
    </row>
    <row r="902" ht="15.75" customHeight="1">
      <c r="C902" s="34">
        <v>421.0</v>
      </c>
      <c r="D902" s="70" t="s">
        <v>1052</v>
      </c>
      <c r="E902" s="71" t="str">
        <f>vlookup(C902,'NOC-List'!B$2:C$502,2,False)</f>
        <v>Administrators - post-secondary education and vocational training</v>
      </c>
      <c r="F902" s="72">
        <v>1.0</v>
      </c>
      <c r="G902" s="72">
        <v>2.0</v>
      </c>
      <c r="H902" s="72">
        <v>2.0</v>
      </c>
      <c r="I902" s="72">
        <v>4.0</v>
      </c>
      <c r="J902" s="72">
        <v>4.0</v>
      </c>
      <c r="K902" s="72">
        <v>3.0</v>
      </c>
      <c r="L902" s="72">
        <v>4.0</v>
      </c>
      <c r="M902" s="72">
        <v>4.0</v>
      </c>
      <c r="N902" s="72">
        <v>4.0</v>
      </c>
      <c r="O902" s="73"/>
    </row>
    <row r="903" ht="15.75" customHeight="1">
      <c r="C903" s="34">
        <v>422.0</v>
      </c>
      <c r="D903" s="70" t="s">
        <v>1053</v>
      </c>
      <c r="E903" s="71" t="str">
        <f>vlookup(C903,'NOC-List'!B$2:C$502,2,False)</f>
        <v>School principals and administrators of elementary and secondary education</v>
      </c>
      <c r="F903" s="72">
        <v>1.0</v>
      </c>
      <c r="G903" s="72">
        <v>2.0</v>
      </c>
      <c r="H903" s="72">
        <v>2.0</v>
      </c>
      <c r="I903" s="72">
        <v>4.0</v>
      </c>
      <c r="J903" s="72">
        <v>4.0</v>
      </c>
      <c r="K903" s="72">
        <v>3.0</v>
      </c>
      <c r="L903" s="72">
        <v>4.0</v>
      </c>
      <c r="M903" s="72">
        <v>4.0</v>
      </c>
      <c r="N903" s="72">
        <v>4.0</v>
      </c>
      <c r="O903" s="73"/>
    </row>
    <row r="904" ht="15.75" customHeight="1">
      <c r="C904" s="81">
        <v>912.0</v>
      </c>
      <c r="D904" s="70" t="s">
        <v>1054</v>
      </c>
      <c r="E904" s="71" t="str">
        <f>vlookup(C904,'NOC-List'!B$2:C$502,2,False)</f>
        <v>Utilities managers</v>
      </c>
      <c r="F904" s="72">
        <v>1.0</v>
      </c>
      <c r="G904" s="72">
        <v>2.0</v>
      </c>
      <c r="H904" s="72">
        <v>2.0</v>
      </c>
      <c r="I904" s="72">
        <v>4.0</v>
      </c>
      <c r="J904" s="72">
        <v>4.0</v>
      </c>
      <c r="K904" s="72">
        <v>3.0</v>
      </c>
      <c r="L904" s="72">
        <v>4.0</v>
      </c>
      <c r="M904" s="72">
        <v>4.0</v>
      </c>
      <c r="N904" s="72">
        <v>4.0</v>
      </c>
      <c r="O904" s="73"/>
    </row>
    <row r="905" ht="15.75" customHeight="1">
      <c r="C905" s="34">
        <v>15.0</v>
      </c>
      <c r="D905" s="70" t="s">
        <v>1055</v>
      </c>
      <c r="E905" s="71" t="str">
        <f>vlookup(C905,'NOC-List'!B$2:C$502,2,False)</f>
        <v>Senior managers - trade, broadcasting and other services, n.e.c.</v>
      </c>
      <c r="F905" s="72">
        <v>1.0</v>
      </c>
      <c r="G905" s="72">
        <v>2.0</v>
      </c>
      <c r="H905" s="72">
        <v>2.0</v>
      </c>
      <c r="I905" s="72">
        <v>4.0</v>
      </c>
      <c r="J905" s="72">
        <v>4.0</v>
      </c>
      <c r="K905" s="72">
        <v>3.0</v>
      </c>
      <c r="L905" s="72">
        <v>4.0</v>
      </c>
      <c r="M905" s="72">
        <v>4.0</v>
      </c>
      <c r="N905" s="72">
        <v>4.0</v>
      </c>
      <c r="O905" s="73"/>
    </row>
    <row r="906" ht="15.75" customHeight="1">
      <c r="C906" s="34">
        <v>2161.0</v>
      </c>
      <c r="D906" s="70" t="s">
        <v>1056</v>
      </c>
      <c r="E906" s="71" t="str">
        <f>vlookup(C906,'NOC-List'!B$2:C$502,2,False)</f>
        <v>Mathematicians, statisticians and actuaries</v>
      </c>
      <c r="F906" s="72">
        <v>1.0</v>
      </c>
      <c r="G906" s="72">
        <v>2.0</v>
      </c>
      <c r="H906" s="72">
        <v>1.0</v>
      </c>
      <c r="I906" s="72">
        <v>2.0</v>
      </c>
      <c r="J906" s="72">
        <v>3.0</v>
      </c>
      <c r="K906" s="72">
        <v>1.0</v>
      </c>
      <c r="L906" s="72">
        <v>4.0</v>
      </c>
      <c r="M906" s="72">
        <v>4.0</v>
      </c>
      <c r="N906" s="72">
        <v>4.0</v>
      </c>
      <c r="O906" s="73"/>
    </row>
    <row r="907" ht="15.75" customHeight="1">
      <c r="C907" s="81">
        <v>1212.0</v>
      </c>
      <c r="D907" s="70" t="s">
        <v>1057</v>
      </c>
      <c r="E907" s="71" t="str">
        <f>vlookup(C907,'NOC-List'!B$2:C$502,2,False)</f>
        <v>Supervisors, finance and insurance office workers</v>
      </c>
      <c r="F907" s="72">
        <v>3.0</v>
      </c>
      <c r="G907" s="72">
        <v>3.0</v>
      </c>
      <c r="H907" s="72">
        <v>2.0</v>
      </c>
      <c r="I907" s="72">
        <v>4.0</v>
      </c>
      <c r="J907" s="72">
        <v>4.0</v>
      </c>
      <c r="K907" s="72">
        <v>2.0</v>
      </c>
      <c r="L907" s="72">
        <v>4.0</v>
      </c>
      <c r="M907" s="72">
        <v>4.0</v>
      </c>
      <c r="N907" s="72">
        <v>4.0</v>
      </c>
      <c r="O907" s="73"/>
    </row>
    <row r="908" ht="15.75" customHeight="1">
      <c r="C908" s="81">
        <v>6623.0</v>
      </c>
      <c r="D908" s="70" t="s">
        <v>1058</v>
      </c>
      <c r="E908" s="71" t="str">
        <f>vlookup(C908,'NOC-List'!B$2:C$502,2,False)</f>
        <v>Other sales related occupations</v>
      </c>
      <c r="F908" s="72">
        <v>4.0</v>
      </c>
      <c r="G908" s="72">
        <v>3.0</v>
      </c>
      <c r="H908" s="72">
        <v>4.0</v>
      </c>
      <c r="I908" s="72">
        <v>5.0</v>
      </c>
      <c r="J908" s="72">
        <v>4.0</v>
      </c>
      <c r="K908" s="72">
        <v>4.0</v>
      </c>
      <c r="L908" s="72">
        <v>4.0</v>
      </c>
      <c r="M908" s="72">
        <v>4.0</v>
      </c>
      <c r="N908" s="72">
        <v>4.0</v>
      </c>
      <c r="O908" s="73"/>
    </row>
    <row r="909" ht="15.75" customHeight="1">
      <c r="C909" s="34">
        <v>1111.0</v>
      </c>
      <c r="D909" s="70" t="s">
        <v>1059</v>
      </c>
      <c r="E909" s="71" t="str">
        <f>vlookup(C909,'NOC-List'!B$2:C$502,2,False)</f>
        <v>Financial auditors and accountants</v>
      </c>
      <c r="F909" s="72">
        <v>2.0</v>
      </c>
      <c r="G909" s="72">
        <v>2.0</v>
      </c>
      <c r="H909" s="72">
        <v>1.0</v>
      </c>
      <c r="I909" s="72">
        <v>4.0</v>
      </c>
      <c r="J909" s="72">
        <v>4.0</v>
      </c>
      <c r="K909" s="72">
        <v>2.0</v>
      </c>
      <c r="L909" s="72">
        <v>4.0</v>
      </c>
      <c r="M909" s="72">
        <v>4.0</v>
      </c>
      <c r="N909" s="72">
        <v>4.0</v>
      </c>
      <c r="O909" s="73"/>
    </row>
    <row r="910" ht="15.75" customHeight="1">
      <c r="C910" s="34">
        <v>2146.0</v>
      </c>
      <c r="D910" s="70" t="s">
        <v>1060</v>
      </c>
      <c r="E910" s="71" t="str">
        <f>vlookup(C910,'NOC-List'!B$2:C$502,2,False)</f>
        <v>Aerospace engineers</v>
      </c>
      <c r="F910" s="72">
        <v>1.0</v>
      </c>
      <c r="G910" s="72">
        <v>1.0</v>
      </c>
      <c r="H910" s="72">
        <v>1.0</v>
      </c>
      <c r="I910" s="72">
        <v>2.0</v>
      </c>
      <c r="J910" s="72">
        <v>2.0</v>
      </c>
      <c r="K910" s="72">
        <v>4.0</v>
      </c>
      <c r="L910" s="72">
        <v>4.0</v>
      </c>
      <c r="M910" s="72">
        <v>4.0</v>
      </c>
      <c r="N910" s="72">
        <v>4.0</v>
      </c>
      <c r="O910" s="73"/>
    </row>
    <row r="911" ht="15.75" customHeight="1">
      <c r="C911" s="81">
        <v>122.0</v>
      </c>
      <c r="D911" s="70" t="s">
        <v>1061</v>
      </c>
      <c r="E911" s="71" t="str">
        <f>vlookup(C911,'NOC-List'!B$2:C$502,2,False)</f>
        <v>Banking, credit and other investment managers</v>
      </c>
      <c r="F911" s="72">
        <v>1.0</v>
      </c>
      <c r="G911" s="72">
        <v>2.0</v>
      </c>
      <c r="H911" s="72">
        <v>1.0</v>
      </c>
      <c r="I911" s="72">
        <v>4.0</v>
      </c>
      <c r="J911" s="72">
        <v>4.0</v>
      </c>
      <c r="K911" s="72">
        <v>3.0</v>
      </c>
      <c r="L911" s="72">
        <v>4.0</v>
      </c>
      <c r="M911" s="72">
        <v>4.0</v>
      </c>
      <c r="N911" s="72">
        <v>4.0</v>
      </c>
      <c r="O911" s="73"/>
    </row>
    <row r="912" ht="15.75" customHeight="1">
      <c r="C912" s="81">
        <v>1114.0</v>
      </c>
      <c r="D912" s="70" t="s">
        <v>1062</v>
      </c>
      <c r="E912" s="71" t="str">
        <f>vlookup(C912,'NOC-List'!B$2:C$502,2,False)</f>
        <v>Other financial officers</v>
      </c>
      <c r="F912" s="72">
        <v>1.0</v>
      </c>
      <c r="G912" s="72">
        <v>2.0</v>
      </c>
      <c r="H912" s="72">
        <v>1.0</v>
      </c>
      <c r="I912" s="72">
        <v>4.0</v>
      </c>
      <c r="J912" s="72">
        <v>4.0</v>
      </c>
      <c r="K912" s="72">
        <v>3.0</v>
      </c>
      <c r="L912" s="72">
        <v>4.0</v>
      </c>
      <c r="M912" s="72">
        <v>4.0</v>
      </c>
      <c r="N912" s="72">
        <v>4.0</v>
      </c>
      <c r="O912" s="73"/>
    </row>
    <row r="913" ht="15.75" customHeight="1">
      <c r="C913" s="34">
        <v>4162.0</v>
      </c>
      <c r="D913" s="70" t="s">
        <v>1063</v>
      </c>
      <c r="E913" s="71" t="str">
        <f>vlookup(C913,'NOC-List'!B$2:C$502,2,False)</f>
        <v>Economists and economic policy researchers and analysts</v>
      </c>
      <c r="F913" s="72">
        <v>1.0</v>
      </c>
      <c r="G913" s="72">
        <v>2.0</v>
      </c>
      <c r="H913" s="72">
        <v>1.0</v>
      </c>
      <c r="I913" s="72">
        <v>4.0</v>
      </c>
      <c r="J913" s="72">
        <v>4.0</v>
      </c>
      <c r="K913" s="72">
        <v>3.0</v>
      </c>
      <c r="L913" s="72">
        <v>4.0</v>
      </c>
      <c r="M913" s="72">
        <v>4.0</v>
      </c>
      <c r="N913" s="72">
        <v>4.0</v>
      </c>
      <c r="O913" s="73"/>
    </row>
    <row r="914" ht="15.75" customHeight="1">
      <c r="C914" s="34">
        <v>421.0</v>
      </c>
      <c r="D914" s="70" t="s">
        <v>1064</v>
      </c>
      <c r="E914" s="71" t="str">
        <f>vlookup(C914,'NOC-List'!B$2:C$502,2,False)</f>
        <v>Administrators - post-secondary education and vocational training</v>
      </c>
      <c r="F914" s="72">
        <v>1.0</v>
      </c>
      <c r="G914" s="72">
        <v>1.0</v>
      </c>
      <c r="H914" s="72">
        <v>2.0</v>
      </c>
      <c r="I914" s="72">
        <v>4.0</v>
      </c>
      <c r="J914" s="72">
        <v>4.0</v>
      </c>
      <c r="K914" s="72">
        <v>3.0</v>
      </c>
      <c r="L914" s="72">
        <v>4.0</v>
      </c>
      <c r="M914" s="72">
        <v>4.0</v>
      </c>
      <c r="N914" s="72">
        <v>4.0</v>
      </c>
      <c r="O914" s="73"/>
    </row>
    <row r="915" ht="15.75" customHeight="1">
      <c r="C915" s="81">
        <v>1254.0</v>
      </c>
      <c r="D915" s="70" t="s">
        <v>1065</v>
      </c>
      <c r="E915" s="71" t="str">
        <f>vlookup(C915,'NOC-List'!B$2:C$502,2,False)</f>
        <v>Statistical officers and related research support occupations</v>
      </c>
      <c r="F915" s="72">
        <v>2.0</v>
      </c>
      <c r="G915" s="72">
        <v>2.0</v>
      </c>
      <c r="H915" s="72">
        <v>1.0</v>
      </c>
      <c r="I915" s="72">
        <v>4.0</v>
      </c>
      <c r="J915" s="72">
        <v>4.0</v>
      </c>
      <c r="K915" s="72">
        <v>2.0</v>
      </c>
      <c r="L915" s="72">
        <v>4.0</v>
      </c>
      <c r="M915" s="72">
        <v>4.0</v>
      </c>
      <c r="N915" s="72">
        <v>4.0</v>
      </c>
      <c r="O915" s="73"/>
    </row>
    <row r="916" ht="15.75" customHeight="1">
      <c r="C916" s="34">
        <v>111.0</v>
      </c>
      <c r="D916" s="70" t="s">
        <v>1066</v>
      </c>
      <c r="E916" s="71" t="str">
        <f>vlookup(C916,'NOC-List'!B$2:C$502,2,False)</f>
        <v>Financial managers</v>
      </c>
      <c r="F916" s="72">
        <v>1.0</v>
      </c>
      <c r="G916" s="72">
        <v>2.0</v>
      </c>
      <c r="H916" s="72">
        <v>1.0</v>
      </c>
      <c r="I916" s="72">
        <v>4.0</v>
      </c>
      <c r="J916" s="72">
        <v>4.0</v>
      </c>
      <c r="K916" s="72">
        <v>3.0</v>
      </c>
      <c r="L916" s="72">
        <v>4.0</v>
      </c>
      <c r="M916" s="72">
        <v>4.0</v>
      </c>
      <c r="N916" s="72">
        <v>4.0</v>
      </c>
      <c r="O916" s="73"/>
    </row>
    <row r="917" ht="15.75" customHeight="1">
      <c r="C917" s="34">
        <v>4169.0</v>
      </c>
      <c r="D917" s="70" t="s">
        <v>1067</v>
      </c>
      <c r="E917" s="71" t="str">
        <f>vlookup(C917,'NOC-List'!B$2:C$502,2,False)</f>
        <v>Other professional occupations in social science, n.e.c.</v>
      </c>
      <c r="F917" s="72">
        <v>1.0</v>
      </c>
      <c r="G917" s="72">
        <v>2.0</v>
      </c>
      <c r="H917" s="72">
        <v>2.0</v>
      </c>
      <c r="I917" s="72">
        <v>4.0</v>
      </c>
      <c r="J917" s="72">
        <v>4.0</v>
      </c>
      <c r="K917" s="72">
        <v>4.0</v>
      </c>
      <c r="L917" s="72">
        <v>4.0</v>
      </c>
      <c r="M917" s="72">
        <v>4.0</v>
      </c>
      <c r="N917" s="72">
        <v>4.0</v>
      </c>
      <c r="O917" s="73"/>
    </row>
    <row r="918" ht="15.75" customHeight="1">
      <c r="C918" s="34">
        <v>112.0</v>
      </c>
      <c r="D918" s="70" t="s">
        <v>1068</v>
      </c>
      <c r="E918" s="71" t="str">
        <f>vlookup(C918,'NOC-List'!B$2:C$502,2,False)</f>
        <v>Human resources managers</v>
      </c>
      <c r="F918" s="72">
        <v>1.0</v>
      </c>
      <c r="G918" s="72">
        <v>1.0</v>
      </c>
      <c r="H918" s="72">
        <v>2.0</v>
      </c>
      <c r="I918" s="72">
        <v>4.0</v>
      </c>
      <c r="J918" s="72">
        <v>4.0</v>
      </c>
      <c r="K918" s="72">
        <v>3.0</v>
      </c>
      <c r="L918" s="72">
        <v>4.0</v>
      </c>
      <c r="M918" s="72">
        <v>4.0</v>
      </c>
      <c r="N918" s="72">
        <v>4.0</v>
      </c>
      <c r="O918" s="73"/>
    </row>
    <row r="919" ht="15.75" customHeight="1">
      <c r="C919" s="34">
        <v>1112.0</v>
      </c>
      <c r="D919" s="70" t="s">
        <v>1069</v>
      </c>
      <c r="E919" s="71" t="str">
        <f>vlookup(C919,'NOC-List'!B$2:C$502,2,False)</f>
        <v>Financial and investment analysts</v>
      </c>
      <c r="F919" s="72">
        <v>2.0</v>
      </c>
      <c r="G919" s="72">
        <v>2.0</v>
      </c>
      <c r="H919" s="72">
        <v>1.0</v>
      </c>
      <c r="I919" s="72">
        <v>4.0</v>
      </c>
      <c r="J919" s="72">
        <v>4.0</v>
      </c>
      <c r="K919" s="72">
        <v>2.0</v>
      </c>
      <c r="L919" s="72">
        <v>4.0</v>
      </c>
      <c r="M919" s="72">
        <v>4.0</v>
      </c>
      <c r="N919" s="72">
        <v>4.0</v>
      </c>
      <c r="O919" s="73"/>
    </row>
    <row r="920" ht="15.75" customHeight="1">
      <c r="C920" s="34">
        <v>4111.0</v>
      </c>
      <c r="D920" s="70" t="s">
        <v>1070</v>
      </c>
      <c r="E920" s="71" t="str">
        <f>vlookup(C920,'NOC-List'!B$2:C$502,2,False)</f>
        <v>Judges</v>
      </c>
      <c r="F920" s="72">
        <v>1.0</v>
      </c>
      <c r="G920" s="72">
        <v>1.0</v>
      </c>
      <c r="H920" s="72">
        <v>3.0</v>
      </c>
      <c r="I920" s="72">
        <v>4.0</v>
      </c>
      <c r="J920" s="72">
        <v>4.0</v>
      </c>
      <c r="K920" s="72">
        <v>4.0</v>
      </c>
      <c r="L920" s="72">
        <v>4.0</v>
      </c>
      <c r="M920" s="72">
        <v>4.0</v>
      </c>
      <c r="N920" s="72">
        <v>4.0</v>
      </c>
      <c r="O920" s="73"/>
    </row>
    <row r="921" ht="15.75" customHeight="1">
      <c r="C921" s="34">
        <v>4169.0</v>
      </c>
      <c r="D921" s="70" t="s">
        <v>1071</v>
      </c>
      <c r="E921" s="71" t="str">
        <f>vlookup(C921,'NOC-List'!B$2:C$502,2,False)</f>
        <v>Other professional occupations in social science, n.e.c.</v>
      </c>
      <c r="F921" s="72">
        <v>1.0</v>
      </c>
      <c r="G921" s="72">
        <v>1.0</v>
      </c>
      <c r="H921" s="72">
        <v>3.0</v>
      </c>
      <c r="I921" s="72">
        <v>4.0</v>
      </c>
      <c r="J921" s="72">
        <v>4.0</v>
      </c>
      <c r="K921" s="72">
        <v>4.0</v>
      </c>
      <c r="L921" s="72">
        <v>4.0</v>
      </c>
      <c r="M921" s="72">
        <v>4.0</v>
      </c>
      <c r="N921" s="72">
        <v>4.0</v>
      </c>
      <c r="O921" s="73"/>
    </row>
    <row r="922" ht="15.75" customHeight="1">
      <c r="C922" s="34">
        <v>311.0</v>
      </c>
      <c r="D922" s="70" t="s">
        <v>1072</v>
      </c>
      <c r="E922" s="71" t="str">
        <f>vlookup(C922,'NOC-List'!B$2:C$502,2,False)</f>
        <v>Managers in health care</v>
      </c>
      <c r="F922" s="72">
        <v>1.0</v>
      </c>
      <c r="G922" s="72">
        <v>1.0</v>
      </c>
      <c r="H922" s="72">
        <v>2.0</v>
      </c>
      <c r="I922" s="72">
        <v>4.0</v>
      </c>
      <c r="J922" s="72">
        <v>4.0</v>
      </c>
      <c r="K922" s="72">
        <v>3.0</v>
      </c>
      <c r="L922" s="72">
        <v>4.0</v>
      </c>
      <c r="M922" s="72">
        <v>4.0</v>
      </c>
      <c r="N922" s="72">
        <v>4.0</v>
      </c>
      <c r="O922" s="73"/>
    </row>
    <row r="923" ht="15.75" customHeight="1">
      <c r="C923" s="34">
        <v>4169.0</v>
      </c>
      <c r="D923" s="70" t="s">
        <v>1073</v>
      </c>
      <c r="E923" s="71" t="str">
        <f>vlookup(C923,'NOC-List'!B$2:C$502,2,False)</f>
        <v>Other professional occupations in social science, n.e.c.</v>
      </c>
      <c r="F923" s="72">
        <v>1.0</v>
      </c>
      <c r="G923" s="72">
        <v>1.0</v>
      </c>
      <c r="H923" s="72">
        <v>3.0</v>
      </c>
      <c r="I923" s="72">
        <v>4.0</v>
      </c>
      <c r="J923" s="72">
        <v>4.0</v>
      </c>
      <c r="K923" s="72">
        <v>4.0</v>
      </c>
      <c r="L923" s="72">
        <v>4.0</v>
      </c>
      <c r="M923" s="72">
        <v>4.0</v>
      </c>
      <c r="N923" s="72">
        <v>4.0</v>
      </c>
      <c r="O923" s="73"/>
    </row>
    <row r="924" ht="15.75" customHeight="1">
      <c r="C924" s="34">
        <v>12.0</v>
      </c>
      <c r="D924" s="70" t="s">
        <v>1074</v>
      </c>
      <c r="E924" s="71" t="str">
        <f>vlookup(C924,'NOC-List'!B$2:C$502,2,False)</f>
        <v>Senior government managers and officials</v>
      </c>
      <c r="F924" s="72">
        <v>1.0</v>
      </c>
      <c r="G924" s="72">
        <v>1.0</v>
      </c>
      <c r="H924" s="72">
        <v>2.0</v>
      </c>
      <c r="I924" s="72">
        <v>4.0</v>
      </c>
      <c r="J924" s="72">
        <v>4.0</v>
      </c>
      <c r="K924" s="72">
        <v>3.0</v>
      </c>
      <c r="L924" s="72">
        <v>4.0</v>
      </c>
      <c r="M924" s="72">
        <v>4.0</v>
      </c>
      <c r="N924" s="72">
        <v>4.0</v>
      </c>
      <c r="O924" s="73"/>
      <c r="AA924" s="34">
        <v>1.0</v>
      </c>
    </row>
    <row r="925" ht="15.75" customHeight="1">
      <c r="C925" s="34">
        <v>13.0</v>
      </c>
      <c r="D925" s="70" t="s">
        <v>1075</v>
      </c>
      <c r="E925" s="71" t="str">
        <f>vlookup(C925,'NOC-List'!B$2:C$502,2,False)</f>
        <v>Senior managers - financial, communications and other business services</v>
      </c>
      <c r="F925" s="72">
        <v>1.0</v>
      </c>
      <c r="G925" s="72">
        <v>2.0</v>
      </c>
      <c r="H925" s="72">
        <v>1.0</v>
      </c>
      <c r="I925" s="72">
        <v>4.0</v>
      </c>
      <c r="J925" s="72">
        <v>4.0</v>
      </c>
      <c r="K925" s="72">
        <v>3.0</v>
      </c>
      <c r="L925" s="72">
        <v>4.0</v>
      </c>
      <c r="M925" s="72">
        <v>4.0</v>
      </c>
      <c r="N925" s="72">
        <v>4.0</v>
      </c>
      <c r="O925" s="73"/>
      <c r="AA925" s="34">
        <v>2.0</v>
      </c>
    </row>
    <row r="926" ht="15.75" customHeight="1">
      <c r="C926" s="34">
        <v>14.0</v>
      </c>
      <c r="D926" s="70" t="s">
        <v>1076</v>
      </c>
      <c r="E926" s="71" t="str">
        <f>vlookup(C926,'NOC-List'!B$2:C$502,2,False)</f>
        <v>Senior managers - health, education, social and community services and membership organizations</v>
      </c>
      <c r="F926" s="72">
        <v>1.0</v>
      </c>
      <c r="G926" s="72">
        <v>1.0</v>
      </c>
      <c r="H926" s="72">
        <v>2.0</v>
      </c>
      <c r="I926" s="72">
        <v>4.0</v>
      </c>
      <c r="J926" s="72">
        <v>4.0</v>
      </c>
      <c r="K926" s="72">
        <v>3.0</v>
      </c>
      <c r="L926" s="72">
        <v>4.0</v>
      </c>
      <c r="M926" s="72">
        <v>4.0</v>
      </c>
      <c r="N926" s="72">
        <v>4.0</v>
      </c>
      <c r="O926" s="73"/>
      <c r="AA926" s="34">
        <v>3.0</v>
      </c>
    </row>
    <row r="927" ht="15.75" customHeight="1">
      <c r="C927" s="34">
        <v>4169.0</v>
      </c>
      <c r="D927" s="70" t="s">
        <v>1077</v>
      </c>
      <c r="E927" s="71" t="str">
        <f>vlookup(C927,'NOC-List'!B$2:C$502,2,False)</f>
        <v>Other professional occupations in social science, n.e.c.</v>
      </c>
      <c r="F927" s="72">
        <v>1.0</v>
      </c>
      <c r="G927" s="72">
        <v>1.0</v>
      </c>
      <c r="H927" s="72">
        <v>3.0</v>
      </c>
      <c r="I927" s="72">
        <v>4.0</v>
      </c>
      <c r="J927" s="72">
        <v>4.0</v>
      </c>
      <c r="K927" s="72">
        <v>4.0</v>
      </c>
      <c r="L927" s="72">
        <v>4.0</v>
      </c>
      <c r="M927" s="72">
        <v>4.0</v>
      </c>
      <c r="N927" s="72">
        <v>4.0</v>
      </c>
      <c r="O927" s="73"/>
      <c r="AA927" s="34">
        <v>4.0</v>
      </c>
    </row>
    <row r="928" ht="15.75" customHeight="1">
      <c r="C928" s="34">
        <v>1111.0</v>
      </c>
      <c r="D928" s="70" t="s">
        <v>1078</v>
      </c>
      <c r="E928" s="71" t="str">
        <f>vlookup(C928,'NOC-List'!B$2:C$502,2,False)</f>
        <v>Financial auditors and accountants</v>
      </c>
      <c r="F928" s="72">
        <v>2.0</v>
      </c>
      <c r="G928" s="72">
        <v>2.0</v>
      </c>
      <c r="H928" s="72">
        <v>1.0</v>
      </c>
      <c r="I928" s="72">
        <v>4.0</v>
      </c>
      <c r="J928" s="72">
        <v>4.0</v>
      </c>
      <c r="K928" s="72">
        <v>1.0</v>
      </c>
      <c r="L928" s="72">
        <v>4.0</v>
      </c>
      <c r="M928" s="72">
        <v>4.0</v>
      </c>
      <c r="N928" s="72">
        <v>4.0</v>
      </c>
      <c r="O928" s="73"/>
      <c r="AA928" s="34">
        <v>5.0</v>
      </c>
      <c r="AB928" s="84">
        <f>35/(928*9)</f>
        <v>0.004190613027</v>
      </c>
    </row>
    <row r="929" ht="15.75" customHeight="1">
      <c r="E929" s="58"/>
      <c r="O929" s="73"/>
      <c r="AB929" s="35">
        <f>countif(F6:N928,1)</f>
        <v>236</v>
      </c>
    </row>
    <row r="930" ht="15.75" customHeight="1">
      <c r="E930" s="58"/>
      <c r="O930" s="73"/>
    </row>
    <row r="931" ht="15.75" customHeight="1">
      <c r="E931" s="58"/>
      <c r="O931" s="73"/>
    </row>
    <row r="932" ht="15.75" customHeight="1">
      <c r="E932" s="58"/>
      <c r="O932" s="73"/>
    </row>
    <row r="933" ht="15.75" customHeight="1">
      <c r="E933" s="58"/>
      <c r="O933" s="73"/>
    </row>
    <row r="934" ht="15.75" customHeight="1">
      <c r="E934" s="58"/>
      <c r="O934" s="73"/>
    </row>
    <row r="935" ht="15.75" customHeight="1">
      <c r="E935" s="58"/>
      <c r="O935" s="73"/>
    </row>
    <row r="936" ht="15.75" customHeight="1">
      <c r="E936" s="58"/>
      <c r="O936" s="73"/>
    </row>
    <row r="937" ht="15.75" customHeight="1">
      <c r="E937" s="58"/>
      <c r="O937" s="73"/>
    </row>
    <row r="938" ht="15.75" customHeight="1">
      <c r="E938" s="58"/>
      <c r="O938" s="73"/>
    </row>
    <row r="939" ht="15.75" customHeight="1">
      <c r="E939" s="58"/>
      <c r="O939" s="73"/>
    </row>
    <row r="940" ht="15.75" customHeight="1">
      <c r="E940" s="58"/>
      <c r="O940" s="73"/>
    </row>
    <row r="941" ht="15.75" customHeight="1">
      <c r="E941" s="58"/>
      <c r="O941" s="73"/>
    </row>
    <row r="942" ht="15.75" customHeight="1">
      <c r="E942" s="58"/>
      <c r="O942" s="73"/>
    </row>
    <row r="943" ht="15.75" customHeight="1">
      <c r="E943" s="58"/>
      <c r="O943" s="73"/>
    </row>
    <row r="944" ht="15.75" customHeight="1">
      <c r="E944" s="58"/>
      <c r="O944" s="73"/>
    </row>
    <row r="945" ht="15.75" customHeight="1">
      <c r="E945" s="58"/>
      <c r="O945" s="73"/>
    </row>
    <row r="946" ht="15.75" customHeight="1">
      <c r="E946" s="58"/>
      <c r="O946" s="73"/>
    </row>
    <row r="947" ht="15.75" customHeight="1">
      <c r="E947" s="58"/>
      <c r="O947" s="73"/>
    </row>
    <row r="948" ht="15.75" customHeight="1">
      <c r="E948" s="58"/>
      <c r="O948" s="73"/>
    </row>
    <row r="949" ht="15.75" customHeight="1">
      <c r="E949" s="58"/>
      <c r="O949" s="73"/>
    </row>
    <row r="950" ht="15.75" customHeight="1">
      <c r="E950" s="58"/>
      <c r="O950" s="73"/>
    </row>
    <row r="951" ht="15.75" customHeight="1">
      <c r="E951" s="58"/>
      <c r="O951" s="73"/>
    </row>
    <row r="952" ht="15.75" customHeight="1">
      <c r="E952" s="58"/>
      <c r="O952" s="73"/>
    </row>
    <row r="953" ht="15.75" customHeight="1">
      <c r="E953" s="58"/>
      <c r="O953" s="73"/>
    </row>
    <row r="954" ht="15.75" customHeight="1">
      <c r="E954" s="58"/>
      <c r="O954" s="73"/>
    </row>
    <row r="955" ht="15.75" customHeight="1">
      <c r="E955" s="58"/>
      <c r="O955" s="73"/>
    </row>
    <row r="956" ht="15.75" customHeight="1">
      <c r="E956" s="58"/>
      <c r="O956" s="73"/>
    </row>
    <row r="957" ht="15.75" customHeight="1">
      <c r="E957" s="58"/>
      <c r="O957" s="73"/>
    </row>
    <row r="958" ht="15.75" customHeight="1">
      <c r="E958" s="58"/>
      <c r="O958" s="73"/>
    </row>
    <row r="959" ht="15.75" customHeight="1">
      <c r="E959" s="58"/>
      <c r="O959" s="73"/>
    </row>
    <row r="960" ht="15.75" customHeight="1">
      <c r="E960" s="58"/>
      <c r="O960" s="73"/>
    </row>
    <row r="961" ht="15.75" customHeight="1">
      <c r="E961" s="58"/>
      <c r="O961" s="73"/>
    </row>
    <row r="962" ht="15.75" customHeight="1">
      <c r="E962" s="58"/>
      <c r="O962" s="73"/>
    </row>
    <row r="963" ht="15.75" customHeight="1">
      <c r="E963" s="58"/>
      <c r="O963" s="73"/>
    </row>
    <row r="964" ht="15.75" customHeight="1">
      <c r="E964" s="58"/>
      <c r="O964" s="73"/>
    </row>
    <row r="965" ht="15.75" customHeight="1">
      <c r="E965" s="58"/>
      <c r="O965" s="73"/>
    </row>
    <row r="966" ht="15.75" customHeight="1">
      <c r="E966" s="58"/>
      <c r="O966" s="73"/>
    </row>
    <row r="967" ht="15.75" customHeight="1">
      <c r="E967" s="58"/>
      <c r="O967" s="73"/>
    </row>
    <row r="968" ht="15.75" customHeight="1">
      <c r="E968" s="58"/>
      <c r="O968" s="73"/>
    </row>
    <row r="969" ht="15.75" customHeight="1">
      <c r="E969" s="58"/>
      <c r="O969" s="58"/>
    </row>
    <row r="970" ht="15.75" customHeight="1">
      <c r="E970" s="58"/>
      <c r="O970" s="58"/>
    </row>
    <row r="971" ht="15.75" customHeight="1">
      <c r="E971" s="58"/>
      <c r="O971" s="58"/>
    </row>
    <row r="972" ht="15.75" customHeight="1">
      <c r="E972" s="58"/>
      <c r="O972" s="58"/>
    </row>
    <row r="973" ht="15.75" customHeight="1">
      <c r="E973" s="58"/>
      <c r="O973" s="58"/>
    </row>
    <row r="974" ht="15.75" customHeight="1">
      <c r="E974" s="58"/>
      <c r="O974" s="58"/>
    </row>
    <row r="975" ht="15.75" customHeight="1">
      <c r="E975" s="58"/>
      <c r="O975" s="58"/>
    </row>
    <row r="976" ht="15.75" customHeight="1">
      <c r="E976" s="58"/>
      <c r="O976" s="58"/>
    </row>
    <row r="977" ht="15.75" customHeight="1">
      <c r="E977" s="58"/>
      <c r="O977" s="58"/>
    </row>
    <row r="978" ht="15.75" customHeight="1">
      <c r="E978" s="58"/>
      <c r="O978" s="58"/>
    </row>
    <row r="979" ht="15.75" customHeight="1">
      <c r="E979" s="58"/>
      <c r="O979" s="58"/>
    </row>
    <row r="980" ht="15.75" customHeight="1">
      <c r="E980" s="58"/>
      <c r="O980" s="58"/>
    </row>
    <row r="981" ht="15.75" customHeight="1">
      <c r="E981" s="58"/>
      <c r="O981" s="58"/>
    </row>
    <row r="982" ht="15.75" customHeight="1">
      <c r="E982" s="58"/>
      <c r="O982" s="58"/>
    </row>
    <row r="983" ht="15.75" customHeight="1">
      <c r="E983" s="58"/>
      <c r="O983" s="58"/>
    </row>
    <row r="984" ht="15.75" customHeight="1">
      <c r="E984" s="58"/>
      <c r="O984" s="58"/>
    </row>
    <row r="985" ht="15.75" customHeight="1">
      <c r="E985" s="58"/>
      <c r="O985" s="58"/>
    </row>
    <row r="986" ht="15.75" customHeight="1">
      <c r="E986" s="58"/>
      <c r="O986" s="58"/>
    </row>
    <row r="987" ht="15.75" customHeight="1">
      <c r="E987" s="58"/>
      <c r="O987" s="58"/>
    </row>
    <row r="988" ht="15.75" customHeight="1">
      <c r="E988" s="58"/>
      <c r="O988" s="58"/>
    </row>
    <row r="989" ht="15.75" customHeight="1">
      <c r="E989" s="58"/>
      <c r="O989" s="58"/>
    </row>
    <row r="990" ht="15.75" customHeight="1">
      <c r="E990" s="58"/>
      <c r="O990" s="58"/>
    </row>
    <row r="991" ht="15.75" customHeight="1">
      <c r="E991" s="58"/>
      <c r="O991" s="58"/>
    </row>
    <row r="992" ht="15.75" customHeight="1">
      <c r="E992" s="58"/>
      <c r="O992" s="58"/>
    </row>
    <row r="993" ht="15.75" customHeight="1">
      <c r="E993" s="58"/>
      <c r="O993" s="58"/>
    </row>
    <row r="994" ht="15.75" customHeight="1">
      <c r="E994" s="58"/>
      <c r="O994" s="58"/>
    </row>
    <row r="995" ht="15.75" customHeight="1">
      <c r="E995" s="58"/>
      <c r="O995" s="58"/>
    </row>
    <row r="996" ht="15.75" customHeight="1">
      <c r="E996" s="58"/>
      <c r="O996" s="58"/>
    </row>
    <row r="997" ht="15.75" customHeight="1">
      <c r="E997" s="58"/>
      <c r="O997" s="58"/>
    </row>
    <row r="998" ht="15.75" customHeight="1">
      <c r="E998" s="58"/>
      <c r="O998" s="58"/>
    </row>
    <row r="999" ht="15.75" customHeight="1">
      <c r="E999" s="58"/>
      <c r="O999" s="58"/>
    </row>
    <row r="1000" ht="15.75" customHeight="1">
      <c r="E1000" s="58"/>
      <c r="O1000" s="58"/>
    </row>
  </sheetData>
  <customSheetViews>
    <customSheetView guid="{EE28A9A6-3FCC-4F92-B15D-25E7D4BCAC16}" filter="1" showAutoFilter="1">
      <autoFilter ref="$A$5:$AA$928">
        <sortState ref="A5:AA928">
          <sortCondition descending="1" sortBy="cellColor" ref="D5:D928" dxfId="4"/>
        </sortState>
      </autoFilter>
    </customSheetView>
  </customSheetViews>
  <conditionalFormatting sqref="D6:N1000">
    <cfRule type="expression" dxfId="0" priority="1">
      <formula>$C6&gt;0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5">
      <c r="B5" s="85" t="s">
        <v>151</v>
      </c>
      <c r="C5" s="35" t="s">
        <v>50</v>
      </c>
      <c r="D5" s="85" t="s">
        <v>78</v>
      </c>
    </row>
    <row r="6">
      <c r="B6" s="85">
        <v>7237.0</v>
      </c>
      <c r="C6" s="85" t="s">
        <v>154</v>
      </c>
      <c r="D6" s="85" t="s">
        <v>1079</v>
      </c>
    </row>
    <row r="7">
      <c r="B7" s="85">
        <v>5225.0</v>
      </c>
      <c r="C7" s="85" t="s">
        <v>156</v>
      </c>
      <c r="D7" s="85" t="s">
        <v>1080</v>
      </c>
    </row>
    <row r="8">
      <c r="B8" s="85">
        <v>2244.0</v>
      </c>
      <c r="C8" s="85" t="s">
        <v>158</v>
      </c>
      <c r="D8" s="85" t="s">
        <v>121</v>
      </c>
    </row>
    <row r="9">
      <c r="B9" s="85">
        <v>6332.0</v>
      </c>
      <c r="C9" s="85" t="s">
        <v>160</v>
      </c>
      <c r="D9" s="85" t="s">
        <v>160</v>
      </c>
    </row>
    <row r="10">
      <c r="B10" s="85">
        <v>6341.0</v>
      </c>
      <c r="C10" s="85" t="s">
        <v>162</v>
      </c>
      <c r="D10" s="85" t="s">
        <v>1081</v>
      </c>
    </row>
    <row r="11">
      <c r="B11" s="85">
        <v>9473.0</v>
      </c>
      <c r="C11" s="85" t="s">
        <v>163</v>
      </c>
      <c r="D11" s="85" t="s">
        <v>1082</v>
      </c>
    </row>
    <row r="12">
      <c r="B12" s="85">
        <v>2221.0</v>
      </c>
      <c r="C12" s="85" t="s">
        <v>164</v>
      </c>
      <c r="D12" s="85" t="s">
        <v>122</v>
      </c>
    </row>
    <row r="13">
      <c r="B13" s="85">
        <v>2222.0</v>
      </c>
      <c r="C13" s="85" t="s">
        <v>165</v>
      </c>
      <c r="D13" s="85" t="s">
        <v>1083</v>
      </c>
    </row>
    <row r="14">
      <c r="B14" s="85">
        <v>9524.0</v>
      </c>
      <c r="C14" s="85" t="s">
        <v>166</v>
      </c>
      <c r="D14" s="85" t="s">
        <v>1084</v>
      </c>
    </row>
    <row r="15">
      <c r="B15" s="85">
        <v>9531.0</v>
      </c>
      <c r="C15" s="85" t="s">
        <v>167</v>
      </c>
      <c r="D15" s="85" t="s">
        <v>1085</v>
      </c>
    </row>
    <row r="16">
      <c r="B16" s="85">
        <v>5232.0</v>
      </c>
      <c r="C16" s="85" t="s">
        <v>168</v>
      </c>
      <c r="D16" s="85" t="s">
        <v>1086</v>
      </c>
    </row>
    <row r="17">
      <c r="B17" s="85">
        <v>7247.0</v>
      </c>
      <c r="C17" s="85" t="s">
        <v>169</v>
      </c>
      <c r="D17" s="85" t="s">
        <v>1087</v>
      </c>
    </row>
    <row r="18">
      <c r="B18" s="85">
        <v>7247.0</v>
      </c>
      <c r="C18" s="85" t="s">
        <v>170</v>
      </c>
      <c r="D18" s="85" t="s">
        <v>1087</v>
      </c>
    </row>
    <row r="19">
      <c r="B19" s="85">
        <v>9531.0</v>
      </c>
      <c r="C19" s="85" t="s">
        <v>171</v>
      </c>
      <c r="D19" s="85" t="s">
        <v>1085</v>
      </c>
    </row>
    <row r="20">
      <c r="B20" s="85">
        <v>3214.0</v>
      </c>
      <c r="C20" s="85" t="s">
        <v>172</v>
      </c>
      <c r="D20" s="85" t="s">
        <v>1088</v>
      </c>
    </row>
    <row r="21">
      <c r="B21" s="85">
        <v>7271.0</v>
      </c>
      <c r="C21" s="85" t="s">
        <v>173</v>
      </c>
      <c r="D21" s="85" t="s">
        <v>173</v>
      </c>
    </row>
    <row r="22">
      <c r="B22" s="85">
        <v>3122.0</v>
      </c>
      <c r="C22" s="85" t="s">
        <v>174</v>
      </c>
      <c r="D22" s="85" t="s">
        <v>504</v>
      </c>
    </row>
    <row r="23">
      <c r="B23" s="85">
        <v>5232.0</v>
      </c>
      <c r="C23" s="85" t="s">
        <v>175</v>
      </c>
      <c r="D23" s="85" t="s">
        <v>1086</v>
      </c>
    </row>
    <row r="24">
      <c r="B24" s="85">
        <v>3214.0</v>
      </c>
      <c r="C24" s="85" t="s">
        <v>176</v>
      </c>
      <c r="D24" s="85" t="s">
        <v>1088</v>
      </c>
    </row>
    <row r="25">
      <c r="B25" s="85">
        <v>7384.0</v>
      </c>
      <c r="C25" s="85" t="s">
        <v>177</v>
      </c>
      <c r="D25" s="85" t="s">
        <v>1089</v>
      </c>
    </row>
    <row r="26">
      <c r="B26" s="85">
        <v>5132.0</v>
      </c>
      <c r="C26" s="85" t="s">
        <v>178</v>
      </c>
      <c r="D26" s="85" t="s">
        <v>1090</v>
      </c>
    </row>
    <row r="27">
      <c r="B27" s="85">
        <v>5212.0</v>
      </c>
      <c r="C27" s="85" t="s">
        <v>179</v>
      </c>
      <c r="D27" s="85" t="s">
        <v>1091</v>
      </c>
    </row>
    <row r="28">
      <c r="B28" s="85">
        <v>5112.0</v>
      </c>
      <c r="C28" s="85" t="s">
        <v>180</v>
      </c>
      <c r="D28" s="85" t="s">
        <v>1092</v>
      </c>
    </row>
    <row r="29">
      <c r="B29" s="85">
        <v>7204.0</v>
      </c>
      <c r="C29" s="85" t="s">
        <v>181</v>
      </c>
      <c r="D29" s="85" t="s">
        <v>1093</v>
      </c>
    </row>
    <row r="30">
      <c r="B30" s="85">
        <v>7202.0</v>
      </c>
      <c r="C30" s="85" t="s">
        <v>182</v>
      </c>
      <c r="D30" s="85" t="s">
        <v>1094</v>
      </c>
    </row>
    <row r="31">
      <c r="B31" s="85">
        <v>7302.0</v>
      </c>
      <c r="C31" s="85" t="s">
        <v>183</v>
      </c>
      <c r="D31" s="85" t="s">
        <v>1095</v>
      </c>
    </row>
    <row r="32">
      <c r="B32" s="85">
        <v>7301.0</v>
      </c>
      <c r="C32" s="85" t="s">
        <v>184</v>
      </c>
      <c r="D32" s="85" t="s">
        <v>1096</v>
      </c>
    </row>
    <row r="33">
      <c r="B33" s="85">
        <v>7201.0</v>
      </c>
      <c r="C33" s="85" t="s">
        <v>185</v>
      </c>
      <c r="D33" s="85" t="s">
        <v>1097</v>
      </c>
    </row>
    <row r="34">
      <c r="B34" s="85">
        <v>7205.0</v>
      </c>
      <c r="C34" s="85" t="s">
        <v>186</v>
      </c>
      <c r="D34" s="85" t="s">
        <v>1098</v>
      </c>
    </row>
    <row r="35">
      <c r="B35" s="85">
        <v>7203.0</v>
      </c>
      <c r="C35" s="85" t="s">
        <v>187</v>
      </c>
      <c r="D35" s="85" t="s">
        <v>1099</v>
      </c>
    </row>
    <row r="36">
      <c r="B36" s="85">
        <v>1422.0</v>
      </c>
      <c r="C36" s="85" t="s">
        <v>188</v>
      </c>
      <c r="D36" s="85" t="s">
        <v>1100</v>
      </c>
    </row>
    <row r="37">
      <c r="B37" s="85">
        <v>3222.0</v>
      </c>
      <c r="C37" s="85" t="s">
        <v>189</v>
      </c>
      <c r="D37" s="85" t="s">
        <v>1101</v>
      </c>
    </row>
    <row r="38">
      <c r="B38" s="85">
        <v>3222.0</v>
      </c>
      <c r="C38" s="85" t="s">
        <v>190</v>
      </c>
      <c r="D38" s="85" t="s">
        <v>1101</v>
      </c>
    </row>
    <row r="39">
      <c r="B39" s="85">
        <v>3221.0</v>
      </c>
      <c r="C39" s="85" t="s">
        <v>125</v>
      </c>
      <c r="D39" s="85" t="s">
        <v>125</v>
      </c>
    </row>
    <row r="40">
      <c r="B40" s="85">
        <v>3125.0</v>
      </c>
      <c r="C40" s="85" t="s">
        <v>191</v>
      </c>
      <c r="D40" s="85" t="s">
        <v>1102</v>
      </c>
    </row>
    <row r="41">
      <c r="B41" s="85">
        <v>2253.0</v>
      </c>
      <c r="C41" s="85" t="s">
        <v>192</v>
      </c>
      <c r="D41" s="85" t="s">
        <v>114</v>
      </c>
    </row>
    <row r="42">
      <c r="B42" s="85">
        <v>7512.0</v>
      </c>
      <c r="C42" s="85" t="s">
        <v>193</v>
      </c>
      <c r="D42" s="85" t="s">
        <v>1103</v>
      </c>
    </row>
    <row r="43">
      <c r="B43" s="85">
        <v>6342.0</v>
      </c>
      <c r="C43" s="85" t="s">
        <v>194</v>
      </c>
      <c r="D43" s="85" t="s">
        <v>1104</v>
      </c>
    </row>
    <row r="44">
      <c r="B44" s="85">
        <v>9422.0</v>
      </c>
      <c r="C44" s="85" t="s">
        <v>195</v>
      </c>
      <c r="D44" s="85" t="s">
        <v>1105</v>
      </c>
    </row>
    <row r="45">
      <c r="B45" s="85">
        <v>2241.0</v>
      </c>
      <c r="C45" s="85" t="s">
        <v>196</v>
      </c>
      <c r="D45" s="85" t="s">
        <v>124</v>
      </c>
    </row>
    <row r="46">
      <c r="B46" s="85">
        <v>7241.0</v>
      </c>
      <c r="C46" s="85" t="s">
        <v>197</v>
      </c>
      <c r="D46" s="85" t="s">
        <v>1106</v>
      </c>
    </row>
    <row r="47">
      <c r="B47" s="85">
        <v>4413.0</v>
      </c>
      <c r="C47" s="85" t="s">
        <v>198</v>
      </c>
      <c r="D47" s="85" t="s">
        <v>112</v>
      </c>
    </row>
    <row r="48">
      <c r="B48" s="85">
        <v>6562.0</v>
      </c>
      <c r="C48" s="85" t="s">
        <v>199</v>
      </c>
      <c r="D48" s="85" t="s">
        <v>1107</v>
      </c>
    </row>
    <row r="49">
      <c r="B49" s="85">
        <v>5227.0</v>
      </c>
      <c r="C49" s="85" t="s">
        <v>200</v>
      </c>
      <c r="D49" s="85" t="s">
        <v>1108</v>
      </c>
    </row>
    <row r="50">
      <c r="B50" s="85">
        <v>8261.0</v>
      </c>
      <c r="C50" s="85" t="s">
        <v>201</v>
      </c>
      <c r="D50" s="85" t="s">
        <v>1109</v>
      </c>
    </row>
    <row r="51">
      <c r="B51" s="85">
        <v>7372.0</v>
      </c>
      <c r="C51" s="85" t="s">
        <v>202</v>
      </c>
      <c r="D51" s="85" t="s">
        <v>1110</v>
      </c>
    </row>
    <row r="52">
      <c r="B52" s="85">
        <v>621.0</v>
      </c>
      <c r="C52" s="85" t="s">
        <v>203</v>
      </c>
      <c r="D52" s="85" t="s">
        <v>1111</v>
      </c>
    </row>
    <row r="53">
      <c r="B53" s="85">
        <v>9422.0</v>
      </c>
      <c r="C53" s="85" t="s">
        <v>204</v>
      </c>
      <c r="D53" s="85" t="s">
        <v>1105</v>
      </c>
    </row>
    <row r="54">
      <c r="B54" s="85">
        <v>6342.0</v>
      </c>
      <c r="C54" s="85" t="s">
        <v>205</v>
      </c>
      <c r="D54" s="85" t="s">
        <v>1104</v>
      </c>
    </row>
    <row r="55">
      <c r="B55" s="85">
        <v>5226.0</v>
      </c>
      <c r="C55" s="85" t="s">
        <v>206</v>
      </c>
      <c r="D55" s="85" t="s">
        <v>120</v>
      </c>
    </row>
    <row r="56">
      <c r="B56" s="85">
        <v>7295.0</v>
      </c>
      <c r="C56" s="85" t="s">
        <v>207</v>
      </c>
      <c r="D56" s="85" t="s">
        <v>1112</v>
      </c>
    </row>
    <row r="57">
      <c r="B57" s="85">
        <v>2212.0</v>
      </c>
      <c r="C57" s="85" t="s">
        <v>208</v>
      </c>
      <c r="D57" s="85" t="s">
        <v>1113</v>
      </c>
    </row>
    <row r="58">
      <c r="B58" s="85">
        <v>9532.0</v>
      </c>
      <c r="C58" s="85" t="s">
        <v>209</v>
      </c>
      <c r="D58" s="85" t="s">
        <v>1114</v>
      </c>
    </row>
    <row r="59">
      <c r="B59" s="85">
        <v>7442.0</v>
      </c>
      <c r="C59" s="85" t="s">
        <v>210</v>
      </c>
      <c r="D59" s="85" t="s">
        <v>1115</v>
      </c>
    </row>
    <row r="60">
      <c r="B60" s="85">
        <v>2225.0</v>
      </c>
      <c r="C60" s="85" t="s">
        <v>211</v>
      </c>
      <c r="D60" s="85" t="s">
        <v>1116</v>
      </c>
    </row>
    <row r="61">
      <c r="B61" s="85">
        <v>9413.0</v>
      </c>
      <c r="C61" s="85" t="s">
        <v>212</v>
      </c>
      <c r="D61" s="85" t="s">
        <v>1117</v>
      </c>
    </row>
    <row r="62">
      <c r="B62" s="85">
        <v>822.0</v>
      </c>
      <c r="C62" s="85" t="s">
        <v>213</v>
      </c>
      <c r="D62" s="85" t="s">
        <v>1118</v>
      </c>
    </row>
    <row r="63">
      <c r="B63" s="85">
        <v>2252.0</v>
      </c>
      <c r="C63" s="85" t="s">
        <v>214</v>
      </c>
      <c r="D63" s="85" t="s">
        <v>1119</v>
      </c>
    </row>
    <row r="64">
      <c r="B64" s="85">
        <v>7242.0</v>
      </c>
      <c r="C64" s="85" t="s">
        <v>215</v>
      </c>
      <c r="D64" s="85" t="s">
        <v>1120</v>
      </c>
    </row>
    <row r="65">
      <c r="B65" s="85">
        <v>9524.0</v>
      </c>
      <c r="C65" s="85" t="s">
        <v>216</v>
      </c>
      <c r="D65" s="85" t="s">
        <v>1084</v>
      </c>
    </row>
    <row r="66">
      <c r="B66" s="85">
        <v>7292.0</v>
      </c>
      <c r="C66" s="85" t="s">
        <v>217</v>
      </c>
      <c r="D66" s="85" t="s">
        <v>217</v>
      </c>
    </row>
    <row r="67">
      <c r="B67" s="85">
        <v>2154.0</v>
      </c>
      <c r="C67" s="85" t="s">
        <v>218</v>
      </c>
      <c r="D67" s="85" t="s">
        <v>1121</v>
      </c>
    </row>
    <row r="68">
      <c r="B68" s="85">
        <v>2152.0</v>
      </c>
      <c r="C68" s="85" t="s">
        <v>219</v>
      </c>
      <c r="D68" s="85" t="s">
        <v>1122</v>
      </c>
    </row>
    <row r="69">
      <c r="B69" s="85">
        <v>8612.0</v>
      </c>
      <c r="C69" s="85" t="s">
        <v>220</v>
      </c>
      <c r="D69" s="85" t="s">
        <v>1123</v>
      </c>
    </row>
    <row r="70">
      <c r="B70" s="85">
        <v>9447.0</v>
      </c>
      <c r="C70" s="85" t="s">
        <v>221</v>
      </c>
      <c r="D70" s="85" t="s">
        <v>1124</v>
      </c>
    </row>
    <row r="71">
      <c r="B71" s="85">
        <v>3233.0</v>
      </c>
      <c r="C71" s="85" t="s">
        <v>222</v>
      </c>
      <c r="D71" s="85" t="s">
        <v>1125</v>
      </c>
    </row>
    <row r="72">
      <c r="B72" s="85">
        <v>7284.0</v>
      </c>
      <c r="C72" s="85" t="s">
        <v>223</v>
      </c>
      <c r="D72" s="85" t="s">
        <v>1126</v>
      </c>
    </row>
    <row r="73">
      <c r="B73" s="85">
        <v>7511.0</v>
      </c>
      <c r="C73" s="85" t="s">
        <v>224</v>
      </c>
      <c r="D73" s="85" t="s">
        <v>1127</v>
      </c>
    </row>
    <row r="74">
      <c r="B74" s="85">
        <v>7511.0</v>
      </c>
      <c r="C74" s="85" t="s">
        <v>225</v>
      </c>
      <c r="D74" s="85" t="s">
        <v>1127</v>
      </c>
    </row>
    <row r="75">
      <c r="B75" s="85">
        <v>7316.0</v>
      </c>
      <c r="C75" s="85" t="s">
        <v>226</v>
      </c>
      <c r="D75" s="85" t="s">
        <v>1128</v>
      </c>
    </row>
    <row r="76">
      <c r="B76" s="85">
        <v>7451.0</v>
      </c>
      <c r="C76" s="85" t="s">
        <v>227</v>
      </c>
      <c r="D76" s="85" t="s">
        <v>1129</v>
      </c>
    </row>
    <row r="77">
      <c r="B77" s="85">
        <v>7231.0</v>
      </c>
      <c r="C77" s="85" t="s">
        <v>228</v>
      </c>
      <c r="D77" s="85" t="s">
        <v>1130</v>
      </c>
    </row>
    <row r="78">
      <c r="B78" s="85">
        <v>9417.0</v>
      </c>
      <c r="C78" s="85" t="s">
        <v>229</v>
      </c>
      <c r="D78" s="85" t="s">
        <v>1131</v>
      </c>
    </row>
    <row r="79">
      <c r="B79" s="85">
        <v>7231.0</v>
      </c>
      <c r="C79" s="85" t="s">
        <v>230</v>
      </c>
      <c r="D79" s="85" t="s">
        <v>1130</v>
      </c>
    </row>
    <row r="80">
      <c r="B80" s="85">
        <v>7332.0</v>
      </c>
      <c r="C80" s="85" t="s">
        <v>231</v>
      </c>
      <c r="D80" s="85" t="s">
        <v>1132</v>
      </c>
    </row>
    <row r="81">
      <c r="B81" s="85">
        <v>5226.0</v>
      </c>
      <c r="C81" s="85" t="s">
        <v>232</v>
      </c>
      <c r="D81" s="85" t="s">
        <v>120</v>
      </c>
    </row>
    <row r="82">
      <c r="B82" s="85">
        <v>2232.0</v>
      </c>
      <c r="C82" s="85" t="s">
        <v>233</v>
      </c>
      <c r="D82" s="85" t="s">
        <v>1133</v>
      </c>
    </row>
    <row r="83">
      <c r="B83" s="85">
        <v>9461.0</v>
      </c>
      <c r="C83" s="85" t="s">
        <v>234</v>
      </c>
      <c r="D83" s="85" t="s">
        <v>1134</v>
      </c>
    </row>
    <row r="84">
      <c r="B84" s="85">
        <v>3212.0</v>
      </c>
      <c r="C84" s="85" t="s">
        <v>235</v>
      </c>
      <c r="D84" s="85" t="s">
        <v>1135</v>
      </c>
    </row>
    <row r="85">
      <c r="B85" s="85">
        <v>3216.0</v>
      </c>
      <c r="C85" s="85" t="s">
        <v>236</v>
      </c>
      <c r="D85" s="85" t="s">
        <v>1136</v>
      </c>
    </row>
    <row r="86">
      <c r="B86" s="85">
        <v>9412.0</v>
      </c>
      <c r="C86" s="85" t="s">
        <v>237</v>
      </c>
      <c r="D86" s="85" t="s">
        <v>1137</v>
      </c>
    </row>
    <row r="87">
      <c r="B87" s="85">
        <v>7232.0</v>
      </c>
      <c r="C87" s="85" t="s">
        <v>238</v>
      </c>
      <c r="D87" s="85" t="s">
        <v>1138</v>
      </c>
    </row>
    <row r="88">
      <c r="B88" s="85">
        <v>2255.0</v>
      </c>
      <c r="C88" s="85" t="s">
        <v>239</v>
      </c>
      <c r="D88" s="85" t="s">
        <v>1139</v>
      </c>
    </row>
    <row r="89">
      <c r="B89" s="85">
        <v>6342.0</v>
      </c>
      <c r="C89" s="85" t="s">
        <v>240</v>
      </c>
      <c r="D89" s="85" t="s">
        <v>1104</v>
      </c>
    </row>
    <row r="90">
      <c r="B90" s="85">
        <v>9526.0</v>
      </c>
      <c r="C90" s="85" t="s">
        <v>241</v>
      </c>
      <c r="D90" s="85" t="s">
        <v>1140</v>
      </c>
    </row>
    <row r="91">
      <c r="B91" s="85">
        <v>7334.0</v>
      </c>
      <c r="C91" s="85" t="s">
        <v>242</v>
      </c>
      <c r="D91" s="85" t="s">
        <v>1141</v>
      </c>
    </row>
    <row r="92">
      <c r="B92" s="85">
        <v>9422.0</v>
      </c>
      <c r="C92" s="85" t="s">
        <v>243</v>
      </c>
      <c r="D92" s="85" t="s">
        <v>1105</v>
      </c>
    </row>
    <row r="93">
      <c r="B93" s="85">
        <v>5133.0</v>
      </c>
      <c r="C93" s="85" t="s">
        <v>244</v>
      </c>
      <c r="D93" s="85" t="s">
        <v>1142</v>
      </c>
    </row>
    <row r="94">
      <c r="B94" s="85">
        <v>3125.0</v>
      </c>
      <c r="C94" s="85" t="s">
        <v>245</v>
      </c>
      <c r="D94" s="85" t="s">
        <v>1102</v>
      </c>
    </row>
    <row r="95">
      <c r="B95" s="85">
        <v>3012.0</v>
      </c>
      <c r="C95" s="85" t="s">
        <v>246</v>
      </c>
      <c r="D95" s="85" t="s">
        <v>1143</v>
      </c>
    </row>
    <row r="96">
      <c r="B96" s="85">
        <v>3143.0</v>
      </c>
      <c r="C96" s="85" t="s">
        <v>247</v>
      </c>
      <c r="D96" s="85" t="s">
        <v>1144</v>
      </c>
    </row>
    <row r="97">
      <c r="B97" s="85">
        <v>3219.0</v>
      </c>
      <c r="C97" s="85" t="s">
        <v>248</v>
      </c>
      <c r="D97" s="85" t="s">
        <v>1145</v>
      </c>
    </row>
    <row r="98">
      <c r="B98" s="85">
        <v>3237.0</v>
      </c>
      <c r="C98" s="85" t="s">
        <v>249</v>
      </c>
      <c r="D98" s="85" t="s">
        <v>1146</v>
      </c>
    </row>
    <row r="99">
      <c r="B99" s="85">
        <v>3121.0</v>
      </c>
      <c r="C99" s="85" t="s">
        <v>250</v>
      </c>
      <c r="D99" s="85" t="s">
        <v>250</v>
      </c>
    </row>
    <row r="100">
      <c r="B100" s="85">
        <v>6532.0</v>
      </c>
      <c r="C100" s="85" t="s">
        <v>251</v>
      </c>
      <c r="D100" s="85" t="s">
        <v>1147</v>
      </c>
    </row>
    <row r="101">
      <c r="B101" s="85">
        <v>9422.0</v>
      </c>
      <c r="C101" s="85" t="s">
        <v>252</v>
      </c>
      <c r="D101" s="85" t="s">
        <v>1105</v>
      </c>
    </row>
    <row r="102">
      <c r="B102" s="85">
        <v>9536.0</v>
      </c>
      <c r="C102" s="85" t="s">
        <v>253</v>
      </c>
      <c r="D102" s="85" t="s">
        <v>1148</v>
      </c>
    </row>
    <row r="103">
      <c r="B103" s="85">
        <v>9433.0</v>
      </c>
      <c r="C103" s="85" t="s">
        <v>254</v>
      </c>
      <c r="D103" s="85" t="s">
        <v>1149</v>
      </c>
    </row>
    <row r="104">
      <c r="B104" s="85">
        <v>5221.0</v>
      </c>
      <c r="C104" s="85" t="s">
        <v>255</v>
      </c>
      <c r="D104" s="85" t="s">
        <v>255</v>
      </c>
    </row>
    <row r="105">
      <c r="B105" s="85">
        <v>3142.0</v>
      </c>
      <c r="C105" s="85" t="s">
        <v>256</v>
      </c>
      <c r="D105" s="85" t="s">
        <v>256</v>
      </c>
    </row>
    <row r="106">
      <c r="B106" s="85">
        <v>3414.0</v>
      </c>
      <c r="C106" s="85" t="s">
        <v>257</v>
      </c>
      <c r="D106" s="85" t="s">
        <v>1150</v>
      </c>
    </row>
    <row r="107">
      <c r="B107" s="85">
        <v>7243.0</v>
      </c>
      <c r="C107" s="85" t="s">
        <v>258</v>
      </c>
      <c r="D107" s="85" t="s">
        <v>1151</v>
      </c>
    </row>
    <row r="108">
      <c r="B108" s="85">
        <v>9536.0</v>
      </c>
      <c r="C108" s="85" t="s">
        <v>259</v>
      </c>
      <c r="D108" s="85" t="s">
        <v>1148</v>
      </c>
    </row>
    <row r="109">
      <c r="B109" s="85">
        <v>9472.0</v>
      </c>
      <c r="C109" s="85" t="s">
        <v>260</v>
      </c>
      <c r="D109" s="85" t="s">
        <v>1152</v>
      </c>
    </row>
    <row r="110">
      <c r="B110" s="85">
        <v>3012.0</v>
      </c>
      <c r="C110" s="85" t="s">
        <v>261</v>
      </c>
      <c r="D110" s="85" t="s">
        <v>1143</v>
      </c>
    </row>
    <row r="111">
      <c r="B111" s="85">
        <v>3215.0</v>
      </c>
      <c r="C111" s="85" t="s">
        <v>262</v>
      </c>
      <c r="D111" s="85" t="s">
        <v>1153</v>
      </c>
    </row>
    <row r="112">
      <c r="B112" s="85">
        <v>3215.0</v>
      </c>
      <c r="C112" s="85" t="s">
        <v>263</v>
      </c>
      <c r="D112" s="85" t="s">
        <v>1153</v>
      </c>
    </row>
    <row r="113">
      <c r="B113" s="85">
        <v>7313.0</v>
      </c>
      <c r="C113" s="85" t="s">
        <v>264</v>
      </c>
      <c r="D113" s="85" t="s">
        <v>1154</v>
      </c>
    </row>
    <row r="114">
      <c r="B114" s="85">
        <v>3214.0</v>
      </c>
      <c r="C114" s="85" t="s">
        <v>265</v>
      </c>
      <c r="D114" s="85" t="s">
        <v>1088</v>
      </c>
    </row>
    <row r="115">
      <c r="B115" s="85">
        <v>9472.0</v>
      </c>
      <c r="C115" s="85" t="s">
        <v>266</v>
      </c>
      <c r="D115" s="85" t="s">
        <v>1152</v>
      </c>
    </row>
    <row r="116">
      <c r="B116" s="85">
        <v>6562.0</v>
      </c>
      <c r="C116" s="85" t="s">
        <v>267</v>
      </c>
      <c r="D116" s="85" t="s">
        <v>1107</v>
      </c>
    </row>
    <row r="117">
      <c r="B117" s="85">
        <v>9461.0</v>
      </c>
      <c r="C117" s="85" t="s">
        <v>268</v>
      </c>
      <c r="D117" s="85" t="s">
        <v>1134</v>
      </c>
    </row>
    <row r="118">
      <c r="B118" s="85">
        <v>9431.0</v>
      </c>
      <c r="C118" s="85" t="s">
        <v>269</v>
      </c>
      <c r="D118" s="85" t="s">
        <v>1155</v>
      </c>
    </row>
    <row r="119">
      <c r="B119" s="85">
        <v>1423.0</v>
      </c>
      <c r="C119" s="85" t="s">
        <v>270</v>
      </c>
      <c r="D119" s="85" t="s">
        <v>1156</v>
      </c>
    </row>
    <row r="120">
      <c r="B120" s="85">
        <v>6343.0</v>
      </c>
      <c r="C120" s="85" t="s">
        <v>271</v>
      </c>
      <c r="D120" s="85" t="s">
        <v>1157</v>
      </c>
    </row>
    <row r="121">
      <c r="B121" s="85">
        <v>6343.0</v>
      </c>
      <c r="C121" s="85" t="s">
        <v>272</v>
      </c>
      <c r="D121" s="85" t="s">
        <v>1157</v>
      </c>
    </row>
    <row r="122">
      <c r="B122" s="85">
        <v>7332.0</v>
      </c>
      <c r="C122" s="85" t="s">
        <v>273</v>
      </c>
      <c r="D122" s="85" t="s">
        <v>1132</v>
      </c>
    </row>
    <row r="123">
      <c r="B123" s="85">
        <v>9473.0</v>
      </c>
      <c r="C123" s="85" t="s">
        <v>274</v>
      </c>
      <c r="D123" s="85" t="s">
        <v>1082</v>
      </c>
    </row>
    <row r="124">
      <c r="B124" s="85">
        <v>7252.0</v>
      </c>
      <c r="C124" s="85" t="s">
        <v>275</v>
      </c>
      <c r="D124" s="85" t="s">
        <v>1158</v>
      </c>
    </row>
    <row r="125">
      <c r="B125" s="85">
        <v>7252.0</v>
      </c>
      <c r="C125" s="85" t="s">
        <v>276</v>
      </c>
      <c r="D125" s="85" t="s">
        <v>1158</v>
      </c>
    </row>
    <row r="126">
      <c r="B126" s="85">
        <v>5226.0</v>
      </c>
      <c r="C126" s="85" t="s">
        <v>277</v>
      </c>
      <c r="D126" s="85" t="s">
        <v>120</v>
      </c>
    </row>
    <row r="127">
      <c r="B127" s="85">
        <v>7304.0</v>
      </c>
      <c r="C127" s="85" t="s">
        <v>278</v>
      </c>
      <c r="D127" s="85" t="s">
        <v>1159</v>
      </c>
    </row>
    <row r="128">
      <c r="B128" s="85">
        <v>6342.0</v>
      </c>
      <c r="C128" s="85" t="s">
        <v>279</v>
      </c>
      <c r="D128" s="85" t="s">
        <v>1104</v>
      </c>
    </row>
    <row r="129">
      <c r="B129" s="85">
        <v>7512.0</v>
      </c>
      <c r="C129" s="85" t="s">
        <v>280</v>
      </c>
      <c r="D129" s="85" t="s">
        <v>1103</v>
      </c>
    </row>
    <row r="130">
      <c r="B130" s="85">
        <v>5212.0</v>
      </c>
      <c r="C130" s="85" t="s">
        <v>281</v>
      </c>
      <c r="D130" s="85" t="s">
        <v>1091</v>
      </c>
    </row>
    <row r="131">
      <c r="B131" s="85">
        <v>7245.0</v>
      </c>
      <c r="C131" s="85" t="s">
        <v>282</v>
      </c>
      <c r="D131" s="85" t="s">
        <v>1160</v>
      </c>
    </row>
    <row r="132">
      <c r="B132" s="85">
        <v>9446.0</v>
      </c>
      <c r="C132" s="85" t="s">
        <v>283</v>
      </c>
      <c r="D132" s="85" t="s">
        <v>1161</v>
      </c>
    </row>
    <row r="133">
      <c r="B133" s="85">
        <v>7232.0</v>
      </c>
      <c r="C133" s="85" t="s">
        <v>284</v>
      </c>
      <c r="D133" s="85" t="s">
        <v>1138</v>
      </c>
    </row>
    <row r="134">
      <c r="B134" s="85">
        <v>3114.0</v>
      </c>
      <c r="C134" s="85" t="s">
        <v>285</v>
      </c>
      <c r="D134" s="85" t="s">
        <v>285</v>
      </c>
    </row>
    <row r="135">
      <c r="B135" s="85">
        <v>6344.0</v>
      </c>
      <c r="C135" s="85" t="s">
        <v>286</v>
      </c>
      <c r="D135" s="85" t="s">
        <v>1162</v>
      </c>
    </row>
    <row r="136">
      <c r="B136" s="85">
        <v>3232.0</v>
      </c>
      <c r="C136" s="85" t="s">
        <v>287</v>
      </c>
      <c r="D136" s="85" t="s">
        <v>1163</v>
      </c>
    </row>
    <row r="137">
      <c r="B137" s="85">
        <v>2272.0</v>
      </c>
      <c r="C137" s="85" t="s">
        <v>288</v>
      </c>
      <c r="D137" s="85" t="s">
        <v>1164</v>
      </c>
    </row>
    <row r="138">
      <c r="B138" s="85">
        <v>2244.0</v>
      </c>
      <c r="C138" s="85" t="s">
        <v>289</v>
      </c>
      <c r="D138" s="85" t="s">
        <v>121</v>
      </c>
    </row>
    <row r="139">
      <c r="B139" s="85">
        <v>2244.0</v>
      </c>
      <c r="C139" s="85" t="s">
        <v>290</v>
      </c>
      <c r="D139" s="85" t="s">
        <v>121</v>
      </c>
    </row>
    <row r="140">
      <c r="B140" s="85">
        <v>2262.0</v>
      </c>
      <c r="C140" s="85" t="s">
        <v>291</v>
      </c>
      <c r="D140" s="85" t="s">
        <v>1165</v>
      </c>
    </row>
    <row r="141">
      <c r="B141" s="85">
        <v>3234.0</v>
      </c>
      <c r="C141" s="85" t="s">
        <v>292</v>
      </c>
      <c r="D141" s="85" t="s">
        <v>1166</v>
      </c>
    </row>
    <row r="142">
      <c r="B142" s="85">
        <v>7291.0</v>
      </c>
      <c r="C142" s="85" t="s">
        <v>293</v>
      </c>
      <c r="D142" s="85" t="s">
        <v>1167</v>
      </c>
    </row>
    <row r="143">
      <c r="B143" s="85">
        <v>1414.0</v>
      </c>
      <c r="C143" s="85" t="s">
        <v>294</v>
      </c>
      <c r="D143" s="85" t="s">
        <v>674</v>
      </c>
    </row>
    <row r="144">
      <c r="B144" s="85">
        <v>2151.0</v>
      </c>
      <c r="C144" s="85" t="s">
        <v>295</v>
      </c>
      <c r="D144" s="85" t="s">
        <v>295</v>
      </c>
    </row>
    <row r="145">
      <c r="B145" s="85">
        <v>8611.0</v>
      </c>
      <c r="C145" s="85" t="s">
        <v>296</v>
      </c>
      <c r="D145" s="85" t="s">
        <v>1168</v>
      </c>
    </row>
    <row r="146">
      <c r="B146" s="85">
        <v>3011.0</v>
      </c>
      <c r="C146" s="85" t="s">
        <v>297</v>
      </c>
      <c r="D146" s="85" t="s">
        <v>1169</v>
      </c>
    </row>
    <row r="147">
      <c r="B147" s="85">
        <v>4164.0</v>
      </c>
      <c r="C147" s="85" t="s">
        <v>298</v>
      </c>
      <c r="D147" s="85" t="s">
        <v>1170</v>
      </c>
    </row>
    <row r="148">
      <c r="B148" s="85">
        <v>6561.0</v>
      </c>
      <c r="C148" s="85" t="s">
        <v>299</v>
      </c>
      <c r="D148" s="85" t="s">
        <v>1171</v>
      </c>
    </row>
    <row r="149">
      <c r="B149" s="85">
        <v>9462.0</v>
      </c>
      <c r="C149" s="85" t="s">
        <v>300</v>
      </c>
      <c r="D149" s="85" t="s">
        <v>1172</v>
      </c>
    </row>
    <row r="150">
      <c r="B150" s="85">
        <v>9462.0</v>
      </c>
      <c r="C150" s="85" t="s">
        <v>301</v>
      </c>
      <c r="D150" s="85" t="s">
        <v>1172</v>
      </c>
    </row>
    <row r="151">
      <c r="B151" s="85">
        <v>2171.0</v>
      </c>
      <c r="C151" s="85" t="s">
        <v>302</v>
      </c>
      <c r="D151" s="85" t="s">
        <v>1173</v>
      </c>
    </row>
    <row r="152">
      <c r="B152" s="85">
        <v>9525.0</v>
      </c>
      <c r="C152" s="85" t="s">
        <v>303</v>
      </c>
      <c r="D152" s="85" t="s">
        <v>1174</v>
      </c>
    </row>
    <row r="153">
      <c r="B153" s="85">
        <v>6733.0</v>
      </c>
      <c r="C153" s="85" t="s">
        <v>304</v>
      </c>
      <c r="D153" s="85" t="s">
        <v>1175</v>
      </c>
    </row>
    <row r="154">
      <c r="B154" s="85">
        <v>9613.0</v>
      </c>
      <c r="C154" s="85" t="s">
        <v>305</v>
      </c>
      <c r="D154" s="85" t="s">
        <v>1176</v>
      </c>
    </row>
    <row r="155">
      <c r="B155" s="85">
        <v>9527.0</v>
      </c>
      <c r="C155" s="85" t="s">
        <v>306</v>
      </c>
      <c r="D155" s="85" t="s">
        <v>1177</v>
      </c>
    </row>
    <row r="156">
      <c r="B156" s="85">
        <v>714.0</v>
      </c>
      <c r="C156" s="85" t="s">
        <v>307</v>
      </c>
      <c r="D156" s="85" t="s">
        <v>1178</v>
      </c>
    </row>
    <row r="157">
      <c r="B157" s="85">
        <v>911.0</v>
      </c>
      <c r="C157" s="85" t="s">
        <v>308</v>
      </c>
      <c r="D157" s="85" t="s">
        <v>1179</v>
      </c>
    </row>
    <row r="158">
      <c r="B158" s="85">
        <v>6621.0</v>
      </c>
      <c r="C158" s="85" t="s">
        <v>309</v>
      </c>
      <c r="D158" s="85" t="s">
        <v>1180</v>
      </c>
    </row>
    <row r="159">
      <c r="B159" s="85">
        <v>8613.0</v>
      </c>
      <c r="C159" s="85" t="s">
        <v>310</v>
      </c>
      <c r="D159" s="85" t="s">
        <v>1181</v>
      </c>
    </row>
    <row r="160">
      <c r="B160" s="85">
        <v>2222.0</v>
      </c>
      <c r="C160" s="85" t="s">
        <v>311</v>
      </c>
      <c r="D160" s="85" t="s">
        <v>1083</v>
      </c>
    </row>
    <row r="161">
      <c r="B161" s="85">
        <v>5212.0</v>
      </c>
      <c r="C161" s="85" t="s">
        <v>312</v>
      </c>
      <c r="D161" s="85" t="s">
        <v>1091</v>
      </c>
    </row>
    <row r="162">
      <c r="B162" s="85">
        <v>5212.0</v>
      </c>
      <c r="C162" s="85" t="s">
        <v>313</v>
      </c>
      <c r="D162" s="85" t="s">
        <v>1091</v>
      </c>
    </row>
    <row r="163">
      <c r="B163" s="85">
        <v>811.0</v>
      </c>
      <c r="C163" s="85" t="s">
        <v>314</v>
      </c>
      <c r="D163" s="85" t="s">
        <v>1182</v>
      </c>
    </row>
    <row r="164">
      <c r="B164" s="85">
        <v>822.0</v>
      </c>
      <c r="C164" s="85" t="s">
        <v>315</v>
      </c>
      <c r="D164" s="85" t="s">
        <v>1118</v>
      </c>
    </row>
    <row r="165">
      <c r="B165" s="85">
        <v>8432.0</v>
      </c>
      <c r="C165" s="85" t="s">
        <v>316</v>
      </c>
      <c r="D165" s="85" t="s">
        <v>1183</v>
      </c>
    </row>
    <row r="166">
      <c r="B166" s="85">
        <v>4161.0</v>
      </c>
      <c r="C166" s="85" t="s">
        <v>317</v>
      </c>
      <c r="D166" s="85" t="s">
        <v>1184</v>
      </c>
    </row>
    <row r="167">
      <c r="B167" s="85">
        <v>8615.0</v>
      </c>
      <c r="C167" s="85" t="s">
        <v>318</v>
      </c>
      <c r="D167" s="85" t="s">
        <v>1185</v>
      </c>
    </row>
    <row r="168">
      <c r="B168" s="85">
        <v>3414.0</v>
      </c>
      <c r="C168" s="85" t="s">
        <v>319</v>
      </c>
      <c r="D168" s="85" t="s">
        <v>1150</v>
      </c>
    </row>
    <row r="169">
      <c r="B169" s="85">
        <v>3125.0</v>
      </c>
      <c r="C169" s="85" t="s">
        <v>320</v>
      </c>
      <c r="D169" s="85" t="s">
        <v>1102</v>
      </c>
    </row>
    <row r="170">
      <c r="B170" s="85">
        <v>9418.0</v>
      </c>
      <c r="C170" s="85" t="s">
        <v>321</v>
      </c>
      <c r="D170" s="85" t="s">
        <v>1186</v>
      </c>
    </row>
    <row r="171">
      <c r="B171" s="85">
        <v>6313.0</v>
      </c>
      <c r="C171" s="85" t="s">
        <v>322</v>
      </c>
      <c r="D171" s="85" t="s">
        <v>1187</v>
      </c>
    </row>
    <row r="172">
      <c r="B172" s="85">
        <v>9533.0</v>
      </c>
      <c r="C172" s="85" t="s">
        <v>323</v>
      </c>
      <c r="D172" s="85" t="s">
        <v>1188</v>
      </c>
    </row>
    <row r="173">
      <c r="B173" s="85">
        <v>9436.0</v>
      </c>
      <c r="C173" s="85" t="s">
        <v>324</v>
      </c>
      <c r="D173" s="85" t="s">
        <v>1189</v>
      </c>
    </row>
    <row r="174">
      <c r="B174" s="85">
        <v>912.0</v>
      </c>
      <c r="C174" s="85" t="s">
        <v>325</v>
      </c>
      <c r="D174" s="85" t="s">
        <v>1190</v>
      </c>
    </row>
    <row r="175">
      <c r="B175" s="85">
        <v>2111.0</v>
      </c>
      <c r="C175" s="85" t="s">
        <v>326</v>
      </c>
      <c r="D175" s="85" t="s">
        <v>1191</v>
      </c>
    </row>
    <row r="176">
      <c r="B176" s="85">
        <v>2222.0</v>
      </c>
      <c r="C176" s="85" t="s">
        <v>327</v>
      </c>
      <c r="D176" s="85" t="s">
        <v>1083</v>
      </c>
    </row>
    <row r="177">
      <c r="B177" s="85">
        <v>9472.0</v>
      </c>
      <c r="C177" s="85" t="s">
        <v>328</v>
      </c>
      <c r="D177" s="85" t="s">
        <v>1152</v>
      </c>
    </row>
    <row r="178">
      <c r="B178" s="85">
        <v>1511.0</v>
      </c>
      <c r="C178" s="85" t="s">
        <v>329</v>
      </c>
      <c r="D178" s="85" t="s">
        <v>1192</v>
      </c>
    </row>
    <row r="179">
      <c r="B179" s="85">
        <v>9462.0</v>
      </c>
      <c r="C179" s="85" t="s">
        <v>330</v>
      </c>
      <c r="D179" s="85" t="s">
        <v>1172</v>
      </c>
    </row>
    <row r="180">
      <c r="B180" s="85">
        <v>9241.0</v>
      </c>
      <c r="C180" s="85" t="s">
        <v>331</v>
      </c>
      <c r="D180" s="85" t="s">
        <v>1193</v>
      </c>
    </row>
    <row r="181">
      <c r="B181" s="85">
        <v>9241.0</v>
      </c>
      <c r="C181" s="85" t="s">
        <v>332</v>
      </c>
      <c r="D181" s="85" t="s">
        <v>1193</v>
      </c>
    </row>
    <row r="182">
      <c r="B182" s="85">
        <v>1215.0</v>
      </c>
      <c r="C182" s="85" t="s">
        <v>333</v>
      </c>
      <c r="D182" s="85" t="s">
        <v>1194</v>
      </c>
    </row>
    <row r="183">
      <c r="B183" s="85">
        <v>6541.0</v>
      </c>
      <c r="C183" s="85" t="s">
        <v>334</v>
      </c>
      <c r="D183" s="85" t="s">
        <v>1195</v>
      </c>
    </row>
    <row r="184">
      <c r="B184" s="85">
        <v>6561.0</v>
      </c>
      <c r="C184" s="85" t="s">
        <v>335</v>
      </c>
      <c r="D184" s="85" t="s">
        <v>1171</v>
      </c>
    </row>
    <row r="185">
      <c r="B185" s="85">
        <v>7362.0</v>
      </c>
      <c r="C185" s="85" t="s">
        <v>336</v>
      </c>
      <c r="D185" s="85" t="s">
        <v>1196</v>
      </c>
    </row>
    <row r="186">
      <c r="B186" s="85">
        <v>4167.0</v>
      </c>
      <c r="C186" s="85" t="s">
        <v>337</v>
      </c>
      <c r="D186" s="85" t="s">
        <v>1197</v>
      </c>
    </row>
    <row r="187">
      <c r="B187" s="85">
        <v>4161.0</v>
      </c>
      <c r="C187" s="85" t="s">
        <v>338</v>
      </c>
      <c r="D187" s="85" t="s">
        <v>1184</v>
      </c>
    </row>
    <row r="188">
      <c r="B188" s="85">
        <v>5227.0</v>
      </c>
      <c r="C188" s="85" t="s">
        <v>339</v>
      </c>
      <c r="D188" s="85" t="s">
        <v>1108</v>
      </c>
    </row>
    <row r="189">
      <c r="B189" s="85">
        <v>8613.0</v>
      </c>
      <c r="C189" s="85" t="s">
        <v>340</v>
      </c>
      <c r="D189" s="85" t="s">
        <v>1181</v>
      </c>
    </row>
    <row r="190">
      <c r="B190" s="85">
        <v>4421.0</v>
      </c>
      <c r="C190" s="85" t="s">
        <v>341</v>
      </c>
      <c r="D190" s="85" t="s">
        <v>1198</v>
      </c>
    </row>
    <row r="191">
      <c r="B191" s="85">
        <v>6522.0</v>
      </c>
      <c r="C191" s="85" t="s">
        <v>342</v>
      </c>
      <c r="D191" s="85" t="s">
        <v>1199</v>
      </c>
    </row>
    <row r="192">
      <c r="B192" s="85">
        <v>5133.0</v>
      </c>
      <c r="C192" s="85" t="s">
        <v>343</v>
      </c>
      <c r="D192" s="85" t="s">
        <v>1142</v>
      </c>
    </row>
    <row r="193">
      <c r="B193" s="85">
        <v>4167.0</v>
      </c>
      <c r="C193" s="85" t="s">
        <v>344</v>
      </c>
      <c r="D193" s="85" t="s">
        <v>1197</v>
      </c>
    </row>
    <row r="194">
      <c r="B194" s="85">
        <v>9217.0</v>
      </c>
      <c r="C194" s="85" t="s">
        <v>345</v>
      </c>
      <c r="D194" s="85" t="s">
        <v>1200</v>
      </c>
    </row>
    <row r="195">
      <c r="B195" s="85">
        <v>9224.0</v>
      </c>
      <c r="C195" s="85" t="s">
        <v>346</v>
      </c>
      <c r="D195" s="85" t="s">
        <v>1201</v>
      </c>
    </row>
    <row r="196">
      <c r="B196" s="85">
        <v>8211.0</v>
      </c>
      <c r="C196" s="85" t="s">
        <v>347</v>
      </c>
      <c r="D196" s="85" t="s">
        <v>1202</v>
      </c>
    </row>
    <row r="197">
      <c r="B197" s="85">
        <v>9221.0</v>
      </c>
      <c r="C197" s="85" t="s">
        <v>348</v>
      </c>
      <c r="D197" s="85" t="s">
        <v>1203</v>
      </c>
    </row>
    <row r="198">
      <c r="B198" s="85">
        <v>2171.0</v>
      </c>
      <c r="C198" s="85" t="s">
        <v>349</v>
      </c>
      <c r="D198" s="85" t="s">
        <v>1173</v>
      </c>
    </row>
    <row r="199">
      <c r="B199" s="85">
        <v>2283.0</v>
      </c>
      <c r="C199" s="85" t="s">
        <v>350</v>
      </c>
      <c r="D199" s="85" t="s">
        <v>1204</v>
      </c>
    </row>
    <row r="200">
      <c r="B200" s="85">
        <v>9441.0</v>
      </c>
      <c r="C200" s="85" t="s">
        <v>351</v>
      </c>
      <c r="D200" s="85" t="s">
        <v>1205</v>
      </c>
    </row>
    <row r="201">
      <c r="B201" s="85">
        <v>731.0</v>
      </c>
      <c r="C201" s="85" t="s">
        <v>352</v>
      </c>
      <c r="D201" s="85" t="s">
        <v>1206</v>
      </c>
    </row>
    <row r="202">
      <c r="B202" s="85">
        <v>731.0</v>
      </c>
      <c r="C202" s="85" t="s">
        <v>353</v>
      </c>
      <c r="D202" s="85" t="s">
        <v>1206</v>
      </c>
    </row>
    <row r="203">
      <c r="B203" s="85">
        <v>6521.0</v>
      </c>
      <c r="C203" s="85" t="s">
        <v>354</v>
      </c>
      <c r="D203" s="85" t="s">
        <v>1207</v>
      </c>
    </row>
    <row r="204">
      <c r="B204" s="85">
        <v>9462.0</v>
      </c>
      <c r="C204" s="85" t="s">
        <v>355</v>
      </c>
      <c r="D204" s="85" t="s">
        <v>1172</v>
      </c>
    </row>
    <row r="205">
      <c r="B205" s="85">
        <v>2153.0</v>
      </c>
      <c r="C205" s="85" t="s">
        <v>356</v>
      </c>
      <c r="D205" s="85" t="s">
        <v>1208</v>
      </c>
    </row>
    <row r="206">
      <c r="B206" s="85">
        <v>912.0</v>
      </c>
      <c r="C206" s="85" t="s">
        <v>357</v>
      </c>
      <c r="D206" s="85" t="s">
        <v>1190</v>
      </c>
    </row>
    <row r="207">
      <c r="B207" s="85">
        <v>912.0</v>
      </c>
      <c r="C207" s="85" t="s">
        <v>358</v>
      </c>
      <c r="D207" s="85" t="s">
        <v>1190</v>
      </c>
    </row>
    <row r="208">
      <c r="B208" s="85">
        <v>912.0</v>
      </c>
      <c r="C208" s="85" t="s">
        <v>359</v>
      </c>
      <c r="D208" s="85" t="s">
        <v>1190</v>
      </c>
    </row>
    <row r="209">
      <c r="B209" s="85">
        <v>6561.0</v>
      </c>
      <c r="C209" s="85" t="s">
        <v>360</v>
      </c>
      <c r="D209" s="85" t="s">
        <v>1171</v>
      </c>
    </row>
    <row r="210">
      <c r="B210" s="85">
        <v>632.0</v>
      </c>
      <c r="C210" s="85" t="s">
        <v>361</v>
      </c>
      <c r="D210" s="85" t="s">
        <v>1209</v>
      </c>
    </row>
    <row r="211">
      <c r="B211" s="85">
        <v>1431.0</v>
      </c>
      <c r="C211" s="85" t="s">
        <v>362</v>
      </c>
      <c r="D211" s="85" t="s">
        <v>1210</v>
      </c>
    </row>
    <row r="212">
      <c r="B212" s="85">
        <v>212.0</v>
      </c>
      <c r="C212" s="85" t="s">
        <v>363</v>
      </c>
      <c r="D212" s="85" t="s">
        <v>1211</v>
      </c>
    </row>
    <row r="213">
      <c r="B213" s="85">
        <v>5211.0</v>
      </c>
      <c r="C213" s="85" t="s">
        <v>364</v>
      </c>
      <c r="D213" s="85" t="s">
        <v>1212</v>
      </c>
    </row>
    <row r="214">
      <c r="B214" s="85">
        <v>5113.0</v>
      </c>
      <c r="C214" s="85" t="s">
        <v>365</v>
      </c>
      <c r="D214" s="85" t="s">
        <v>365</v>
      </c>
    </row>
    <row r="215">
      <c r="B215" s="85">
        <v>7535.0</v>
      </c>
      <c r="C215" s="85" t="s">
        <v>366</v>
      </c>
      <c r="D215" s="85" t="s">
        <v>1213</v>
      </c>
    </row>
    <row r="216">
      <c r="B216" s="85">
        <v>4411.0</v>
      </c>
      <c r="C216" s="85" t="s">
        <v>367</v>
      </c>
      <c r="D216" s="85" t="s">
        <v>1214</v>
      </c>
    </row>
    <row r="217">
      <c r="B217" s="85">
        <v>2121.0</v>
      </c>
      <c r="C217" s="85" t="s">
        <v>368</v>
      </c>
      <c r="D217" s="85" t="s">
        <v>1215</v>
      </c>
    </row>
    <row r="218">
      <c r="B218" s="85">
        <v>7533.0</v>
      </c>
      <c r="C218" s="85" t="s">
        <v>369</v>
      </c>
      <c r="D218" s="85" t="s">
        <v>1216</v>
      </c>
    </row>
    <row r="219">
      <c r="B219" s="85">
        <v>1311.0</v>
      </c>
      <c r="C219" s="85" t="s">
        <v>370</v>
      </c>
      <c r="D219" s="85" t="s">
        <v>1217</v>
      </c>
    </row>
    <row r="220">
      <c r="B220" s="85">
        <v>4423.0</v>
      </c>
      <c r="C220" s="85" t="s">
        <v>371</v>
      </c>
      <c r="D220" s="85" t="s">
        <v>1218</v>
      </c>
    </row>
    <row r="221">
      <c r="B221" s="85">
        <v>6564.0</v>
      </c>
      <c r="C221" s="85" t="s">
        <v>372</v>
      </c>
      <c r="D221" s="85" t="s">
        <v>1219</v>
      </c>
    </row>
    <row r="222">
      <c r="B222" s="85">
        <v>6524.0</v>
      </c>
      <c r="C222" s="85" t="s">
        <v>373</v>
      </c>
      <c r="D222" s="85" t="s">
        <v>1220</v>
      </c>
    </row>
    <row r="223">
      <c r="B223" s="85">
        <v>3414.0</v>
      </c>
      <c r="C223" s="85" t="s">
        <v>374</v>
      </c>
      <c r="D223" s="85" t="s">
        <v>1150</v>
      </c>
    </row>
    <row r="224">
      <c r="B224" s="85">
        <v>6732.0</v>
      </c>
      <c r="C224" s="85" t="s">
        <v>375</v>
      </c>
      <c r="D224" s="85" t="s">
        <v>1221</v>
      </c>
    </row>
    <row r="225">
      <c r="B225" s="85">
        <v>4155.0</v>
      </c>
      <c r="C225" s="85" t="s">
        <v>376</v>
      </c>
      <c r="D225" s="85" t="s">
        <v>1222</v>
      </c>
    </row>
    <row r="226">
      <c r="B226" s="85">
        <v>6315.0</v>
      </c>
      <c r="C226" s="85" t="s">
        <v>377</v>
      </c>
      <c r="D226" s="85" t="s">
        <v>1223</v>
      </c>
    </row>
    <row r="227">
      <c r="B227" s="85">
        <v>1435.0</v>
      </c>
      <c r="C227" s="85" t="s">
        <v>378</v>
      </c>
      <c r="D227" s="85" t="s">
        <v>378</v>
      </c>
    </row>
    <row r="228">
      <c r="B228" s="85">
        <v>4423.0</v>
      </c>
      <c r="C228" s="85" t="s">
        <v>379</v>
      </c>
      <c r="D228" s="85" t="s">
        <v>1218</v>
      </c>
    </row>
    <row r="229">
      <c r="B229" s="85">
        <v>4212.0</v>
      </c>
      <c r="C229" s="85" t="s">
        <v>380</v>
      </c>
      <c r="D229" s="85" t="s">
        <v>1224</v>
      </c>
    </row>
    <row r="230">
      <c r="B230" s="85">
        <v>4412.0</v>
      </c>
      <c r="C230" s="85" t="s">
        <v>381</v>
      </c>
      <c r="D230" s="85" t="s">
        <v>1225</v>
      </c>
    </row>
    <row r="231">
      <c r="B231" s="85">
        <v>213.0</v>
      </c>
      <c r="C231" s="85" t="s">
        <v>382</v>
      </c>
      <c r="D231" s="85" t="s">
        <v>1226</v>
      </c>
    </row>
    <row r="232">
      <c r="B232" s="85">
        <v>6541.0</v>
      </c>
      <c r="C232" s="85" t="s">
        <v>383</v>
      </c>
      <c r="D232" s="85" t="s">
        <v>1195</v>
      </c>
    </row>
    <row r="233">
      <c r="B233" s="85">
        <v>1416.0</v>
      </c>
      <c r="C233" s="85" t="s">
        <v>384</v>
      </c>
      <c r="D233" s="85" t="s">
        <v>1227</v>
      </c>
    </row>
    <row r="234">
      <c r="B234" s="85">
        <v>1227.0</v>
      </c>
      <c r="C234" s="85" t="s">
        <v>385</v>
      </c>
      <c r="D234" s="85" t="s">
        <v>1228</v>
      </c>
    </row>
    <row r="235">
      <c r="B235" s="85">
        <v>5121.0</v>
      </c>
      <c r="C235" s="85" t="s">
        <v>386</v>
      </c>
      <c r="D235" s="85" t="s">
        <v>1229</v>
      </c>
    </row>
    <row r="236">
      <c r="B236" s="85">
        <v>6314.0</v>
      </c>
      <c r="C236" s="85" t="s">
        <v>387</v>
      </c>
      <c r="D236" s="85" t="s">
        <v>1230</v>
      </c>
    </row>
    <row r="237">
      <c r="B237" s="85">
        <v>6552.0</v>
      </c>
      <c r="C237" s="85" t="s">
        <v>388</v>
      </c>
      <c r="D237" s="85" t="s">
        <v>1231</v>
      </c>
    </row>
    <row r="238">
      <c r="B238" s="85">
        <v>6551.0</v>
      </c>
      <c r="C238" s="85" t="s">
        <v>389</v>
      </c>
      <c r="D238" s="85" t="s">
        <v>1232</v>
      </c>
    </row>
    <row r="239">
      <c r="B239" s="85">
        <v>1315.0</v>
      </c>
      <c r="C239" s="85" t="s">
        <v>390</v>
      </c>
      <c r="D239" s="85" t="s">
        <v>1233</v>
      </c>
    </row>
    <row r="240">
      <c r="B240" s="85">
        <v>3219.0</v>
      </c>
      <c r="C240" s="85" t="s">
        <v>391</v>
      </c>
      <c r="D240" s="85" t="s">
        <v>1145</v>
      </c>
    </row>
    <row r="241">
      <c r="B241" s="85">
        <v>3132.0</v>
      </c>
      <c r="C241" s="85" t="s">
        <v>392</v>
      </c>
      <c r="D241" s="85" t="s">
        <v>1234</v>
      </c>
    </row>
    <row r="242">
      <c r="B242" s="85">
        <v>1525.0</v>
      </c>
      <c r="C242" s="85" t="s">
        <v>393</v>
      </c>
      <c r="D242" s="85" t="s">
        <v>393</v>
      </c>
    </row>
    <row r="243">
      <c r="B243" s="85">
        <v>4214.0</v>
      </c>
      <c r="C243" s="85" t="s">
        <v>394</v>
      </c>
      <c r="D243" s="85" t="s">
        <v>1235</v>
      </c>
    </row>
    <row r="244">
      <c r="B244" s="85">
        <v>4214.0</v>
      </c>
      <c r="C244" s="85" t="s">
        <v>395</v>
      </c>
      <c r="D244" s="85" t="s">
        <v>1235</v>
      </c>
    </row>
    <row r="245">
      <c r="B245" s="85">
        <v>5122.0</v>
      </c>
      <c r="C245" s="85" t="s">
        <v>396</v>
      </c>
      <c r="D245" s="85" t="s">
        <v>396</v>
      </c>
    </row>
    <row r="246">
      <c r="B246" s="85">
        <v>4166.0</v>
      </c>
      <c r="C246" s="85" t="s">
        <v>397</v>
      </c>
      <c r="D246" s="85" t="s">
        <v>1236</v>
      </c>
    </row>
    <row r="247">
      <c r="B247" s="85">
        <v>4032.0</v>
      </c>
      <c r="C247" s="85" t="s">
        <v>398</v>
      </c>
      <c r="D247" s="85" t="s">
        <v>1237</v>
      </c>
    </row>
    <row r="248">
      <c r="B248" s="85">
        <v>211.0</v>
      </c>
      <c r="C248" s="85" t="s">
        <v>399</v>
      </c>
      <c r="D248" s="85" t="s">
        <v>1238</v>
      </c>
    </row>
    <row r="249">
      <c r="B249" s="85">
        <v>1228.0</v>
      </c>
      <c r="C249" s="85" t="s">
        <v>400</v>
      </c>
      <c r="D249" s="85" t="s">
        <v>1239</v>
      </c>
    </row>
    <row r="250">
      <c r="B250" s="85">
        <v>1222.0</v>
      </c>
      <c r="C250" s="85" t="s">
        <v>401</v>
      </c>
      <c r="D250" s="85" t="s">
        <v>1240</v>
      </c>
    </row>
    <row r="251">
      <c r="B251" s="85">
        <v>6321.0</v>
      </c>
      <c r="C251" s="85" t="s">
        <v>402</v>
      </c>
      <c r="D251" s="85" t="s">
        <v>1241</v>
      </c>
    </row>
    <row r="252">
      <c r="B252" s="85">
        <v>6312.0</v>
      </c>
      <c r="C252" s="85" t="s">
        <v>403</v>
      </c>
      <c r="D252" s="85" t="s">
        <v>1242</v>
      </c>
    </row>
    <row r="253">
      <c r="B253" s="85">
        <v>714.0</v>
      </c>
      <c r="C253" s="85" t="s">
        <v>404</v>
      </c>
      <c r="D253" s="85" t="s">
        <v>1178</v>
      </c>
    </row>
    <row r="254">
      <c r="B254" s="85">
        <v>7533.0</v>
      </c>
      <c r="C254" s="85" t="s">
        <v>405</v>
      </c>
      <c r="D254" s="85" t="s">
        <v>1216</v>
      </c>
    </row>
    <row r="255">
      <c r="B255" s="85">
        <v>1411.0</v>
      </c>
      <c r="C255" s="85" t="s">
        <v>406</v>
      </c>
      <c r="D255" s="85" t="s">
        <v>1243</v>
      </c>
    </row>
    <row r="256">
      <c r="B256" s="85">
        <v>9463.0</v>
      </c>
      <c r="C256" s="85" t="s">
        <v>407</v>
      </c>
      <c r="D256" s="85" t="s">
        <v>1244</v>
      </c>
    </row>
    <row r="257">
      <c r="B257" s="85">
        <v>6513.0</v>
      </c>
      <c r="C257" s="85" t="s">
        <v>408</v>
      </c>
      <c r="D257" s="85" t="s">
        <v>1245</v>
      </c>
    </row>
    <row r="258">
      <c r="B258" s="85">
        <v>6711.0</v>
      </c>
      <c r="C258" s="85" t="s">
        <v>409</v>
      </c>
      <c r="D258" s="85" t="s">
        <v>1246</v>
      </c>
    </row>
    <row r="259">
      <c r="B259" s="85">
        <v>6311.0</v>
      </c>
      <c r="C259" s="85" t="s">
        <v>410</v>
      </c>
      <c r="D259" s="85" t="s">
        <v>1247</v>
      </c>
    </row>
    <row r="260">
      <c r="B260" s="85">
        <v>6732.0</v>
      </c>
      <c r="C260" s="85" t="s">
        <v>411</v>
      </c>
      <c r="D260" s="85" t="s">
        <v>1221</v>
      </c>
    </row>
    <row r="261">
      <c r="B261" s="85">
        <v>6533.0</v>
      </c>
      <c r="C261" s="85" t="s">
        <v>412</v>
      </c>
      <c r="D261" s="85" t="s">
        <v>1248</v>
      </c>
    </row>
    <row r="262">
      <c r="B262" s="85">
        <v>4423.0</v>
      </c>
      <c r="C262" s="85" t="s">
        <v>413</v>
      </c>
      <c r="D262" s="85" t="s">
        <v>1218</v>
      </c>
    </row>
    <row r="263">
      <c r="B263" s="85">
        <v>2144.0</v>
      </c>
      <c r="C263" s="85" t="s">
        <v>414</v>
      </c>
      <c r="D263" s="85" t="s">
        <v>1249</v>
      </c>
    </row>
    <row r="264">
      <c r="B264" s="85">
        <v>2113.0</v>
      </c>
      <c r="C264" s="85" t="s">
        <v>415</v>
      </c>
      <c r="D264" s="85" t="s">
        <v>1250</v>
      </c>
    </row>
    <row r="265">
      <c r="B265" s="85">
        <v>6221.0</v>
      </c>
      <c r="C265" s="85" t="s">
        <v>416</v>
      </c>
      <c r="D265" s="85" t="s">
        <v>1251</v>
      </c>
    </row>
    <row r="266">
      <c r="B266" s="85">
        <v>4165.0</v>
      </c>
      <c r="C266" s="85" t="s">
        <v>417</v>
      </c>
      <c r="D266" s="85" t="s">
        <v>1252</v>
      </c>
    </row>
    <row r="267">
      <c r="B267" s="85">
        <v>6525.0</v>
      </c>
      <c r="C267" s="85" t="s">
        <v>418</v>
      </c>
      <c r="D267" s="85" t="s">
        <v>1253</v>
      </c>
    </row>
    <row r="268">
      <c r="B268" s="85">
        <v>4164.0</v>
      </c>
      <c r="C268" s="85" t="s">
        <v>419</v>
      </c>
      <c r="D268" s="85" t="s">
        <v>1170</v>
      </c>
    </row>
    <row r="269">
      <c r="B269" s="85">
        <v>8442.0</v>
      </c>
      <c r="C269" s="85" t="s">
        <v>420</v>
      </c>
      <c r="D269" s="85" t="s">
        <v>1254</v>
      </c>
    </row>
    <row r="270">
      <c r="B270" s="85">
        <v>6552.0</v>
      </c>
      <c r="C270" s="85" t="s">
        <v>421</v>
      </c>
      <c r="D270" s="85" t="s">
        <v>1231</v>
      </c>
    </row>
    <row r="271">
      <c r="B271" s="85">
        <v>2171.0</v>
      </c>
      <c r="C271" s="85" t="s">
        <v>422</v>
      </c>
      <c r="D271" s="85" t="s">
        <v>1173</v>
      </c>
    </row>
    <row r="272">
      <c r="B272" s="85">
        <v>1312.0</v>
      </c>
      <c r="C272" s="85" t="s">
        <v>423</v>
      </c>
      <c r="D272" s="85" t="s">
        <v>1255</v>
      </c>
    </row>
    <row r="273">
      <c r="B273" s="85">
        <v>6231.0</v>
      </c>
      <c r="C273" s="85" t="s">
        <v>424</v>
      </c>
      <c r="D273" s="85" t="s">
        <v>1256</v>
      </c>
    </row>
    <row r="274">
      <c r="B274" s="85">
        <v>1312.0</v>
      </c>
      <c r="C274" s="85" t="s">
        <v>425</v>
      </c>
      <c r="D274" s="85" t="s">
        <v>1255</v>
      </c>
    </row>
    <row r="275">
      <c r="B275" s="85">
        <v>4164.0</v>
      </c>
      <c r="C275" s="85" t="s">
        <v>426</v>
      </c>
      <c r="D275" s="85" t="s">
        <v>1170</v>
      </c>
    </row>
    <row r="276">
      <c r="B276" s="85">
        <v>5125.0</v>
      </c>
      <c r="C276" s="85" t="s">
        <v>427</v>
      </c>
      <c r="D276" s="85" t="s">
        <v>1257</v>
      </c>
    </row>
    <row r="277">
      <c r="B277" s="85">
        <v>1524.0</v>
      </c>
      <c r="C277" s="85" t="s">
        <v>428</v>
      </c>
      <c r="D277" s="85" t="s">
        <v>1258</v>
      </c>
    </row>
    <row r="278">
      <c r="B278" s="85">
        <v>6741.0</v>
      </c>
      <c r="C278" s="85" t="s">
        <v>429</v>
      </c>
      <c r="D278" s="85" t="s">
        <v>1259</v>
      </c>
    </row>
    <row r="279">
      <c r="B279" s="85">
        <v>1227.0</v>
      </c>
      <c r="C279" s="85" t="s">
        <v>430</v>
      </c>
      <c r="D279" s="85" t="s">
        <v>1228</v>
      </c>
    </row>
    <row r="280">
      <c r="B280" s="85">
        <v>9618.0</v>
      </c>
      <c r="C280" s="85" t="s">
        <v>431</v>
      </c>
      <c r="D280" s="85" t="s">
        <v>1260</v>
      </c>
    </row>
    <row r="281">
      <c r="B281" s="85">
        <v>9617.0</v>
      </c>
      <c r="C281" s="85" t="s">
        <v>432</v>
      </c>
      <c r="D281" s="85" t="s">
        <v>1261</v>
      </c>
    </row>
    <row r="282">
      <c r="B282" s="85">
        <v>9612.0</v>
      </c>
      <c r="C282" s="85" t="s">
        <v>433</v>
      </c>
      <c r="D282" s="85" t="s">
        <v>1262</v>
      </c>
    </row>
    <row r="283">
      <c r="B283" s="85">
        <v>9611.0</v>
      </c>
      <c r="C283" s="85" t="s">
        <v>434</v>
      </c>
      <c r="D283" s="85" t="s">
        <v>1263</v>
      </c>
    </row>
    <row r="284">
      <c r="B284" s="85">
        <v>9616.0</v>
      </c>
      <c r="C284" s="85" t="s">
        <v>435</v>
      </c>
      <c r="D284" s="85" t="s">
        <v>1264</v>
      </c>
    </row>
    <row r="285">
      <c r="B285" s="85">
        <v>5244.0</v>
      </c>
      <c r="C285" s="85" t="s">
        <v>436</v>
      </c>
      <c r="D285" s="85" t="s">
        <v>1265</v>
      </c>
    </row>
    <row r="286">
      <c r="B286" s="85">
        <v>5134.0</v>
      </c>
      <c r="C286" s="85" t="s">
        <v>437</v>
      </c>
      <c r="D286" s="85" t="s">
        <v>438</v>
      </c>
    </row>
    <row r="287">
      <c r="B287" s="85">
        <v>5134.0</v>
      </c>
      <c r="C287" s="85" t="s">
        <v>438</v>
      </c>
      <c r="D287" s="85" t="s">
        <v>438</v>
      </c>
    </row>
    <row r="288">
      <c r="B288" s="85">
        <v>5244.0</v>
      </c>
      <c r="C288" s="85" t="s">
        <v>439</v>
      </c>
      <c r="D288" s="85" t="s">
        <v>1265</v>
      </c>
    </row>
    <row r="289">
      <c r="B289" s="85">
        <v>5251.0</v>
      </c>
      <c r="C289" s="85" t="s">
        <v>440</v>
      </c>
      <c r="D289" s="85" t="s">
        <v>440</v>
      </c>
    </row>
    <row r="290">
      <c r="B290" s="85">
        <v>5244.0</v>
      </c>
      <c r="C290" s="85" t="s">
        <v>441</v>
      </c>
      <c r="D290" s="85" t="s">
        <v>1265</v>
      </c>
    </row>
    <row r="291">
      <c r="B291" s="85">
        <v>2231.0</v>
      </c>
      <c r="C291" s="85" t="s">
        <v>442</v>
      </c>
      <c r="D291" s="85" t="s">
        <v>1266</v>
      </c>
    </row>
    <row r="292">
      <c r="B292" s="85">
        <v>5244.0</v>
      </c>
      <c r="C292" s="85" t="s">
        <v>443</v>
      </c>
      <c r="D292" s="85" t="s">
        <v>1265</v>
      </c>
    </row>
    <row r="293">
      <c r="B293" s="85">
        <v>2233.0</v>
      </c>
      <c r="C293" s="85" t="s">
        <v>444</v>
      </c>
      <c r="D293" s="85" t="s">
        <v>1267</v>
      </c>
    </row>
    <row r="294">
      <c r="B294" s="85">
        <v>2232.0</v>
      </c>
      <c r="C294" s="85" t="s">
        <v>445</v>
      </c>
      <c r="D294" s="85" t="s">
        <v>1133</v>
      </c>
    </row>
    <row r="295">
      <c r="B295" s="85">
        <v>9442.0</v>
      </c>
      <c r="C295" s="85" t="s">
        <v>446</v>
      </c>
      <c r="D295" s="85" t="s">
        <v>1268</v>
      </c>
    </row>
    <row r="296">
      <c r="B296" s="85">
        <v>7315.0</v>
      </c>
      <c r="C296" s="85" t="s">
        <v>447</v>
      </c>
      <c r="D296" s="85" t="s">
        <v>118</v>
      </c>
    </row>
    <row r="297">
      <c r="B297" s="85">
        <v>5244.0</v>
      </c>
      <c r="C297" s="85" t="s">
        <v>448</v>
      </c>
      <c r="D297" s="85" t="s">
        <v>1265</v>
      </c>
    </row>
    <row r="298">
      <c r="B298" s="85">
        <v>5244.0</v>
      </c>
      <c r="C298" s="85" t="s">
        <v>449</v>
      </c>
      <c r="D298" s="85" t="s">
        <v>1265</v>
      </c>
    </row>
    <row r="299">
      <c r="B299" s="85">
        <v>2255.0</v>
      </c>
      <c r="C299" s="85" t="s">
        <v>450</v>
      </c>
      <c r="D299" s="85" t="s">
        <v>1139</v>
      </c>
    </row>
    <row r="300">
      <c r="B300" s="85">
        <v>7384.0</v>
      </c>
      <c r="C300" s="85" t="s">
        <v>451</v>
      </c>
      <c r="D300" s="85" t="s">
        <v>1089</v>
      </c>
    </row>
    <row r="301">
      <c r="B301" s="85">
        <v>7384.0</v>
      </c>
      <c r="C301" s="85" t="s">
        <v>452</v>
      </c>
      <c r="D301" s="85" t="s">
        <v>1089</v>
      </c>
    </row>
    <row r="302">
      <c r="B302" s="85">
        <v>7234.0</v>
      </c>
      <c r="C302" s="85" t="s">
        <v>453</v>
      </c>
      <c r="D302" s="85" t="s">
        <v>453</v>
      </c>
    </row>
    <row r="303">
      <c r="B303" s="85">
        <v>7233.0</v>
      </c>
      <c r="C303" s="85" t="s">
        <v>454</v>
      </c>
      <c r="D303" s="85" t="s">
        <v>1269</v>
      </c>
    </row>
    <row r="304">
      <c r="B304" s="85">
        <v>7372.0</v>
      </c>
      <c r="C304" s="85" t="s">
        <v>455</v>
      </c>
      <c r="D304" s="85" t="s">
        <v>1110</v>
      </c>
    </row>
    <row r="305">
      <c r="B305" s="85">
        <v>7272.0</v>
      </c>
      <c r="C305" s="85" t="s">
        <v>456</v>
      </c>
      <c r="D305" s="85" t="s">
        <v>456</v>
      </c>
    </row>
    <row r="306">
      <c r="B306" s="85">
        <v>5244.0</v>
      </c>
      <c r="C306" s="85" t="s">
        <v>457</v>
      </c>
      <c r="D306" s="85" t="s">
        <v>1265</v>
      </c>
    </row>
    <row r="307">
      <c r="B307" s="85">
        <v>7311.0</v>
      </c>
      <c r="C307" s="85" t="s">
        <v>458</v>
      </c>
      <c r="D307" s="85" t="s">
        <v>1270</v>
      </c>
    </row>
    <row r="308">
      <c r="B308" s="85">
        <v>1423.0</v>
      </c>
      <c r="C308" s="85" t="s">
        <v>459</v>
      </c>
      <c r="D308" s="85" t="s">
        <v>1156</v>
      </c>
    </row>
    <row r="309">
      <c r="B309" s="85">
        <v>2241.0</v>
      </c>
      <c r="C309" s="85" t="s">
        <v>460</v>
      </c>
      <c r="D309" s="85" t="s">
        <v>124</v>
      </c>
    </row>
    <row r="310">
      <c r="B310" s="85">
        <v>3223.0</v>
      </c>
      <c r="C310" s="85" t="s">
        <v>461</v>
      </c>
      <c r="D310" s="85" t="s">
        <v>123</v>
      </c>
    </row>
    <row r="311">
      <c r="B311" s="85">
        <v>7244.0</v>
      </c>
      <c r="C311" s="85" t="s">
        <v>462</v>
      </c>
      <c r="D311" s="85" t="s">
        <v>1271</v>
      </c>
    </row>
    <row r="312">
      <c r="B312" s="85">
        <v>2242.0</v>
      </c>
      <c r="C312" s="85" t="s">
        <v>463</v>
      </c>
      <c r="D312" s="85" t="s">
        <v>1272</v>
      </c>
    </row>
    <row r="313">
      <c r="B313" s="85">
        <v>9523.0</v>
      </c>
      <c r="C313" s="85" t="s">
        <v>464</v>
      </c>
      <c r="D313" s="85" t="s">
        <v>1273</v>
      </c>
    </row>
    <row r="314">
      <c r="B314" s="85">
        <v>7333.0</v>
      </c>
      <c r="C314" s="85" t="s">
        <v>465</v>
      </c>
      <c r="D314" s="85" t="s">
        <v>1274</v>
      </c>
    </row>
    <row r="315">
      <c r="B315" s="85">
        <v>9523.0</v>
      </c>
      <c r="C315" s="85" t="s">
        <v>466</v>
      </c>
      <c r="D315" s="85" t="s">
        <v>1273</v>
      </c>
    </row>
    <row r="316">
      <c r="B316" s="85">
        <v>5243.0</v>
      </c>
      <c r="C316" s="85" t="s">
        <v>467</v>
      </c>
      <c r="D316" s="85" t="s">
        <v>1275</v>
      </c>
    </row>
    <row r="317">
      <c r="B317" s="85">
        <v>9472.0</v>
      </c>
      <c r="C317" s="85" t="s">
        <v>468</v>
      </c>
      <c r="D317" s="85" t="s">
        <v>1152</v>
      </c>
    </row>
    <row r="318">
      <c r="B318" s="85">
        <v>2271.0</v>
      </c>
      <c r="C318" s="85" t="s">
        <v>469</v>
      </c>
      <c r="D318" s="85" t="s">
        <v>1276</v>
      </c>
    </row>
    <row r="319">
      <c r="B319" s="85">
        <v>2271.0</v>
      </c>
      <c r="C319" s="85" t="s">
        <v>470</v>
      </c>
      <c r="D319" s="85" t="s">
        <v>1276</v>
      </c>
    </row>
    <row r="320">
      <c r="B320" s="85">
        <v>2223.0</v>
      </c>
      <c r="C320" s="85" t="s">
        <v>471</v>
      </c>
      <c r="D320" s="85" t="s">
        <v>1277</v>
      </c>
    </row>
    <row r="321">
      <c r="B321" s="85">
        <v>5241.0</v>
      </c>
      <c r="C321" s="85" t="s">
        <v>472</v>
      </c>
      <c r="D321" s="85" t="s">
        <v>1278</v>
      </c>
    </row>
    <row r="322">
      <c r="B322" s="85">
        <v>6346.0</v>
      </c>
      <c r="C322" s="85" t="s">
        <v>473</v>
      </c>
      <c r="D322" s="85" t="s">
        <v>1279</v>
      </c>
    </row>
    <row r="323">
      <c r="B323" s="85">
        <v>5241.0</v>
      </c>
      <c r="C323" s="85" t="s">
        <v>474</v>
      </c>
      <c r="D323" s="85" t="s">
        <v>1278</v>
      </c>
    </row>
    <row r="324">
      <c r="B324" s="85">
        <v>2225.0</v>
      </c>
      <c r="C324" s="85" t="s">
        <v>475</v>
      </c>
      <c r="D324" s="85" t="s">
        <v>1116</v>
      </c>
    </row>
    <row r="325">
      <c r="B325" s="85">
        <v>7384.0</v>
      </c>
      <c r="C325" s="85" t="s">
        <v>476</v>
      </c>
      <c r="D325" s="85" t="s">
        <v>1089</v>
      </c>
    </row>
    <row r="326">
      <c r="B326" s="85">
        <v>1423.0</v>
      </c>
      <c r="C326" s="85" t="s">
        <v>477</v>
      </c>
      <c r="D326" s="85" t="s">
        <v>1156</v>
      </c>
    </row>
    <row r="327">
      <c r="B327" s="85">
        <v>7312.0</v>
      </c>
      <c r="C327" s="85" t="s">
        <v>478</v>
      </c>
      <c r="D327" s="85" t="s">
        <v>1280</v>
      </c>
    </row>
    <row r="328">
      <c r="B328" s="85">
        <v>9412.0</v>
      </c>
      <c r="C328" s="85" t="s">
        <v>479</v>
      </c>
      <c r="D328" s="85" t="s">
        <v>1137</v>
      </c>
    </row>
    <row r="329">
      <c r="B329" s="85">
        <v>7322.0</v>
      </c>
      <c r="C329" s="85" t="s">
        <v>480</v>
      </c>
      <c r="D329" s="85" t="s">
        <v>1281</v>
      </c>
    </row>
    <row r="330">
      <c r="B330" s="85">
        <v>7331.0</v>
      </c>
      <c r="C330" s="85" t="s">
        <v>481</v>
      </c>
      <c r="D330" s="85" t="s">
        <v>1282</v>
      </c>
    </row>
    <row r="331">
      <c r="B331" s="85">
        <v>2271.0</v>
      </c>
      <c r="C331" s="85" t="s">
        <v>482</v>
      </c>
      <c r="D331" s="85" t="s">
        <v>1276</v>
      </c>
    </row>
    <row r="332">
      <c r="B332" s="85">
        <v>9472.0</v>
      </c>
      <c r="C332" s="85" t="s">
        <v>483</v>
      </c>
      <c r="D332" s="85" t="s">
        <v>1152</v>
      </c>
    </row>
    <row r="333">
      <c r="B333" s="85">
        <v>7381.0</v>
      </c>
      <c r="C333" s="85" t="s">
        <v>484</v>
      </c>
      <c r="D333" s="85" t="s">
        <v>1283</v>
      </c>
    </row>
    <row r="334">
      <c r="B334" s="85">
        <v>3219.0</v>
      </c>
      <c r="C334" s="85" t="s">
        <v>485</v>
      </c>
      <c r="D334" s="85" t="s">
        <v>1145</v>
      </c>
    </row>
    <row r="335">
      <c r="B335" s="85">
        <v>5232.0</v>
      </c>
      <c r="C335" s="85" t="s">
        <v>486</v>
      </c>
      <c r="D335" s="85" t="s">
        <v>1086</v>
      </c>
    </row>
    <row r="336">
      <c r="B336" s="85">
        <v>7445.0</v>
      </c>
      <c r="C336" s="85" t="s">
        <v>487</v>
      </c>
      <c r="D336" s="85" t="s">
        <v>1284</v>
      </c>
    </row>
    <row r="337">
      <c r="B337" s="85">
        <v>4216.0</v>
      </c>
      <c r="C337" s="85" t="s">
        <v>488</v>
      </c>
      <c r="D337" s="85" t="s">
        <v>1285</v>
      </c>
    </row>
    <row r="338">
      <c r="B338" s="85">
        <v>9474.0</v>
      </c>
      <c r="C338" s="85" t="s">
        <v>489</v>
      </c>
      <c r="D338" s="85" t="s">
        <v>1286</v>
      </c>
    </row>
    <row r="339">
      <c r="B339" s="85">
        <v>7303.0</v>
      </c>
      <c r="C339" s="85" t="s">
        <v>490</v>
      </c>
      <c r="D339" s="85" t="s">
        <v>1287</v>
      </c>
    </row>
    <row r="340">
      <c r="B340" s="85">
        <v>5243.0</v>
      </c>
      <c r="C340" s="85" t="s">
        <v>491</v>
      </c>
      <c r="D340" s="85" t="s">
        <v>1275</v>
      </c>
    </row>
    <row r="341">
      <c r="B341" s="85">
        <v>1423.0</v>
      </c>
      <c r="C341" s="85" t="s">
        <v>492</v>
      </c>
      <c r="D341" s="85" t="s">
        <v>1156</v>
      </c>
    </row>
    <row r="342">
      <c r="B342" s="85">
        <v>1423.0</v>
      </c>
      <c r="C342" s="85" t="s">
        <v>493</v>
      </c>
      <c r="D342" s="85" t="s">
        <v>1156</v>
      </c>
    </row>
    <row r="343">
      <c r="B343" s="85">
        <v>7314.0</v>
      </c>
      <c r="C343" s="85" t="s">
        <v>494</v>
      </c>
      <c r="D343" s="85" t="s">
        <v>1288</v>
      </c>
    </row>
    <row r="344">
      <c r="B344" s="85">
        <v>9521.0</v>
      </c>
      <c r="C344" s="85" t="s">
        <v>495</v>
      </c>
      <c r="D344" s="85" t="s">
        <v>1289</v>
      </c>
    </row>
    <row r="345">
      <c r="B345" s="85">
        <v>5136.0</v>
      </c>
      <c r="C345" s="85" t="s">
        <v>496</v>
      </c>
      <c r="D345" s="85" t="s">
        <v>1290</v>
      </c>
    </row>
    <row r="346">
      <c r="B346" s="85">
        <v>7311.0</v>
      </c>
      <c r="C346" s="85" t="s">
        <v>497</v>
      </c>
      <c r="D346" s="85" t="s">
        <v>1270</v>
      </c>
    </row>
    <row r="347">
      <c r="B347" s="85">
        <v>7321.0</v>
      </c>
      <c r="C347" s="85" t="s">
        <v>498</v>
      </c>
      <c r="D347" s="85" t="s">
        <v>1291</v>
      </c>
    </row>
    <row r="348">
      <c r="B348" s="85">
        <v>5224.0</v>
      </c>
      <c r="C348" s="85" t="s">
        <v>499</v>
      </c>
      <c r="D348" s="85" t="s">
        <v>1292</v>
      </c>
    </row>
    <row r="349">
      <c r="B349" s="85">
        <v>8231.0</v>
      </c>
      <c r="C349" s="85" t="s">
        <v>500</v>
      </c>
      <c r="D349" s="85" t="s">
        <v>1293</v>
      </c>
    </row>
    <row r="350">
      <c r="B350" s="85">
        <v>5227.0</v>
      </c>
      <c r="C350" s="85" t="s">
        <v>501</v>
      </c>
      <c r="D350" s="85" t="s">
        <v>1108</v>
      </c>
    </row>
    <row r="351">
      <c r="B351" s="85">
        <v>2255.0</v>
      </c>
      <c r="C351" s="85" t="s">
        <v>502</v>
      </c>
      <c r="D351" s="85" t="s">
        <v>1139</v>
      </c>
    </row>
    <row r="352">
      <c r="B352" s="85">
        <v>2211.0</v>
      </c>
      <c r="C352" s="85" t="s">
        <v>503</v>
      </c>
      <c r="D352" s="85" t="s">
        <v>1294</v>
      </c>
    </row>
    <row r="353">
      <c r="B353" s="85">
        <v>3121.0</v>
      </c>
      <c r="C353" s="85" t="s">
        <v>504</v>
      </c>
      <c r="D353" s="85" t="s">
        <v>250</v>
      </c>
    </row>
    <row r="354">
      <c r="B354" s="85">
        <v>2231.0</v>
      </c>
      <c r="C354" s="85" t="s">
        <v>505</v>
      </c>
      <c r="D354" s="85" t="s">
        <v>1266</v>
      </c>
    </row>
    <row r="355">
      <c r="B355" s="85">
        <v>9524.0</v>
      </c>
      <c r="C355" s="85" t="s">
        <v>506</v>
      </c>
      <c r="D355" s="85" t="s">
        <v>1084</v>
      </c>
    </row>
    <row r="356">
      <c r="B356" s="85">
        <v>5252.0</v>
      </c>
      <c r="C356" s="85" t="s">
        <v>507</v>
      </c>
      <c r="D356" s="85" t="s">
        <v>507</v>
      </c>
    </row>
    <row r="357">
      <c r="B357" s="85">
        <v>3012.0</v>
      </c>
      <c r="C357" s="85" t="s">
        <v>508</v>
      </c>
      <c r="D357" s="85" t="s">
        <v>1143</v>
      </c>
    </row>
    <row r="358">
      <c r="B358" s="85">
        <v>2281.0</v>
      </c>
      <c r="C358" s="85" t="s">
        <v>509</v>
      </c>
      <c r="D358" s="85" t="s">
        <v>1295</v>
      </c>
    </row>
    <row r="359">
      <c r="B359" s="85">
        <v>6331.0</v>
      </c>
      <c r="C359" s="85" t="s">
        <v>510</v>
      </c>
      <c r="D359" s="85" t="s">
        <v>1296</v>
      </c>
    </row>
    <row r="360">
      <c r="B360" s="85">
        <v>9414.0</v>
      </c>
      <c r="C360" s="85" t="s">
        <v>511</v>
      </c>
      <c r="D360" s="85" t="s">
        <v>1297</v>
      </c>
    </row>
    <row r="361">
      <c r="B361" s="85">
        <v>3223.0</v>
      </c>
      <c r="C361" s="85" t="s">
        <v>512</v>
      </c>
      <c r="D361" s="85" t="s">
        <v>123</v>
      </c>
    </row>
    <row r="362">
      <c r="B362" s="85">
        <v>2253.0</v>
      </c>
      <c r="C362" s="85" t="s">
        <v>513</v>
      </c>
      <c r="D362" s="85" t="s">
        <v>114</v>
      </c>
    </row>
    <row r="363">
      <c r="B363" s="85">
        <v>9414.0</v>
      </c>
      <c r="C363" s="85" t="s">
        <v>514</v>
      </c>
      <c r="D363" s="85" t="s">
        <v>1297</v>
      </c>
    </row>
    <row r="364">
      <c r="B364" s="85">
        <v>9414.0</v>
      </c>
      <c r="C364" s="85" t="s">
        <v>515</v>
      </c>
      <c r="D364" s="85" t="s">
        <v>1297</v>
      </c>
    </row>
    <row r="365">
      <c r="B365" s="85">
        <v>2274.0</v>
      </c>
      <c r="C365" s="85" t="s">
        <v>516</v>
      </c>
      <c r="D365" s="85" t="s">
        <v>1298</v>
      </c>
    </row>
    <row r="366">
      <c r="B366" s="85">
        <v>9525.0</v>
      </c>
      <c r="C366" s="85" t="s">
        <v>517</v>
      </c>
      <c r="D366" s="85" t="s">
        <v>1174</v>
      </c>
    </row>
    <row r="367">
      <c r="B367" s="85">
        <v>5243.0</v>
      </c>
      <c r="C367" s="85" t="s">
        <v>518</v>
      </c>
      <c r="D367" s="85" t="s">
        <v>1275</v>
      </c>
    </row>
    <row r="368">
      <c r="B368" s="85">
        <v>5222.0</v>
      </c>
      <c r="C368" s="85" t="s">
        <v>519</v>
      </c>
      <c r="D368" s="85" t="s">
        <v>1299</v>
      </c>
    </row>
    <row r="369">
      <c r="B369" s="85">
        <v>7253.0</v>
      </c>
      <c r="C369" s="85" t="s">
        <v>520</v>
      </c>
      <c r="D369" s="85" t="s">
        <v>1300</v>
      </c>
    </row>
    <row r="370">
      <c r="B370" s="85">
        <v>3012.0</v>
      </c>
      <c r="C370" s="85" t="s">
        <v>521</v>
      </c>
      <c r="D370" s="85" t="s">
        <v>1143</v>
      </c>
    </row>
    <row r="371">
      <c r="B371" s="85">
        <v>2255.0</v>
      </c>
      <c r="C371" s="85" t="s">
        <v>522</v>
      </c>
      <c r="D371" s="85" t="s">
        <v>1139</v>
      </c>
    </row>
    <row r="372">
      <c r="B372" s="85">
        <v>2212.0</v>
      </c>
      <c r="C372" s="85" t="s">
        <v>523</v>
      </c>
      <c r="D372" s="85" t="s">
        <v>1113</v>
      </c>
    </row>
    <row r="373">
      <c r="B373" s="85">
        <v>5223.0</v>
      </c>
      <c r="C373" s="85" t="s">
        <v>524</v>
      </c>
      <c r="D373" s="85" t="s">
        <v>1301</v>
      </c>
    </row>
    <row r="374">
      <c r="B374" s="85">
        <v>2243.0</v>
      </c>
      <c r="C374" s="85" t="s">
        <v>525</v>
      </c>
      <c r="D374" s="85" t="s">
        <v>1302</v>
      </c>
    </row>
    <row r="375">
      <c r="B375" s="85">
        <v>5242.0</v>
      </c>
      <c r="C375" s="85" t="s">
        <v>526</v>
      </c>
      <c r="D375" s="85" t="s">
        <v>1303</v>
      </c>
    </row>
    <row r="376">
      <c r="B376" s="85">
        <v>7318.0</v>
      </c>
      <c r="C376" s="85" t="s">
        <v>527</v>
      </c>
      <c r="D376" s="85" t="s">
        <v>1304</v>
      </c>
    </row>
    <row r="377">
      <c r="B377" s="85">
        <v>6344.0</v>
      </c>
      <c r="C377" s="85" t="s">
        <v>528</v>
      </c>
      <c r="D377" s="85" t="s">
        <v>1162</v>
      </c>
    </row>
    <row r="378">
      <c r="B378" s="85">
        <v>2254.0</v>
      </c>
      <c r="C378" s="85" t="s">
        <v>529</v>
      </c>
      <c r="D378" s="85" t="s">
        <v>1305</v>
      </c>
    </row>
    <row r="379">
      <c r="B379" s="85">
        <v>2254.0</v>
      </c>
      <c r="C379" s="85" t="s">
        <v>530</v>
      </c>
      <c r="D379" s="85" t="s">
        <v>1305</v>
      </c>
    </row>
    <row r="380">
      <c r="B380" s="85">
        <v>7384.0</v>
      </c>
      <c r="C380" s="85" t="s">
        <v>531</v>
      </c>
      <c r="D380" s="85" t="s">
        <v>1089</v>
      </c>
    </row>
    <row r="381">
      <c r="B381" s="85">
        <v>5232.0</v>
      </c>
      <c r="C381" s="85" t="s">
        <v>532</v>
      </c>
      <c r="D381" s="85" t="s">
        <v>1086</v>
      </c>
    </row>
    <row r="382">
      <c r="B382" s="85">
        <v>7321.0</v>
      </c>
      <c r="C382" s="85" t="s">
        <v>533</v>
      </c>
      <c r="D382" s="85" t="s">
        <v>1291</v>
      </c>
    </row>
    <row r="383">
      <c r="B383" s="85">
        <v>1251.0</v>
      </c>
      <c r="C383" s="85" t="s">
        <v>534</v>
      </c>
      <c r="D383" s="85" t="s">
        <v>1306</v>
      </c>
    </row>
    <row r="384">
      <c r="B384" s="85">
        <v>8252.0</v>
      </c>
      <c r="C384" s="85" t="s">
        <v>535</v>
      </c>
      <c r="D384" s="85" t="s">
        <v>1307</v>
      </c>
    </row>
    <row r="385">
      <c r="B385" s="85">
        <v>3124.0</v>
      </c>
      <c r="C385" s="85" t="s">
        <v>536</v>
      </c>
      <c r="D385" s="85" t="s">
        <v>1308</v>
      </c>
    </row>
    <row r="386">
      <c r="B386" s="85">
        <v>4313.0</v>
      </c>
      <c r="C386" s="85" t="s">
        <v>537</v>
      </c>
      <c r="D386" s="85" t="s">
        <v>1309</v>
      </c>
    </row>
    <row r="387">
      <c r="B387" s="85">
        <v>5136.0</v>
      </c>
      <c r="C387" s="85" t="s">
        <v>538</v>
      </c>
      <c r="D387" s="85" t="s">
        <v>1290</v>
      </c>
    </row>
    <row r="388">
      <c r="B388" s="85">
        <v>5245.0</v>
      </c>
      <c r="C388" s="85" t="s">
        <v>539</v>
      </c>
      <c r="D388" s="85" t="s">
        <v>1310</v>
      </c>
    </row>
    <row r="389">
      <c r="B389" s="85">
        <v>7236.0</v>
      </c>
      <c r="C389" s="85" t="s">
        <v>540</v>
      </c>
      <c r="D389" s="85" t="s">
        <v>540</v>
      </c>
    </row>
    <row r="390">
      <c r="B390" s="85">
        <v>5212.0</v>
      </c>
      <c r="C390" s="85" t="s">
        <v>541</v>
      </c>
      <c r="D390" s="85" t="s">
        <v>1091</v>
      </c>
    </row>
    <row r="391">
      <c r="B391" s="85">
        <v>5254.0</v>
      </c>
      <c r="C391" s="85" t="s">
        <v>542</v>
      </c>
      <c r="D391" s="85" t="s">
        <v>1311</v>
      </c>
    </row>
    <row r="392">
      <c r="B392" s="85">
        <v>5227.0</v>
      </c>
      <c r="C392" s="85" t="s">
        <v>543</v>
      </c>
      <c r="D392" s="85" t="s">
        <v>1108</v>
      </c>
    </row>
    <row r="393">
      <c r="B393" s="85">
        <v>5227.0</v>
      </c>
      <c r="C393" s="85" t="s">
        <v>544</v>
      </c>
      <c r="D393" s="85" t="s">
        <v>1108</v>
      </c>
    </row>
    <row r="394">
      <c r="B394" s="85">
        <v>3219.0</v>
      </c>
      <c r="C394" s="85" t="s">
        <v>545</v>
      </c>
      <c r="D394" s="85" t="s">
        <v>1145</v>
      </c>
    </row>
    <row r="395">
      <c r="B395" s="85">
        <v>7384.0</v>
      </c>
      <c r="C395" s="85" t="s">
        <v>546</v>
      </c>
      <c r="D395" s="85" t="s">
        <v>1089</v>
      </c>
    </row>
    <row r="396">
      <c r="B396" s="85">
        <v>2255.0</v>
      </c>
      <c r="C396" s="85" t="s">
        <v>547</v>
      </c>
      <c r="D396" s="85" t="s">
        <v>1139</v>
      </c>
    </row>
    <row r="397">
      <c r="B397" s="85">
        <v>9416.0</v>
      </c>
      <c r="C397" s="85" t="s">
        <v>548</v>
      </c>
      <c r="D397" s="85" t="s">
        <v>1312</v>
      </c>
    </row>
    <row r="398">
      <c r="B398" s="85">
        <v>7251.0</v>
      </c>
      <c r="C398" s="85" t="s">
        <v>549</v>
      </c>
      <c r="D398" s="85" t="s">
        <v>549</v>
      </c>
    </row>
    <row r="399">
      <c r="B399" s="85">
        <v>7441.0</v>
      </c>
      <c r="C399" s="85" t="s">
        <v>550</v>
      </c>
      <c r="D399" s="85" t="s">
        <v>1313</v>
      </c>
    </row>
    <row r="400">
      <c r="B400" s="85">
        <v>7291.0</v>
      </c>
      <c r="C400" s="85" t="s">
        <v>551</v>
      </c>
      <c r="D400" s="85" t="s">
        <v>1167</v>
      </c>
    </row>
    <row r="401">
      <c r="B401" s="85">
        <v>5136.0</v>
      </c>
      <c r="C401" s="85" t="s">
        <v>552</v>
      </c>
      <c r="D401" s="85" t="s">
        <v>1290</v>
      </c>
    </row>
    <row r="402">
      <c r="B402" s="85">
        <v>7384.0</v>
      </c>
      <c r="C402" s="85" t="s">
        <v>553</v>
      </c>
      <c r="D402" s="85" t="s">
        <v>1089</v>
      </c>
    </row>
    <row r="403">
      <c r="B403" s="85">
        <v>5252.0</v>
      </c>
      <c r="C403" s="85" t="s">
        <v>554</v>
      </c>
      <c r="D403" s="85" t="s">
        <v>507</v>
      </c>
    </row>
    <row r="404">
      <c r="B404" s="85">
        <v>7384.0</v>
      </c>
      <c r="C404" s="85" t="s">
        <v>555</v>
      </c>
      <c r="D404" s="85" t="s">
        <v>1089</v>
      </c>
    </row>
    <row r="405">
      <c r="B405" s="85">
        <v>8252.0</v>
      </c>
      <c r="C405" s="85" t="s">
        <v>556</v>
      </c>
      <c r="D405" s="85" t="s">
        <v>1307</v>
      </c>
    </row>
    <row r="406">
      <c r="B406" s="85">
        <v>7201.0</v>
      </c>
      <c r="C406" s="85" t="s">
        <v>557</v>
      </c>
      <c r="D406" s="85" t="s">
        <v>1097</v>
      </c>
    </row>
    <row r="407">
      <c r="B407" s="85">
        <v>7246.0</v>
      </c>
      <c r="C407" s="85" t="s">
        <v>558</v>
      </c>
      <c r="D407" s="85" t="s">
        <v>1314</v>
      </c>
    </row>
    <row r="408">
      <c r="B408" s="85">
        <v>5133.0</v>
      </c>
      <c r="C408" s="85" t="s">
        <v>559</v>
      </c>
      <c r="D408" s="85" t="s">
        <v>1142</v>
      </c>
    </row>
    <row r="409">
      <c r="B409" s="85">
        <v>7246.0</v>
      </c>
      <c r="C409" s="85" t="s">
        <v>560</v>
      </c>
      <c r="D409" s="85" t="s">
        <v>1314</v>
      </c>
    </row>
    <row r="410">
      <c r="B410" s="85">
        <v>7246.0</v>
      </c>
      <c r="C410" s="85" t="s">
        <v>561</v>
      </c>
      <c r="D410" s="85" t="s">
        <v>1314</v>
      </c>
    </row>
    <row r="411">
      <c r="B411" s="85">
        <v>7246.0</v>
      </c>
      <c r="C411" s="85" t="s">
        <v>562</v>
      </c>
      <c r="D411" s="85" t="s">
        <v>1314</v>
      </c>
    </row>
    <row r="412">
      <c r="B412" s="85">
        <v>7321.0</v>
      </c>
      <c r="C412" s="85" t="s">
        <v>563</v>
      </c>
      <c r="D412" s="85" t="s">
        <v>1291</v>
      </c>
    </row>
    <row r="413">
      <c r="B413" s="85">
        <v>6345.0</v>
      </c>
      <c r="C413" s="85" t="s">
        <v>564</v>
      </c>
      <c r="D413" s="85" t="s">
        <v>564</v>
      </c>
    </row>
    <row r="414">
      <c r="B414" s="85">
        <v>3213.0</v>
      </c>
      <c r="C414" s="85" t="s">
        <v>565</v>
      </c>
      <c r="D414" s="85" t="s">
        <v>1315</v>
      </c>
    </row>
    <row r="415">
      <c r="B415" s="85">
        <v>9414.0</v>
      </c>
      <c r="C415" s="85" t="s">
        <v>566</v>
      </c>
      <c r="D415" s="85" t="s">
        <v>1297</v>
      </c>
    </row>
    <row r="416">
      <c r="B416" s="85">
        <v>2281.0</v>
      </c>
      <c r="C416" s="85" t="s">
        <v>567</v>
      </c>
      <c r="D416" s="85" t="s">
        <v>1295</v>
      </c>
    </row>
    <row r="417">
      <c r="B417" s="85">
        <v>7235.0</v>
      </c>
      <c r="C417" s="85" t="s">
        <v>568</v>
      </c>
      <c r="D417" s="85" t="s">
        <v>1316</v>
      </c>
    </row>
    <row r="418">
      <c r="B418" s="85">
        <v>9442.0</v>
      </c>
      <c r="C418" s="85" t="s">
        <v>569</v>
      </c>
      <c r="D418" s="85" t="s">
        <v>1268</v>
      </c>
    </row>
    <row r="419">
      <c r="B419" s="85">
        <v>9521.0</v>
      </c>
      <c r="C419" s="85" t="s">
        <v>570</v>
      </c>
      <c r="D419" s="85" t="s">
        <v>1289</v>
      </c>
    </row>
    <row r="420">
      <c r="B420" s="85">
        <v>7315.0</v>
      </c>
      <c r="C420" s="85" t="s">
        <v>571</v>
      </c>
      <c r="D420" s="85" t="s">
        <v>118</v>
      </c>
    </row>
    <row r="421">
      <c r="B421" s="85">
        <v>6342.0</v>
      </c>
      <c r="C421" s="85" t="s">
        <v>572</v>
      </c>
      <c r="D421" s="85" t="s">
        <v>1104</v>
      </c>
    </row>
    <row r="422">
      <c r="B422" s="85">
        <v>2225.0</v>
      </c>
      <c r="C422" s="85" t="s">
        <v>573</v>
      </c>
      <c r="D422" s="85" t="s">
        <v>1116</v>
      </c>
    </row>
    <row r="423">
      <c r="B423" s="85">
        <v>2251.0</v>
      </c>
      <c r="C423" s="85" t="s">
        <v>574</v>
      </c>
      <c r="D423" s="85" t="s">
        <v>1317</v>
      </c>
    </row>
    <row r="424">
      <c r="B424" s="85">
        <v>5132.0</v>
      </c>
      <c r="C424" s="85" t="s">
        <v>575</v>
      </c>
      <c r="D424" s="85" t="s">
        <v>1090</v>
      </c>
    </row>
    <row r="425">
      <c r="B425" s="85">
        <v>5131.0</v>
      </c>
      <c r="C425" s="85" t="s">
        <v>576</v>
      </c>
      <c r="D425" s="85" t="s">
        <v>1318</v>
      </c>
    </row>
    <row r="426">
      <c r="B426" s="85">
        <v>6562.0</v>
      </c>
      <c r="C426" s="85" t="s">
        <v>577</v>
      </c>
      <c r="D426" s="85" t="s">
        <v>1107</v>
      </c>
    </row>
    <row r="427">
      <c r="B427" s="85">
        <v>3237.0</v>
      </c>
      <c r="C427" s="85" t="s">
        <v>578</v>
      </c>
      <c r="D427" s="85" t="s">
        <v>1146</v>
      </c>
    </row>
    <row r="428">
      <c r="B428" s="85">
        <v>3237.0</v>
      </c>
      <c r="C428" s="85" t="s">
        <v>579</v>
      </c>
      <c r="D428" s="85" t="s">
        <v>1146</v>
      </c>
    </row>
    <row r="429">
      <c r="B429" s="85">
        <v>2244.0</v>
      </c>
      <c r="C429" s="85" t="s">
        <v>580</v>
      </c>
      <c r="D429" s="85" t="s">
        <v>121</v>
      </c>
    </row>
    <row r="430">
      <c r="B430" s="85">
        <v>6722.0</v>
      </c>
      <c r="C430" s="85" t="s">
        <v>581</v>
      </c>
      <c r="D430" s="85" t="s">
        <v>1319</v>
      </c>
    </row>
    <row r="431">
      <c r="B431" s="85">
        <v>6722.0</v>
      </c>
      <c r="C431" s="85" t="s">
        <v>582</v>
      </c>
      <c r="D431" s="85" t="s">
        <v>1319</v>
      </c>
    </row>
    <row r="432">
      <c r="B432" s="85">
        <v>7281.0</v>
      </c>
      <c r="C432" s="85" t="s">
        <v>583</v>
      </c>
      <c r="D432" s="85" t="s">
        <v>583</v>
      </c>
    </row>
    <row r="433">
      <c r="B433" s="85">
        <v>6321.0</v>
      </c>
      <c r="C433" s="85" t="s">
        <v>584</v>
      </c>
      <c r="D433" s="85" t="s">
        <v>1241</v>
      </c>
    </row>
    <row r="434">
      <c r="B434" s="85">
        <v>7533.0</v>
      </c>
      <c r="C434" s="85" t="s">
        <v>585</v>
      </c>
      <c r="D434" s="85" t="s">
        <v>1216</v>
      </c>
    </row>
    <row r="435">
      <c r="B435" s="85">
        <v>2211.0</v>
      </c>
      <c r="C435" s="85" t="s">
        <v>586</v>
      </c>
      <c r="D435" s="85" t="s">
        <v>1294</v>
      </c>
    </row>
    <row r="436">
      <c r="B436" s="85">
        <v>3232.0</v>
      </c>
      <c r="C436" s="85" t="s">
        <v>587</v>
      </c>
      <c r="D436" s="85" t="s">
        <v>1163</v>
      </c>
    </row>
    <row r="437">
      <c r="B437" s="85">
        <v>5131.0</v>
      </c>
      <c r="C437" s="85" t="s">
        <v>588</v>
      </c>
      <c r="D437" s="85" t="s">
        <v>1318</v>
      </c>
    </row>
    <row r="438">
      <c r="B438" s="85">
        <v>1452.0</v>
      </c>
      <c r="C438" s="85" t="s">
        <v>589</v>
      </c>
      <c r="D438" s="85" t="s">
        <v>1320</v>
      </c>
    </row>
    <row r="439">
      <c r="B439" s="85">
        <v>3131.0</v>
      </c>
      <c r="C439" s="85" t="s">
        <v>590</v>
      </c>
      <c r="D439" s="85" t="s">
        <v>1321</v>
      </c>
    </row>
    <row r="440">
      <c r="B440" s="85">
        <v>5132.0</v>
      </c>
      <c r="C440" s="85" t="s">
        <v>591</v>
      </c>
      <c r="D440" s="85" t="s">
        <v>1090</v>
      </c>
    </row>
    <row r="441">
      <c r="B441" s="85">
        <v>2224.0</v>
      </c>
      <c r="C441" s="85" t="s">
        <v>592</v>
      </c>
      <c r="D441" s="85" t="s">
        <v>1322</v>
      </c>
    </row>
    <row r="442">
      <c r="B442" s="85">
        <v>1452.0</v>
      </c>
      <c r="C442" s="85" t="s">
        <v>593</v>
      </c>
      <c r="D442" s="85" t="s">
        <v>1320</v>
      </c>
    </row>
    <row r="443">
      <c r="B443" s="85">
        <v>6562.0</v>
      </c>
      <c r="C443" s="85" t="s">
        <v>594</v>
      </c>
      <c r="D443" s="85" t="s">
        <v>1107</v>
      </c>
    </row>
    <row r="444">
      <c r="B444" s="85">
        <v>1251.0</v>
      </c>
      <c r="C444" s="85" t="s">
        <v>595</v>
      </c>
      <c r="D444" s="85" t="s">
        <v>1306</v>
      </c>
    </row>
    <row r="445">
      <c r="B445" s="85">
        <v>7513.0</v>
      </c>
      <c r="C445" s="85" t="s">
        <v>596</v>
      </c>
      <c r="D445" s="85" t="s">
        <v>1323</v>
      </c>
    </row>
    <row r="446">
      <c r="B446" s="85">
        <v>5212.0</v>
      </c>
      <c r="C446" s="85" t="s">
        <v>597</v>
      </c>
      <c r="D446" s="85" t="s">
        <v>1091</v>
      </c>
    </row>
    <row r="447">
      <c r="B447" s="85">
        <v>5112.0</v>
      </c>
      <c r="C447" s="85" t="s">
        <v>598</v>
      </c>
      <c r="D447" s="85" t="s">
        <v>1092</v>
      </c>
    </row>
    <row r="448">
      <c r="B448" s="85">
        <v>9472.0</v>
      </c>
      <c r="C448" s="85" t="s">
        <v>599</v>
      </c>
      <c r="D448" s="85" t="s">
        <v>1152</v>
      </c>
    </row>
    <row r="449">
      <c r="B449" s="85">
        <v>2273.0</v>
      </c>
      <c r="C449" s="85" t="s">
        <v>600</v>
      </c>
      <c r="D449" s="85" t="s">
        <v>1324</v>
      </c>
    </row>
    <row r="450">
      <c r="B450" s="85">
        <v>9421.0</v>
      </c>
      <c r="C450" s="85" t="s">
        <v>601</v>
      </c>
      <c r="D450" s="85" t="s">
        <v>1325</v>
      </c>
    </row>
    <row r="451">
      <c r="B451" s="85">
        <v>3411.0</v>
      </c>
      <c r="C451" s="85" t="s">
        <v>602</v>
      </c>
      <c r="D451" s="85" t="s">
        <v>1326</v>
      </c>
    </row>
    <row r="452">
      <c r="B452" s="85">
        <v>3113.0</v>
      </c>
      <c r="C452" s="85" t="s">
        <v>603</v>
      </c>
      <c r="D452" s="85" t="s">
        <v>603</v>
      </c>
    </row>
    <row r="453">
      <c r="B453" s="85">
        <v>513.0</v>
      </c>
      <c r="C453" s="85" t="s">
        <v>604</v>
      </c>
      <c r="D453" s="85" t="s">
        <v>1327</v>
      </c>
    </row>
    <row r="454">
      <c r="B454" s="85">
        <v>5131.0</v>
      </c>
      <c r="C454" s="85" t="s">
        <v>605</v>
      </c>
      <c r="D454" s="85" t="s">
        <v>1318</v>
      </c>
    </row>
    <row r="455">
      <c r="B455" s="85">
        <v>4216.0</v>
      </c>
      <c r="C455" s="85" t="s">
        <v>606</v>
      </c>
      <c r="D455" s="85" t="s">
        <v>1285</v>
      </c>
    </row>
    <row r="456">
      <c r="B456" s="85">
        <v>7371.0</v>
      </c>
      <c r="C456" s="85" t="s">
        <v>607</v>
      </c>
      <c r="D456" s="85" t="s">
        <v>1328</v>
      </c>
    </row>
    <row r="457">
      <c r="B457" s="85">
        <v>9523.0</v>
      </c>
      <c r="C457" s="85" t="s">
        <v>608</v>
      </c>
      <c r="D457" s="85" t="s">
        <v>1273</v>
      </c>
    </row>
    <row r="458">
      <c r="B458" s="85">
        <v>7514.0</v>
      </c>
      <c r="C458" s="85" t="s">
        <v>609</v>
      </c>
      <c r="D458" s="85" t="s">
        <v>1329</v>
      </c>
    </row>
    <row r="459">
      <c r="B459" s="85">
        <v>5131.0</v>
      </c>
      <c r="C459" s="85" t="s">
        <v>610</v>
      </c>
      <c r="D459" s="85" t="s">
        <v>1318</v>
      </c>
    </row>
    <row r="460">
      <c r="B460" s="85">
        <v>5227.0</v>
      </c>
      <c r="C460" s="85" t="s">
        <v>611</v>
      </c>
      <c r="D460" s="85" t="s">
        <v>1108</v>
      </c>
    </row>
    <row r="461">
      <c r="B461" s="85">
        <v>4312.0</v>
      </c>
      <c r="C461" s="85" t="s">
        <v>612</v>
      </c>
      <c r="D461" s="85" t="s">
        <v>612</v>
      </c>
    </row>
    <row r="462">
      <c r="B462" s="85">
        <v>1414.0</v>
      </c>
      <c r="C462" s="85" t="s">
        <v>613</v>
      </c>
      <c r="D462" s="85" t="s">
        <v>674</v>
      </c>
    </row>
    <row r="463">
      <c r="B463" s="85">
        <v>7284.0</v>
      </c>
      <c r="C463" s="85" t="s">
        <v>614</v>
      </c>
      <c r="D463" s="85" t="s">
        <v>1126</v>
      </c>
    </row>
    <row r="464">
      <c r="B464" s="85">
        <v>9445.0</v>
      </c>
      <c r="C464" s="85" t="s">
        <v>615</v>
      </c>
      <c r="D464" s="85" t="s">
        <v>1330</v>
      </c>
    </row>
    <row r="465">
      <c r="B465" s="85">
        <v>1411.0</v>
      </c>
      <c r="C465" s="85" t="s">
        <v>616</v>
      </c>
      <c r="D465" s="85" t="s">
        <v>1243</v>
      </c>
    </row>
    <row r="466">
      <c r="B466" s="85">
        <v>9445.0</v>
      </c>
      <c r="C466" s="85" t="s">
        <v>617</v>
      </c>
      <c r="D466" s="85" t="s">
        <v>1330</v>
      </c>
    </row>
    <row r="467">
      <c r="B467" s="85">
        <v>9532.0</v>
      </c>
      <c r="C467" s="85" t="s">
        <v>618</v>
      </c>
      <c r="D467" s="85" t="s">
        <v>1114</v>
      </c>
    </row>
    <row r="468">
      <c r="B468" s="85">
        <v>9413.0</v>
      </c>
      <c r="C468" s="85" t="s">
        <v>619</v>
      </c>
      <c r="D468" s="85" t="s">
        <v>1117</v>
      </c>
    </row>
    <row r="469">
      <c r="B469" s="85">
        <v>6562.0</v>
      </c>
      <c r="C469" s="85" t="s">
        <v>620</v>
      </c>
      <c r="D469" s="85" t="s">
        <v>1107</v>
      </c>
    </row>
    <row r="470">
      <c r="B470" s="85">
        <v>6341.0</v>
      </c>
      <c r="C470" s="85" t="s">
        <v>621</v>
      </c>
      <c r="D470" s="85" t="s">
        <v>1081</v>
      </c>
    </row>
    <row r="471">
      <c r="B471" s="85">
        <v>9413.0</v>
      </c>
      <c r="C471" s="85" t="s">
        <v>622</v>
      </c>
      <c r="D471" s="85" t="s">
        <v>1117</v>
      </c>
    </row>
    <row r="472">
      <c r="B472" s="85">
        <v>9413.0</v>
      </c>
      <c r="C472" s="85" t="s">
        <v>623</v>
      </c>
      <c r="D472" s="85" t="s">
        <v>1117</v>
      </c>
    </row>
    <row r="473">
      <c r="B473" s="85">
        <v>1414.0</v>
      </c>
      <c r="C473" s="85" t="s">
        <v>624</v>
      </c>
      <c r="D473" s="85" t="s">
        <v>674</v>
      </c>
    </row>
    <row r="474">
      <c r="B474" s="85">
        <v>7521.0</v>
      </c>
      <c r="C474" s="85" t="s">
        <v>625</v>
      </c>
      <c r="D474" s="85" t="s">
        <v>1331</v>
      </c>
    </row>
    <row r="475">
      <c r="B475" s="85">
        <v>2233.0</v>
      </c>
      <c r="C475" s="85" t="s">
        <v>626</v>
      </c>
      <c r="D475" s="85" t="s">
        <v>1267</v>
      </c>
    </row>
    <row r="476">
      <c r="B476" s="85">
        <v>3131.0</v>
      </c>
      <c r="C476" s="85" t="s">
        <v>627</v>
      </c>
      <c r="D476" s="85" t="s">
        <v>1321</v>
      </c>
    </row>
    <row r="477">
      <c r="B477" s="85">
        <v>9441.0</v>
      </c>
      <c r="C477" s="85" t="s">
        <v>628</v>
      </c>
      <c r="D477" s="85" t="s">
        <v>1205</v>
      </c>
    </row>
    <row r="478">
      <c r="B478" s="85">
        <v>2262.0</v>
      </c>
      <c r="C478" s="85" t="s">
        <v>629</v>
      </c>
      <c r="D478" s="85" t="s">
        <v>1165</v>
      </c>
    </row>
    <row r="479">
      <c r="B479" s="85">
        <v>4215.0</v>
      </c>
      <c r="C479" s="85" t="s">
        <v>630</v>
      </c>
      <c r="D479" s="85" t="s">
        <v>1332</v>
      </c>
    </row>
    <row r="480">
      <c r="B480" s="85">
        <v>2225.0</v>
      </c>
      <c r="C480" s="85" t="s">
        <v>631</v>
      </c>
      <c r="D480" s="85" t="s">
        <v>1116</v>
      </c>
    </row>
    <row r="481">
      <c r="B481" s="85">
        <v>8255.0</v>
      </c>
      <c r="C481" s="85" t="s">
        <v>632</v>
      </c>
      <c r="D481" s="85" t="s">
        <v>1333</v>
      </c>
    </row>
    <row r="482">
      <c r="B482" s="85">
        <v>4412.0</v>
      </c>
      <c r="C482" s="85" t="s">
        <v>633</v>
      </c>
      <c r="D482" s="85" t="s">
        <v>1225</v>
      </c>
    </row>
    <row r="483">
      <c r="B483" s="85">
        <v>1242.0</v>
      </c>
      <c r="C483" s="85" t="s">
        <v>634</v>
      </c>
      <c r="D483" s="85" t="s">
        <v>1334</v>
      </c>
    </row>
    <row r="484">
      <c r="B484" s="85">
        <v>9415.0</v>
      </c>
      <c r="C484" s="85" t="s">
        <v>635</v>
      </c>
      <c r="D484" s="85" t="s">
        <v>1335</v>
      </c>
    </row>
    <row r="485">
      <c r="B485" s="85">
        <v>1451.0</v>
      </c>
      <c r="C485" s="85" t="s">
        <v>636</v>
      </c>
      <c r="D485" s="85" t="s">
        <v>1336</v>
      </c>
    </row>
    <row r="486">
      <c r="B486" s="85">
        <v>7533.0</v>
      </c>
      <c r="C486" s="85" t="s">
        <v>637</v>
      </c>
      <c r="D486" s="85" t="s">
        <v>1216</v>
      </c>
    </row>
    <row r="487">
      <c r="B487" s="85">
        <v>9445.0</v>
      </c>
      <c r="C487" s="85" t="s">
        <v>638</v>
      </c>
      <c r="D487" s="85" t="s">
        <v>1330</v>
      </c>
    </row>
    <row r="488">
      <c r="B488" s="85">
        <v>1512.0</v>
      </c>
      <c r="C488" s="85" t="s">
        <v>639</v>
      </c>
      <c r="D488" s="85" t="s">
        <v>1337</v>
      </c>
    </row>
    <row r="489">
      <c r="B489" s="85">
        <v>9411.0</v>
      </c>
      <c r="C489" s="85" t="s">
        <v>640</v>
      </c>
      <c r="D489" s="85" t="s">
        <v>1338</v>
      </c>
    </row>
    <row r="490">
      <c r="B490" s="85">
        <v>6561.0</v>
      </c>
      <c r="C490" s="85" t="s">
        <v>641</v>
      </c>
      <c r="D490" s="85" t="s">
        <v>1171</v>
      </c>
    </row>
    <row r="491">
      <c r="B491" s="85">
        <v>1511.0</v>
      </c>
      <c r="C491" s="85" t="s">
        <v>642</v>
      </c>
      <c r="D491" s="85" t="s">
        <v>1192</v>
      </c>
    </row>
    <row r="492">
      <c r="B492" s="85">
        <v>3236.0</v>
      </c>
      <c r="C492" s="85" t="s">
        <v>643</v>
      </c>
      <c r="D492" s="85" t="s">
        <v>1339</v>
      </c>
    </row>
    <row r="493">
      <c r="B493" s="85">
        <v>1511.0</v>
      </c>
      <c r="C493" s="85" t="s">
        <v>644</v>
      </c>
      <c r="D493" s="85" t="s">
        <v>1192</v>
      </c>
    </row>
    <row r="494">
      <c r="B494" s="85">
        <v>1243.0</v>
      </c>
      <c r="C494" s="85" t="s">
        <v>645</v>
      </c>
      <c r="D494" s="85" t="s">
        <v>1340</v>
      </c>
    </row>
    <row r="495">
      <c r="B495" s="85">
        <v>3211.0</v>
      </c>
      <c r="C495" s="85" t="s">
        <v>646</v>
      </c>
      <c r="D495" s="85" t="s">
        <v>1341</v>
      </c>
    </row>
    <row r="496">
      <c r="B496" s="85">
        <v>1243.0</v>
      </c>
      <c r="C496" s="85" t="s">
        <v>647</v>
      </c>
      <c r="D496" s="85" t="s">
        <v>1340</v>
      </c>
    </row>
    <row r="497">
      <c r="B497" s="85">
        <v>9412.0</v>
      </c>
      <c r="C497" s="85" t="s">
        <v>648</v>
      </c>
      <c r="D497" s="85" t="s">
        <v>1137</v>
      </c>
    </row>
    <row r="498">
      <c r="B498" s="85">
        <v>2262.0</v>
      </c>
      <c r="C498" s="85" t="s">
        <v>649</v>
      </c>
      <c r="D498" s="85" t="s">
        <v>1165</v>
      </c>
    </row>
    <row r="499">
      <c r="B499" s="85">
        <v>2261.0</v>
      </c>
      <c r="C499" s="85" t="s">
        <v>650</v>
      </c>
      <c r="D499" s="85" t="s">
        <v>1342</v>
      </c>
    </row>
    <row r="500">
      <c r="B500" s="85">
        <v>3215.0</v>
      </c>
      <c r="C500" s="85" t="s">
        <v>651</v>
      </c>
      <c r="D500" s="85" t="s">
        <v>1153</v>
      </c>
    </row>
    <row r="501">
      <c r="B501" s="85">
        <v>9526.0</v>
      </c>
      <c r="C501" s="85" t="s">
        <v>652</v>
      </c>
      <c r="D501" s="85" t="s">
        <v>1140</v>
      </c>
    </row>
    <row r="502">
      <c r="B502" s="85">
        <v>8232.0</v>
      </c>
      <c r="C502" s="85" t="s">
        <v>653</v>
      </c>
      <c r="D502" s="85" t="s">
        <v>1343</v>
      </c>
    </row>
    <row r="503">
      <c r="B503" s="85">
        <v>3414.0</v>
      </c>
      <c r="C503" s="85" t="s">
        <v>654</v>
      </c>
      <c r="D503" s="85" t="s">
        <v>1150</v>
      </c>
    </row>
    <row r="504">
      <c r="B504" s="85">
        <v>3233.0</v>
      </c>
      <c r="C504" s="85" t="s">
        <v>655</v>
      </c>
      <c r="D504" s="85" t="s">
        <v>1125</v>
      </c>
    </row>
    <row r="505">
      <c r="B505" s="85">
        <v>3231.0</v>
      </c>
      <c r="C505" s="85" t="s">
        <v>656</v>
      </c>
      <c r="D505" s="85" t="s">
        <v>656</v>
      </c>
    </row>
    <row r="506">
      <c r="B506" s="85">
        <v>8412.0</v>
      </c>
      <c r="C506" s="85" t="s">
        <v>657</v>
      </c>
      <c r="D506" s="85" t="s">
        <v>1344</v>
      </c>
    </row>
    <row r="507">
      <c r="B507" s="85">
        <v>8412.0</v>
      </c>
      <c r="C507" s="85" t="s">
        <v>658</v>
      </c>
      <c r="D507" s="85" t="s">
        <v>1344</v>
      </c>
    </row>
    <row r="508">
      <c r="B508" s="85">
        <v>7335.0</v>
      </c>
      <c r="C508" s="85" t="s">
        <v>659</v>
      </c>
      <c r="D508" s="85" t="s">
        <v>1345</v>
      </c>
    </row>
    <row r="509">
      <c r="B509" s="85">
        <v>9537.0</v>
      </c>
      <c r="C509" s="85" t="s">
        <v>660</v>
      </c>
      <c r="D509" s="85" t="s">
        <v>1346</v>
      </c>
    </row>
    <row r="510">
      <c r="B510" s="85">
        <v>7294.0</v>
      </c>
      <c r="C510" s="85" t="s">
        <v>661</v>
      </c>
      <c r="D510" s="85" t="s">
        <v>1347</v>
      </c>
    </row>
    <row r="511">
      <c r="B511" s="85">
        <v>9537.0</v>
      </c>
      <c r="C511" s="85" t="s">
        <v>662</v>
      </c>
      <c r="D511" s="85" t="s">
        <v>1346</v>
      </c>
    </row>
    <row r="512">
      <c r="B512" s="85">
        <v>3212.0</v>
      </c>
      <c r="C512" s="85" t="s">
        <v>663</v>
      </c>
      <c r="D512" s="85" t="s">
        <v>1135</v>
      </c>
    </row>
    <row r="513">
      <c r="B513" s="85">
        <v>1432.0</v>
      </c>
      <c r="C513" s="85" t="s">
        <v>664</v>
      </c>
      <c r="D513" s="85" t="s">
        <v>1348</v>
      </c>
    </row>
    <row r="514">
      <c r="B514" s="85">
        <v>9434.0</v>
      </c>
      <c r="C514" s="85" t="s">
        <v>665</v>
      </c>
      <c r="D514" s="85" t="s">
        <v>1349</v>
      </c>
    </row>
    <row r="515">
      <c r="B515" s="85">
        <v>9232.0</v>
      </c>
      <c r="C515" s="85" t="s">
        <v>666</v>
      </c>
      <c r="D515" s="85" t="s">
        <v>1350</v>
      </c>
    </row>
    <row r="516">
      <c r="B516" s="85">
        <v>5212.0</v>
      </c>
      <c r="C516" s="85" t="s">
        <v>667</v>
      </c>
      <c r="D516" s="85" t="s">
        <v>1091</v>
      </c>
    </row>
    <row r="517">
      <c r="B517" s="85">
        <v>9435.0</v>
      </c>
      <c r="C517" s="85" t="s">
        <v>668</v>
      </c>
      <c r="D517" s="85" t="s">
        <v>1351</v>
      </c>
    </row>
    <row r="518">
      <c r="B518" s="85">
        <v>4311.0</v>
      </c>
      <c r="C518" s="85" t="s">
        <v>669</v>
      </c>
      <c r="D518" s="85" t="s">
        <v>1352</v>
      </c>
    </row>
    <row r="519">
      <c r="B519" s="85">
        <v>6563.0</v>
      </c>
      <c r="C519" s="85" t="s">
        <v>670</v>
      </c>
      <c r="D519" s="85" t="s">
        <v>1353</v>
      </c>
    </row>
    <row r="520">
      <c r="B520" s="85">
        <v>7284.0</v>
      </c>
      <c r="C520" s="85" t="s">
        <v>671</v>
      </c>
      <c r="D520" s="85" t="s">
        <v>1126</v>
      </c>
    </row>
    <row r="521">
      <c r="B521" s="85">
        <v>2262.0</v>
      </c>
      <c r="C521" s="85" t="s">
        <v>672</v>
      </c>
      <c r="D521" s="85" t="s">
        <v>1165</v>
      </c>
    </row>
    <row r="522">
      <c r="B522" s="85">
        <v>1452.0</v>
      </c>
      <c r="C522" s="85" t="s">
        <v>673</v>
      </c>
      <c r="D522" s="85" t="s">
        <v>1320</v>
      </c>
    </row>
    <row r="523">
      <c r="B523" s="85">
        <v>1414.0</v>
      </c>
      <c r="C523" s="85" t="s">
        <v>674</v>
      </c>
      <c r="D523" s="85" t="s">
        <v>674</v>
      </c>
    </row>
    <row r="524">
      <c r="B524" s="85">
        <v>3232.0</v>
      </c>
      <c r="C524" s="85" t="s">
        <v>675</v>
      </c>
      <c r="D524" s="85" t="s">
        <v>1163</v>
      </c>
    </row>
    <row r="525">
      <c r="B525" s="85">
        <v>3232.0</v>
      </c>
      <c r="C525" s="85" t="s">
        <v>676</v>
      </c>
      <c r="D525" s="85" t="s">
        <v>1163</v>
      </c>
    </row>
    <row r="526">
      <c r="B526" s="85">
        <v>1241.0</v>
      </c>
      <c r="C526" s="85" t="s">
        <v>677</v>
      </c>
      <c r="D526" s="85" t="s">
        <v>1354</v>
      </c>
    </row>
    <row r="527">
      <c r="B527" s="85">
        <v>5226.0</v>
      </c>
      <c r="C527" s="85" t="s">
        <v>678</v>
      </c>
      <c r="D527" s="85" t="s">
        <v>120</v>
      </c>
    </row>
    <row r="528">
      <c r="B528" s="85">
        <v>5125.0</v>
      </c>
      <c r="C528" s="85" t="s">
        <v>679</v>
      </c>
      <c r="D528" s="85" t="s">
        <v>1257</v>
      </c>
    </row>
    <row r="529">
      <c r="B529" s="85">
        <v>9471.0</v>
      </c>
      <c r="C529" s="85" t="s">
        <v>680</v>
      </c>
      <c r="D529" s="85" t="s">
        <v>1355</v>
      </c>
    </row>
    <row r="530">
      <c r="B530" s="85">
        <v>5253.0</v>
      </c>
      <c r="C530" s="85" t="s">
        <v>681</v>
      </c>
      <c r="D530" s="85" t="s">
        <v>1356</v>
      </c>
    </row>
    <row r="531">
      <c r="B531" s="85">
        <v>7522.0</v>
      </c>
      <c r="C531" s="85" t="s">
        <v>682</v>
      </c>
      <c r="D531" s="85" t="s">
        <v>1357</v>
      </c>
    </row>
    <row r="532">
      <c r="B532" s="85">
        <v>8422.0</v>
      </c>
      <c r="C532" s="85" t="s">
        <v>683</v>
      </c>
      <c r="D532" s="85" t="s">
        <v>1358</v>
      </c>
    </row>
    <row r="533">
      <c r="B533" s="85">
        <v>9223.0</v>
      </c>
      <c r="C533" s="85" t="s">
        <v>684</v>
      </c>
      <c r="D533" s="85" t="s">
        <v>1359</v>
      </c>
    </row>
    <row r="534">
      <c r="B534" s="85">
        <v>9222.0</v>
      </c>
      <c r="C534" s="85" t="s">
        <v>685</v>
      </c>
      <c r="D534" s="85" t="s">
        <v>1360</v>
      </c>
    </row>
    <row r="535">
      <c r="B535" s="85">
        <v>9215.0</v>
      </c>
      <c r="C535" s="85" t="s">
        <v>686</v>
      </c>
      <c r="D535" s="85" t="s">
        <v>1361</v>
      </c>
    </row>
    <row r="536">
      <c r="B536" s="85">
        <v>9211.0</v>
      </c>
      <c r="C536" s="85" t="s">
        <v>687</v>
      </c>
      <c r="D536" s="85" t="s">
        <v>1362</v>
      </c>
    </row>
    <row r="537">
      <c r="B537" s="85">
        <v>7305.0</v>
      </c>
      <c r="C537" s="85" t="s">
        <v>688</v>
      </c>
      <c r="D537" s="85" t="s">
        <v>1363</v>
      </c>
    </row>
    <row r="538">
      <c r="B538" s="85">
        <v>9227.0</v>
      </c>
      <c r="C538" s="85" t="s">
        <v>689</v>
      </c>
      <c r="D538" s="85" t="s">
        <v>1364</v>
      </c>
    </row>
    <row r="539">
      <c r="B539" s="85">
        <v>9212.0</v>
      </c>
      <c r="C539" s="85" t="s">
        <v>690</v>
      </c>
      <c r="D539" s="85" t="s">
        <v>1365</v>
      </c>
    </row>
    <row r="540">
      <c r="B540" s="85">
        <v>1414.0</v>
      </c>
      <c r="C540" s="85" t="s">
        <v>691</v>
      </c>
      <c r="D540" s="85" t="s">
        <v>674</v>
      </c>
    </row>
    <row r="541">
      <c r="B541" s="85">
        <v>1522.0</v>
      </c>
      <c r="C541" s="85" t="s">
        <v>692</v>
      </c>
      <c r="D541" s="85" t="s">
        <v>1366</v>
      </c>
    </row>
    <row r="542">
      <c r="B542" s="85">
        <v>1414.0</v>
      </c>
      <c r="C542" s="85" t="s">
        <v>693</v>
      </c>
      <c r="D542" s="85" t="s">
        <v>674</v>
      </c>
    </row>
    <row r="543">
      <c r="B543" s="85">
        <v>7512.0</v>
      </c>
      <c r="C543" s="85" t="s">
        <v>694</v>
      </c>
      <c r="D543" s="85" t="s">
        <v>1103</v>
      </c>
    </row>
    <row r="544">
      <c r="B544" s="85">
        <v>7513.0</v>
      </c>
      <c r="C544" s="85" t="s">
        <v>695</v>
      </c>
      <c r="D544" s="85" t="s">
        <v>1323</v>
      </c>
    </row>
    <row r="545">
      <c r="B545" s="85">
        <v>9447.0</v>
      </c>
      <c r="C545" s="85" t="s">
        <v>696</v>
      </c>
      <c r="D545" s="85" t="s">
        <v>1124</v>
      </c>
    </row>
    <row r="546">
      <c r="B546" s="85">
        <v>9243.0</v>
      </c>
      <c r="C546" s="85" t="s">
        <v>697</v>
      </c>
      <c r="D546" s="85" t="s">
        <v>1367</v>
      </c>
    </row>
    <row r="547">
      <c r="B547" s="85">
        <v>9243.0</v>
      </c>
      <c r="C547" s="85" t="s">
        <v>698</v>
      </c>
      <c r="D547" s="85" t="s">
        <v>1367</v>
      </c>
    </row>
    <row r="548">
      <c r="B548" s="85">
        <v>7373.0</v>
      </c>
      <c r="C548" s="85" t="s">
        <v>699</v>
      </c>
      <c r="D548" s="85" t="s">
        <v>1368</v>
      </c>
    </row>
    <row r="549">
      <c r="B549" s="85">
        <v>7283.0</v>
      </c>
      <c r="C549" s="85" t="s">
        <v>700</v>
      </c>
      <c r="D549" s="85" t="s">
        <v>700</v>
      </c>
    </row>
    <row r="550">
      <c r="B550" s="85">
        <v>8411.0</v>
      </c>
      <c r="C550" s="85" t="s">
        <v>701</v>
      </c>
      <c r="D550" s="85" t="s">
        <v>1369</v>
      </c>
    </row>
    <row r="551">
      <c r="B551" s="85">
        <v>7442.0</v>
      </c>
      <c r="C551" s="85" t="s">
        <v>702</v>
      </c>
      <c r="D551" s="85" t="s">
        <v>1115</v>
      </c>
    </row>
    <row r="552">
      <c r="B552" s="85">
        <v>7237.0</v>
      </c>
      <c r="C552" s="85" t="s">
        <v>703</v>
      </c>
      <c r="D552" s="85" t="s">
        <v>1079</v>
      </c>
    </row>
    <row r="553">
      <c r="B553" s="85">
        <v>5135.0</v>
      </c>
      <c r="C553" s="85" t="s">
        <v>704</v>
      </c>
      <c r="D553" s="85" t="s">
        <v>1370</v>
      </c>
    </row>
    <row r="554">
      <c r="B554" s="85">
        <v>5135.0</v>
      </c>
      <c r="C554" s="85" t="s">
        <v>705</v>
      </c>
      <c r="D554" s="85" t="s">
        <v>1370</v>
      </c>
    </row>
    <row r="555">
      <c r="B555" s="85">
        <v>9437.0</v>
      </c>
      <c r="C555" s="85" t="s">
        <v>706</v>
      </c>
      <c r="D555" s="85" t="s">
        <v>1371</v>
      </c>
    </row>
    <row r="556">
      <c r="B556" s="85">
        <v>1314.0</v>
      </c>
      <c r="C556" s="85" t="s">
        <v>707</v>
      </c>
      <c r="D556" s="85" t="s">
        <v>1372</v>
      </c>
    </row>
    <row r="557">
      <c r="B557" s="85">
        <v>823.0</v>
      </c>
      <c r="C557" s="85" t="s">
        <v>708</v>
      </c>
      <c r="D557" s="85" t="s">
        <v>1373</v>
      </c>
    </row>
    <row r="558">
      <c r="B558" s="85">
        <v>7361.0</v>
      </c>
      <c r="C558" s="85" t="s">
        <v>709</v>
      </c>
      <c r="D558" s="85" t="s">
        <v>1374</v>
      </c>
    </row>
    <row r="559">
      <c r="B559" s="85">
        <v>1314.0</v>
      </c>
      <c r="C559" s="85" t="s">
        <v>710</v>
      </c>
      <c r="D559" s="85" t="s">
        <v>1372</v>
      </c>
    </row>
    <row r="560">
      <c r="B560" s="85">
        <v>3141.0</v>
      </c>
      <c r="C560" s="85" t="s">
        <v>711</v>
      </c>
      <c r="D560" s="85" t="s">
        <v>1375</v>
      </c>
    </row>
    <row r="561">
      <c r="B561" s="85">
        <v>1434.0</v>
      </c>
      <c r="C561" s="85" t="s">
        <v>712</v>
      </c>
      <c r="D561" s="85" t="s">
        <v>1376</v>
      </c>
    </row>
    <row r="562">
      <c r="B562" s="85">
        <v>2221.0</v>
      </c>
      <c r="C562" s="85" t="s">
        <v>713</v>
      </c>
      <c r="D562" s="85" t="s">
        <v>122</v>
      </c>
    </row>
    <row r="563">
      <c r="B563" s="85">
        <v>7534.0</v>
      </c>
      <c r="C563" s="85" t="s">
        <v>714</v>
      </c>
      <c r="D563" s="85" t="s">
        <v>1377</v>
      </c>
    </row>
    <row r="564">
      <c r="B564" s="85">
        <v>9423.0</v>
      </c>
      <c r="C564" s="85" t="s">
        <v>715</v>
      </c>
      <c r="D564" s="85" t="s">
        <v>1378</v>
      </c>
    </row>
    <row r="565">
      <c r="B565" s="85">
        <v>3414.0</v>
      </c>
      <c r="C565" s="85" t="s">
        <v>716</v>
      </c>
      <c r="D565" s="85" t="s">
        <v>1150</v>
      </c>
    </row>
    <row r="566">
      <c r="B566" s="85">
        <v>3217.0</v>
      </c>
      <c r="C566" s="85" t="s">
        <v>717</v>
      </c>
      <c r="D566" s="85" t="s">
        <v>116</v>
      </c>
    </row>
    <row r="567">
      <c r="B567" s="85">
        <v>7362.0</v>
      </c>
      <c r="C567" s="85" t="s">
        <v>718</v>
      </c>
      <c r="D567" s="85" t="s">
        <v>1196</v>
      </c>
    </row>
    <row r="568">
      <c r="B568" s="85">
        <v>9231.0</v>
      </c>
      <c r="C568" s="85" t="s">
        <v>719</v>
      </c>
      <c r="D568" s="85" t="s">
        <v>1379</v>
      </c>
    </row>
    <row r="569">
      <c r="B569" s="85">
        <v>4021.0</v>
      </c>
      <c r="C569" s="85" t="s">
        <v>720</v>
      </c>
      <c r="D569" s="85" t="s">
        <v>1380</v>
      </c>
    </row>
    <row r="570">
      <c r="B570" s="85">
        <v>433.0</v>
      </c>
      <c r="C570" s="85" t="s">
        <v>721</v>
      </c>
      <c r="D570" s="85" t="s">
        <v>1381</v>
      </c>
    </row>
    <row r="571">
      <c r="B571" s="85">
        <v>1123.0</v>
      </c>
      <c r="C571" s="85" t="s">
        <v>722</v>
      </c>
      <c r="D571" s="85" t="s">
        <v>1382</v>
      </c>
    </row>
    <row r="572">
      <c r="B572" s="85">
        <v>8241.0</v>
      </c>
      <c r="C572" s="85" t="s">
        <v>723</v>
      </c>
      <c r="D572" s="85" t="s">
        <v>1383</v>
      </c>
    </row>
    <row r="573">
      <c r="B573" s="85">
        <v>2264.0</v>
      </c>
      <c r="C573" s="85" t="s">
        <v>724</v>
      </c>
      <c r="D573" s="85" t="s">
        <v>1384</v>
      </c>
    </row>
    <row r="574">
      <c r="B574" s="85">
        <v>6322.0</v>
      </c>
      <c r="C574" s="85" t="s">
        <v>725</v>
      </c>
      <c r="D574" s="85" t="s">
        <v>725</v>
      </c>
    </row>
    <row r="575">
      <c r="B575" s="85">
        <v>5121.0</v>
      </c>
      <c r="C575" s="85" t="s">
        <v>726</v>
      </c>
      <c r="D575" s="85" t="s">
        <v>1229</v>
      </c>
    </row>
    <row r="576">
      <c r="B576" s="85">
        <v>6611.0</v>
      </c>
      <c r="C576" s="85" t="s">
        <v>727</v>
      </c>
      <c r="D576" s="85" t="s">
        <v>727</v>
      </c>
    </row>
    <row r="577">
      <c r="B577" s="85">
        <v>1228.0</v>
      </c>
      <c r="C577" s="85" t="s">
        <v>728</v>
      </c>
      <c r="D577" s="85" t="s">
        <v>1239</v>
      </c>
    </row>
    <row r="578">
      <c r="B578" s="85">
        <v>7282.0</v>
      </c>
      <c r="C578" s="85" t="s">
        <v>729</v>
      </c>
      <c r="D578" s="85" t="s">
        <v>1385</v>
      </c>
    </row>
    <row r="579">
      <c r="B579" s="85">
        <v>4216.0</v>
      </c>
      <c r="C579" s="85" t="s">
        <v>730</v>
      </c>
      <c r="D579" s="85" t="s">
        <v>1285</v>
      </c>
    </row>
    <row r="580">
      <c r="B580" s="85">
        <v>1452.0</v>
      </c>
      <c r="C580" s="85" t="s">
        <v>630</v>
      </c>
      <c r="D580" s="85" t="s">
        <v>1320</v>
      </c>
    </row>
    <row r="581">
      <c r="B581" s="85">
        <v>3217.0</v>
      </c>
      <c r="C581" s="85" t="s">
        <v>731</v>
      </c>
      <c r="D581" s="85" t="s">
        <v>116</v>
      </c>
    </row>
    <row r="582">
      <c r="B582" s="85">
        <v>6562.0</v>
      </c>
      <c r="C582" s="85" t="s">
        <v>732</v>
      </c>
      <c r="D582" s="85" t="s">
        <v>1107</v>
      </c>
    </row>
    <row r="583">
      <c r="B583" s="85">
        <v>3217.0</v>
      </c>
      <c r="C583" s="85" t="s">
        <v>733</v>
      </c>
      <c r="D583" s="85" t="s">
        <v>116</v>
      </c>
    </row>
    <row r="584">
      <c r="B584" s="85">
        <v>9523.0</v>
      </c>
      <c r="C584" s="85" t="s">
        <v>734</v>
      </c>
      <c r="D584" s="85" t="s">
        <v>1273</v>
      </c>
    </row>
    <row r="585">
      <c r="B585" s="85">
        <v>821.0</v>
      </c>
      <c r="C585" s="85" t="s">
        <v>735</v>
      </c>
      <c r="D585" s="85" t="s">
        <v>1386</v>
      </c>
    </row>
    <row r="586">
      <c r="B586" s="85">
        <v>4422.0</v>
      </c>
      <c r="C586" s="85" t="s">
        <v>736</v>
      </c>
      <c r="D586" s="85" t="s">
        <v>1387</v>
      </c>
    </row>
    <row r="587">
      <c r="B587" s="85">
        <v>7532.0</v>
      </c>
      <c r="C587" s="85" t="s">
        <v>737</v>
      </c>
      <c r="D587" s="85" t="s">
        <v>1388</v>
      </c>
    </row>
    <row r="588">
      <c r="B588" s="85">
        <v>2272.0</v>
      </c>
      <c r="C588" s="85" t="s">
        <v>738</v>
      </c>
      <c r="D588" s="85" t="s">
        <v>1164</v>
      </c>
    </row>
    <row r="589">
      <c r="B589" s="85">
        <v>2122.0</v>
      </c>
      <c r="C589" s="85" t="s">
        <v>739</v>
      </c>
      <c r="D589" s="85" t="s">
        <v>1389</v>
      </c>
    </row>
    <row r="590">
      <c r="B590" s="85">
        <v>8441.0</v>
      </c>
      <c r="C590" s="85" t="s">
        <v>740</v>
      </c>
      <c r="D590" s="85" t="s">
        <v>1390</v>
      </c>
    </row>
    <row r="591">
      <c r="B591" s="85">
        <v>4411.0</v>
      </c>
      <c r="C591" s="85" t="s">
        <v>741</v>
      </c>
      <c r="D591" s="85" t="s">
        <v>1214</v>
      </c>
    </row>
    <row r="592">
      <c r="B592" s="85">
        <v>8262.0</v>
      </c>
      <c r="C592" s="85" t="s">
        <v>742</v>
      </c>
      <c r="D592" s="85" t="s">
        <v>1391</v>
      </c>
    </row>
    <row r="593">
      <c r="B593" s="85">
        <v>9416.0</v>
      </c>
      <c r="C593" s="85" t="s">
        <v>743</v>
      </c>
      <c r="D593" s="85" t="s">
        <v>1312</v>
      </c>
    </row>
    <row r="594">
      <c r="B594" s="85">
        <v>9412.0</v>
      </c>
      <c r="C594" s="85" t="s">
        <v>744</v>
      </c>
      <c r="D594" s="85" t="s">
        <v>1137</v>
      </c>
    </row>
    <row r="595">
      <c r="B595" s="85">
        <v>9534.0</v>
      </c>
      <c r="C595" s="85" t="s">
        <v>745</v>
      </c>
      <c r="D595" s="85" t="s">
        <v>1392</v>
      </c>
    </row>
    <row r="596">
      <c r="B596" s="85">
        <v>9534.0</v>
      </c>
      <c r="C596" s="85" t="s">
        <v>746</v>
      </c>
      <c r="D596" s="85" t="s">
        <v>1392</v>
      </c>
    </row>
    <row r="597">
      <c r="B597" s="85">
        <v>1252.0</v>
      </c>
      <c r="C597" s="85" t="s">
        <v>747</v>
      </c>
      <c r="D597" s="85" t="s">
        <v>1393</v>
      </c>
    </row>
    <row r="598">
      <c r="B598" s="85">
        <v>3232.0</v>
      </c>
      <c r="C598" s="85" t="s">
        <v>748</v>
      </c>
      <c r="D598" s="85" t="s">
        <v>1163</v>
      </c>
    </row>
    <row r="599">
      <c r="B599" s="85">
        <v>3232.0</v>
      </c>
      <c r="C599" s="85" t="s">
        <v>749</v>
      </c>
      <c r="D599" s="85" t="s">
        <v>1163</v>
      </c>
    </row>
    <row r="600">
      <c r="B600" s="85">
        <v>8431.0</v>
      </c>
      <c r="C600" s="85" t="s">
        <v>750</v>
      </c>
      <c r="D600" s="85" t="s">
        <v>1394</v>
      </c>
    </row>
    <row r="601">
      <c r="B601" s="85">
        <v>2263.0</v>
      </c>
      <c r="C601" s="85" t="s">
        <v>751</v>
      </c>
      <c r="D601" s="85" t="s">
        <v>1395</v>
      </c>
    </row>
    <row r="602">
      <c r="B602" s="85">
        <v>7293.0</v>
      </c>
      <c r="C602" s="85" t="s">
        <v>752</v>
      </c>
      <c r="D602" s="85" t="s">
        <v>752</v>
      </c>
    </row>
    <row r="603">
      <c r="B603" s="85">
        <v>1434.0</v>
      </c>
      <c r="C603" s="85" t="s">
        <v>753</v>
      </c>
      <c r="D603" s="85" t="s">
        <v>1376</v>
      </c>
    </row>
    <row r="604">
      <c r="B604" s="85">
        <v>5226.0</v>
      </c>
      <c r="C604" s="85" t="s">
        <v>754</v>
      </c>
      <c r="D604" s="85" t="s">
        <v>120</v>
      </c>
    </row>
    <row r="605">
      <c r="B605" s="85">
        <v>3144.0</v>
      </c>
      <c r="C605" s="85" t="s">
        <v>755</v>
      </c>
      <c r="D605" s="85" t="s">
        <v>1396</v>
      </c>
    </row>
    <row r="606">
      <c r="B606" s="85">
        <v>2225.0</v>
      </c>
      <c r="C606" s="85" t="s">
        <v>756</v>
      </c>
      <c r="D606" s="85" t="s">
        <v>1116</v>
      </c>
    </row>
    <row r="607">
      <c r="B607" s="85">
        <v>6622.0</v>
      </c>
      <c r="C607" s="85" t="s">
        <v>757</v>
      </c>
      <c r="D607" s="85" t="s">
        <v>1397</v>
      </c>
    </row>
    <row r="608">
      <c r="B608" s="85">
        <v>9527.0</v>
      </c>
      <c r="C608" s="85" t="s">
        <v>758</v>
      </c>
      <c r="D608" s="85" t="s">
        <v>1177</v>
      </c>
    </row>
    <row r="609">
      <c r="B609" s="85">
        <v>9436.0</v>
      </c>
      <c r="C609" s="85" t="s">
        <v>759</v>
      </c>
      <c r="D609" s="85" t="s">
        <v>1189</v>
      </c>
    </row>
    <row r="610">
      <c r="B610" s="85">
        <v>2275.0</v>
      </c>
      <c r="C610" s="85" t="s">
        <v>760</v>
      </c>
      <c r="D610" s="85" t="s">
        <v>1398</v>
      </c>
    </row>
    <row r="611">
      <c r="B611" s="85">
        <v>9412.0</v>
      </c>
      <c r="C611" s="85" t="s">
        <v>761</v>
      </c>
      <c r="D611" s="85" t="s">
        <v>1137</v>
      </c>
    </row>
    <row r="612">
      <c r="B612" s="85">
        <v>6562.0</v>
      </c>
      <c r="C612" s="85" t="s">
        <v>762</v>
      </c>
      <c r="D612" s="85" t="s">
        <v>1107</v>
      </c>
    </row>
    <row r="613">
      <c r="B613" s="85">
        <v>7452.0</v>
      </c>
      <c r="C613" s="85" t="s">
        <v>763</v>
      </c>
      <c r="D613" s="85" t="s">
        <v>1399</v>
      </c>
    </row>
    <row r="614">
      <c r="B614" s="85">
        <v>7452.0</v>
      </c>
      <c r="C614" s="85" t="s">
        <v>764</v>
      </c>
      <c r="D614" s="85" t="s">
        <v>1399</v>
      </c>
    </row>
    <row r="615">
      <c r="B615" s="85">
        <v>8241.0</v>
      </c>
      <c r="C615" s="85" t="s">
        <v>765</v>
      </c>
      <c r="D615" s="85" t="s">
        <v>1383</v>
      </c>
    </row>
    <row r="616">
      <c r="B616" s="85">
        <v>4216.0</v>
      </c>
      <c r="C616" s="85" t="s">
        <v>766</v>
      </c>
      <c r="D616" s="85" t="s">
        <v>1285</v>
      </c>
    </row>
    <row r="617">
      <c r="B617" s="85">
        <v>9522.0</v>
      </c>
      <c r="C617" s="85" t="s">
        <v>767</v>
      </c>
      <c r="D617" s="85" t="s">
        <v>1400</v>
      </c>
    </row>
    <row r="618">
      <c r="B618" s="85">
        <v>8241.0</v>
      </c>
      <c r="C618" s="85" t="s">
        <v>768</v>
      </c>
      <c r="D618" s="85" t="s">
        <v>1383</v>
      </c>
    </row>
    <row r="619">
      <c r="B619" s="85">
        <v>8232.0</v>
      </c>
      <c r="C619" s="85" t="s">
        <v>769</v>
      </c>
      <c r="D619" s="85" t="s">
        <v>1343</v>
      </c>
    </row>
    <row r="620">
      <c r="B620" s="85">
        <v>9412.0</v>
      </c>
      <c r="C620" s="85" t="s">
        <v>770</v>
      </c>
      <c r="D620" s="85" t="s">
        <v>1137</v>
      </c>
    </row>
    <row r="621">
      <c r="B621" s="85">
        <v>3125.0</v>
      </c>
      <c r="C621" s="85" t="s">
        <v>771</v>
      </c>
      <c r="D621" s="85" t="s">
        <v>1102</v>
      </c>
    </row>
    <row r="622">
      <c r="B622" s="85">
        <v>1434.0</v>
      </c>
      <c r="C622" s="85" t="s">
        <v>772</v>
      </c>
      <c r="D622" s="85" t="s">
        <v>1376</v>
      </c>
    </row>
    <row r="623">
      <c r="B623" s="85">
        <v>3413.0</v>
      </c>
      <c r="C623" s="85" t="s">
        <v>773</v>
      </c>
      <c r="D623" s="85" t="s">
        <v>1401</v>
      </c>
    </row>
    <row r="624">
      <c r="B624" s="85">
        <v>3414.0</v>
      </c>
      <c r="C624" s="85" t="s">
        <v>774</v>
      </c>
      <c r="D624" s="85" t="s">
        <v>1150</v>
      </c>
    </row>
    <row r="625">
      <c r="B625" s="85">
        <v>9235.0</v>
      </c>
      <c r="C625" s="85" t="s">
        <v>775</v>
      </c>
      <c r="D625" s="85" t="s">
        <v>1402</v>
      </c>
    </row>
    <row r="626">
      <c r="B626" s="85">
        <v>7612.0</v>
      </c>
      <c r="C626" s="85" t="s">
        <v>776</v>
      </c>
      <c r="D626" s="85" t="s">
        <v>1403</v>
      </c>
    </row>
    <row r="627">
      <c r="B627" s="85">
        <v>4161.0</v>
      </c>
      <c r="C627" s="85" t="s">
        <v>777</v>
      </c>
      <c r="D627" s="85" t="s">
        <v>1184</v>
      </c>
    </row>
    <row r="628">
      <c r="B628" s="85">
        <v>9436.0</v>
      </c>
      <c r="C628" s="85" t="s">
        <v>778</v>
      </c>
      <c r="D628" s="85" t="s">
        <v>1189</v>
      </c>
    </row>
    <row r="629">
      <c r="B629" s="85">
        <v>2255.0</v>
      </c>
      <c r="C629" s="85" t="s">
        <v>779</v>
      </c>
      <c r="D629" s="85" t="s">
        <v>1139</v>
      </c>
    </row>
    <row r="630">
      <c r="B630" s="85">
        <v>2115.0</v>
      </c>
      <c r="C630" s="85" t="s">
        <v>780</v>
      </c>
      <c r="D630" s="85" t="s">
        <v>1404</v>
      </c>
    </row>
    <row r="631">
      <c r="B631" s="85">
        <v>4423.0</v>
      </c>
      <c r="C631" s="85" t="s">
        <v>781</v>
      </c>
      <c r="D631" s="85" t="s">
        <v>1218</v>
      </c>
    </row>
    <row r="632">
      <c r="B632" s="85">
        <v>7444.0</v>
      </c>
      <c r="C632" s="85" t="s">
        <v>782</v>
      </c>
      <c r="D632" s="85" t="s">
        <v>1405</v>
      </c>
    </row>
    <row r="633">
      <c r="B633" s="85">
        <v>4012.0</v>
      </c>
      <c r="C633" s="85" t="s">
        <v>783</v>
      </c>
      <c r="D633" s="85" t="s">
        <v>1406</v>
      </c>
    </row>
    <row r="634">
      <c r="B634" s="85">
        <v>4012.0</v>
      </c>
      <c r="C634" s="85" t="s">
        <v>784</v>
      </c>
      <c r="D634" s="85" t="s">
        <v>1406</v>
      </c>
    </row>
    <row r="635">
      <c r="B635" s="85">
        <v>9535.0</v>
      </c>
      <c r="C635" s="85" t="s">
        <v>785</v>
      </c>
      <c r="D635" s="85" t="s">
        <v>1407</v>
      </c>
    </row>
    <row r="636">
      <c r="B636" s="85">
        <v>1452.0</v>
      </c>
      <c r="C636" s="85" t="s">
        <v>786</v>
      </c>
      <c r="D636" s="85" t="s">
        <v>1320</v>
      </c>
    </row>
    <row r="637">
      <c r="B637" s="85">
        <v>5226.0</v>
      </c>
      <c r="C637" s="85" t="s">
        <v>787</v>
      </c>
      <c r="D637" s="85" t="s">
        <v>120</v>
      </c>
    </row>
    <row r="638">
      <c r="B638" s="85">
        <v>9535.0</v>
      </c>
      <c r="C638" s="85" t="s">
        <v>788</v>
      </c>
      <c r="D638" s="85" t="s">
        <v>1407</v>
      </c>
    </row>
    <row r="639">
      <c r="B639" s="85">
        <v>9235.0</v>
      </c>
      <c r="C639" s="85" t="s">
        <v>789</v>
      </c>
      <c r="D639" s="85" t="s">
        <v>1402</v>
      </c>
    </row>
    <row r="640">
      <c r="B640" s="85">
        <v>1225.0</v>
      </c>
      <c r="C640" s="85" t="s">
        <v>790</v>
      </c>
      <c r="D640" s="85" t="s">
        <v>1408</v>
      </c>
    </row>
    <row r="641">
      <c r="B641" s="85">
        <v>7361.0</v>
      </c>
      <c r="C641" s="85" t="s">
        <v>791</v>
      </c>
      <c r="D641" s="85" t="s">
        <v>1374</v>
      </c>
    </row>
    <row r="642">
      <c r="B642" s="85">
        <v>9432.0</v>
      </c>
      <c r="C642" s="85" t="s">
        <v>792</v>
      </c>
      <c r="D642" s="85" t="s">
        <v>1409</v>
      </c>
    </row>
    <row r="643">
      <c r="B643" s="85">
        <v>2275.0</v>
      </c>
      <c r="C643" s="85" t="s">
        <v>793</v>
      </c>
      <c r="D643" s="85" t="s">
        <v>1398</v>
      </c>
    </row>
    <row r="644">
      <c r="B644" s="85">
        <v>5131.0</v>
      </c>
      <c r="C644" s="85" t="s">
        <v>794</v>
      </c>
      <c r="D644" s="85" t="s">
        <v>1318</v>
      </c>
    </row>
    <row r="645">
      <c r="B645" s="85">
        <v>1253.0</v>
      </c>
      <c r="C645" s="85" t="s">
        <v>795</v>
      </c>
      <c r="D645" s="85" t="s">
        <v>1410</v>
      </c>
    </row>
    <row r="646">
      <c r="B646" s="85">
        <v>4167.0</v>
      </c>
      <c r="C646" s="85" t="s">
        <v>796</v>
      </c>
      <c r="D646" s="85" t="s">
        <v>1197</v>
      </c>
    </row>
    <row r="647">
      <c r="B647" s="85">
        <v>6222.0</v>
      </c>
      <c r="C647" s="85" t="s">
        <v>797</v>
      </c>
      <c r="D647" s="85" t="s">
        <v>1411</v>
      </c>
    </row>
    <row r="648">
      <c r="B648" s="85">
        <v>7531.0</v>
      </c>
      <c r="C648" s="85" t="s">
        <v>798</v>
      </c>
      <c r="D648" s="85" t="s">
        <v>1412</v>
      </c>
    </row>
    <row r="649">
      <c r="B649" s="85">
        <v>9423.0</v>
      </c>
      <c r="C649" s="85" t="s">
        <v>799</v>
      </c>
      <c r="D649" s="85" t="s">
        <v>1378</v>
      </c>
    </row>
    <row r="650">
      <c r="B650" s="85">
        <v>9423.0</v>
      </c>
      <c r="C650" s="85" t="s">
        <v>800</v>
      </c>
      <c r="D650" s="85" t="s">
        <v>1378</v>
      </c>
    </row>
    <row r="651">
      <c r="B651" s="85">
        <v>1521.0</v>
      </c>
      <c r="C651" s="85" t="s">
        <v>801</v>
      </c>
      <c r="D651" s="85" t="s">
        <v>1413</v>
      </c>
    </row>
    <row r="652">
      <c r="B652" s="85">
        <v>6321.0</v>
      </c>
      <c r="C652" s="85" t="s">
        <v>802</v>
      </c>
      <c r="D652" s="85" t="s">
        <v>1241</v>
      </c>
    </row>
    <row r="653">
      <c r="B653" s="85">
        <v>3111.0</v>
      </c>
      <c r="C653" s="85" t="s">
        <v>803</v>
      </c>
      <c r="D653" s="85" t="s">
        <v>1414</v>
      </c>
    </row>
    <row r="654">
      <c r="B654" s="85">
        <v>3111.0</v>
      </c>
      <c r="C654" s="85" t="s">
        <v>804</v>
      </c>
      <c r="D654" s="85" t="s">
        <v>1414</v>
      </c>
    </row>
    <row r="655">
      <c r="B655" s="85">
        <v>3141.0</v>
      </c>
      <c r="C655" s="85" t="s">
        <v>805</v>
      </c>
      <c r="D655" s="85" t="s">
        <v>1375</v>
      </c>
    </row>
    <row r="656">
      <c r="B656" s="85">
        <v>9241.0</v>
      </c>
      <c r="C656" s="85" t="s">
        <v>806</v>
      </c>
      <c r="D656" s="85" t="s">
        <v>1193</v>
      </c>
    </row>
    <row r="657">
      <c r="B657" s="85">
        <v>1454.0</v>
      </c>
      <c r="C657" s="85" t="s">
        <v>807</v>
      </c>
      <c r="D657" s="85" t="s">
        <v>1415</v>
      </c>
    </row>
    <row r="658">
      <c r="B658" s="85">
        <v>8221.0</v>
      </c>
      <c r="C658" s="85" t="s">
        <v>808</v>
      </c>
      <c r="D658" s="85" t="s">
        <v>1416</v>
      </c>
    </row>
    <row r="659">
      <c r="B659" s="85">
        <v>8222.0</v>
      </c>
      <c r="C659" s="85" t="s">
        <v>809</v>
      </c>
      <c r="D659" s="85" t="s">
        <v>1417</v>
      </c>
    </row>
    <row r="660">
      <c r="B660" s="85">
        <v>9226.0</v>
      </c>
      <c r="C660" s="85" t="s">
        <v>810</v>
      </c>
      <c r="D660" s="85" t="s">
        <v>1418</v>
      </c>
    </row>
    <row r="661">
      <c r="B661" s="85">
        <v>9214.0</v>
      </c>
      <c r="C661" s="85" t="s">
        <v>811</v>
      </c>
      <c r="D661" s="85" t="s">
        <v>1419</v>
      </c>
    </row>
    <row r="662">
      <c r="B662" s="85">
        <v>9217.0</v>
      </c>
      <c r="C662" s="85" t="s">
        <v>812</v>
      </c>
      <c r="D662" s="85" t="s">
        <v>1200</v>
      </c>
    </row>
    <row r="663">
      <c r="B663" s="85">
        <v>1454.0</v>
      </c>
      <c r="C663" s="85" t="s">
        <v>813</v>
      </c>
      <c r="D663" s="85" t="s">
        <v>1415</v>
      </c>
    </row>
    <row r="664">
      <c r="B664" s="85">
        <v>6221.0</v>
      </c>
      <c r="C664" s="85" t="s">
        <v>814</v>
      </c>
      <c r="D664" s="85" t="s">
        <v>1251</v>
      </c>
    </row>
    <row r="665">
      <c r="B665" s="85">
        <v>5121.0</v>
      </c>
      <c r="C665" s="85" t="s">
        <v>815</v>
      </c>
      <c r="D665" s="85" t="s">
        <v>1229</v>
      </c>
    </row>
    <row r="666">
      <c r="B666" s="85">
        <v>9465.0</v>
      </c>
      <c r="C666" s="85" t="s">
        <v>816</v>
      </c>
      <c r="D666" s="85" t="s">
        <v>1420</v>
      </c>
    </row>
    <row r="667">
      <c r="B667" s="85">
        <v>3414.0</v>
      </c>
      <c r="C667" s="85" t="s">
        <v>817</v>
      </c>
      <c r="D667" s="85" t="s">
        <v>1150</v>
      </c>
    </row>
    <row r="668">
      <c r="B668" s="85">
        <v>2282.0</v>
      </c>
      <c r="C668" s="85" t="s">
        <v>818</v>
      </c>
      <c r="D668" s="85" t="s">
        <v>1421</v>
      </c>
    </row>
    <row r="669">
      <c r="B669" s="85">
        <v>1314.0</v>
      </c>
      <c r="C669" s="85" t="s">
        <v>819</v>
      </c>
      <c r="D669" s="85" t="s">
        <v>1372</v>
      </c>
    </row>
    <row r="670">
      <c r="B670" s="85">
        <v>1241.0</v>
      </c>
      <c r="C670" s="85" t="s">
        <v>820</v>
      </c>
      <c r="D670" s="85" t="s">
        <v>1354</v>
      </c>
    </row>
    <row r="671">
      <c r="B671" s="85">
        <v>1123.0</v>
      </c>
      <c r="C671" s="85" t="s">
        <v>821</v>
      </c>
      <c r="D671" s="85" t="s">
        <v>1382</v>
      </c>
    </row>
    <row r="672">
      <c r="B672" s="85">
        <v>2123.0</v>
      </c>
      <c r="C672" s="85" t="s">
        <v>822</v>
      </c>
      <c r="D672" s="85" t="s">
        <v>1422</v>
      </c>
    </row>
    <row r="673">
      <c r="B673" s="85">
        <v>4423.0</v>
      </c>
      <c r="C673" s="85" t="s">
        <v>823</v>
      </c>
      <c r="D673" s="85" t="s">
        <v>1218</v>
      </c>
    </row>
    <row r="674">
      <c r="B674" s="85">
        <v>8613.0</v>
      </c>
      <c r="C674" s="85" t="s">
        <v>824</v>
      </c>
      <c r="D674" s="85" t="s">
        <v>1181</v>
      </c>
    </row>
    <row r="675">
      <c r="B675" s="85">
        <v>6564.0</v>
      </c>
      <c r="C675" s="85" t="s">
        <v>825</v>
      </c>
      <c r="D675" s="85" t="s">
        <v>1219</v>
      </c>
    </row>
    <row r="676">
      <c r="B676" s="85">
        <v>2111.0</v>
      </c>
      <c r="C676" s="85" t="s">
        <v>826</v>
      </c>
      <c r="D676" s="85" t="s">
        <v>1191</v>
      </c>
    </row>
    <row r="677">
      <c r="B677" s="85">
        <v>6621.0</v>
      </c>
      <c r="C677" s="85" t="s">
        <v>827</v>
      </c>
      <c r="D677" s="85" t="s">
        <v>1180</v>
      </c>
    </row>
    <row r="678">
      <c r="B678" s="85">
        <v>6512.0</v>
      </c>
      <c r="C678" s="85" t="s">
        <v>828</v>
      </c>
      <c r="D678" s="85" t="s">
        <v>828</v>
      </c>
    </row>
    <row r="679">
      <c r="B679" s="85">
        <v>6732.0</v>
      </c>
      <c r="C679" s="85" t="s">
        <v>829</v>
      </c>
      <c r="D679" s="85" t="s">
        <v>1221</v>
      </c>
    </row>
    <row r="680">
      <c r="B680" s="85">
        <v>8421.0</v>
      </c>
      <c r="C680" s="85" t="s">
        <v>830</v>
      </c>
      <c r="D680" s="85" t="s">
        <v>1423</v>
      </c>
    </row>
    <row r="681">
      <c r="B681" s="85">
        <v>1226.0</v>
      </c>
      <c r="C681" s="85" t="s">
        <v>831</v>
      </c>
      <c r="D681" s="85" t="s">
        <v>1424</v>
      </c>
    </row>
    <row r="682">
      <c r="B682" s="85">
        <v>2234.0</v>
      </c>
      <c r="C682" s="85" t="s">
        <v>832</v>
      </c>
      <c r="D682" s="85" t="s">
        <v>1425</v>
      </c>
    </row>
    <row r="683">
      <c r="B683" s="85">
        <v>711.0</v>
      </c>
      <c r="C683" s="85" t="s">
        <v>833</v>
      </c>
      <c r="D683" s="85" t="s">
        <v>1426</v>
      </c>
    </row>
    <row r="684">
      <c r="B684" s="85">
        <v>5226.0</v>
      </c>
      <c r="C684" s="85" t="s">
        <v>834</v>
      </c>
      <c r="D684" s="85" t="s">
        <v>120</v>
      </c>
    </row>
    <row r="685">
      <c r="B685" s="85">
        <v>1513.0</v>
      </c>
      <c r="C685" s="85" t="s">
        <v>835</v>
      </c>
      <c r="D685" s="85" t="s">
        <v>1427</v>
      </c>
    </row>
    <row r="686">
      <c r="B686" s="85">
        <v>2172.0</v>
      </c>
      <c r="C686" s="85" t="s">
        <v>836</v>
      </c>
      <c r="D686" s="85" t="s">
        <v>1428</v>
      </c>
    </row>
    <row r="687">
      <c r="B687" s="85">
        <v>6741.0</v>
      </c>
      <c r="C687" s="85" t="s">
        <v>837</v>
      </c>
      <c r="D687" s="85" t="s">
        <v>1259</v>
      </c>
    </row>
    <row r="688">
      <c r="B688" s="85">
        <v>912.0</v>
      </c>
      <c r="C688" s="85" t="s">
        <v>838</v>
      </c>
      <c r="D688" s="85" t="s">
        <v>1190</v>
      </c>
    </row>
    <row r="689">
      <c r="B689" s="85">
        <v>2262.0</v>
      </c>
      <c r="C689" s="85" t="s">
        <v>839</v>
      </c>
      <c r="D689" s="85" t="s">
        <v>1165</v>
      </c>
    </row>
    <row r="690">
      <c r="B690" s="85">
        <v>4161.0</v>
      </c>
      <c r="C690" s="85" t="s">
        <v>840</v>
      </c>
      <c r="D690" s="85" t="s">
        <v>1184</v>
      </c>
    </row>
    <row r="691">
      <c r="B691" s="85">
        <v>3144.0</v>
      </c>
      <c r="C691" s="85" t="s">
        <v>841</v>
      </c>
      <c r="D691" s="85" t="s">
        <v>1396</v>
      </c>
    </row>
    <row r="692">
      <c r="B692" s="85">
        <v>9472.0</v>
      </c>
      <c r="C692" s="85" t="s">
        <v>842</v>
      </c>
      <c r="D692" s="85" t="s">
        <v>1152</v>
      </c>
    </row>
    <row r="693">
      <c r="B693" s="85">
        <v>432.0</v>
      </c>
      <c r="C693" s="85" t="s">
        <v>843</v>
      </c>
      <c r="D693" s="85" t="s">
        <v>1429</v>
      </c>
    </row>
    <row r="694">
      <c r="B694" s="85">
        <v>2222.0</v>
      </c>
      <c r="C694" s="85" t="s">
        <v>844</v>
      </c>
      <c r="D694" s="85" t="s">
        <v>1083</v>
      </c>
    </row>
    <row r="695">
      <c r="B695" s="85">
        <v>5254.0</v>
      </c>
      <c r="C695" s="85" t="s">
        <v>845</v>
      </c>
      <c r="D695" s="85" t="s">
        <v>1311</v>
      </c>
    </row>
    <row r="696">
      <c r="B696" s="85">
        <v>4167.0</v>
      </c>
      <c r="C696" s="85" t="s">
        <v>846</v>
      </c>
      <c r="D696" s="85" t="s">
        <v>1197</v>
      </c>
    </row>
    <row r="697">
      <c r="B697" s="85">
        <v>6522.0</v>
      </c>
      <c r="C697" s="85" t="s">
        <v>847</v>
      </c>
      <c r="D697" s="85" t="s">
        <v>1199</v>
      </c>
    </row>
    <row r="698">
      <c r="B698" s="85">
        <v>6522.0</v>
      </c>
      <c r="C698" s="85" t="s">
        <v>848</v>
      </c>
      <c r="D698" s="85" t="s">
        <v>1199</v>
      </c>
    </row>
    <row r="699">
      <c r="B699" s="85">
        <v>2222.0</v>
      </c>
      <c r="C699" s="85" t="s">
        <v>849</v>
      </c>
      <c r="D699" s="85" t="s">
        <v>1083</v>
      </c>
    </row>
    <row r="700">
      <c r="B700" s="85">
        <v>3112.0</v>
      </c>
      <c r="C700" s="85" t="s">
        <v>850</v>
      </c>
      <c r="D700" s="85" t="s">
        <v>1430</v>
      </c>
    </row>
    <row r="701">
      <c r="B701" s="85">
        <v>2222.0</v>
      </c>
      <c r="C701" s="85" t="s">
        <v>851</v>
      </c>
      <c r="D701" s="85" t="s">
        <v>1083</v>
      </c>
    </row>
    <row r="702">
      <c r="B702" s="85">
        <v>9472.0</v>
      </c>
      <c r="C702" s="85" t="s">
        <v>852</v>
      </c>
      <c r="D702" s="85" t="s">
        <v>1152</v>
      </c>
    </row>
    <row r="703">
      <c r="B703" s="85">
        <v>5227.0</v>
      </c>
      <c r="C703" s="85" t="s">
        <v>853</v>
      </c>
      <c r="D703" s="85" t="s">
        <v>1108</v>
      </c>
    </row>
    <row r="704">
      <c r="B704" s="85">
        <v>5244.0</v>
      </c>
      <c r="C704" s="85" t="s">
        <v>854</v>
      </c>
      <c r="D704" s="85" t="s">
        <v>1265</v>
      </c>
    </row>
    <row r="705">
      <c r="B705" s="85">
        <v>8612.0</v>
      </c>
      <c r="C705" s="85" t="s">
        <v>855</v>
      </c>
      <c r="D705" s="85" t="s">
        <v>1123</v>
      </c>
    </row>
    <row r="706">
      <c r="B706" s="85">
        <v>6742.0</v>
      </c>
      <c r="C706" s="85" t="s">
        <v>856</v>
      </c>
      <c r="D706" s="85" t="s">
        <v>1431</v>
      </c>
    </row>
    <row r="707">
      <c r="B707" s="85">
        <v>4211.0</v>
      </c>
      <c r="C707" s="85" t="s">
        <v>857</v>
      </c>
      <c r="D707" s="85" t="s">
        <v>1432</v>
      </c>
    </row>
    <row r="708">
      <c r="B708" s="85">
        <v>11.0</v>
      </c>
      <c r="C708" s="85" t="s">
        <v>858</v>
      </c>
      <c r="D708" s="85" t="s">
        <v>858</v>
      </c>
    </row>
    <row r="709">
      <c r="B709" s="85">
        <v>5111.0</v>
      </c>
      <c r="C709" s="85" t="s">
        <v>859</v>
      </c>
      <c r="D709" s="85" t="s">
        <v>859</v>
      </c>
    </row>
    <row r="710">
      <c r="B710" s="85">
        <v>5211.0</v>
      </c>
      <c r="C710" s="85" t="s">
        <v>860</v>
      </c>
      <c r="D710" s="85" t="s">
        <v>1212</v>
      </c>
    </row>
    <row r="711">
      <c r="B711" s="85">
        <v>4423.0</v>
      </c>
      <c r="C711" s="85" t="s">
        <v>861</v>
      </c>
      <c r="D711" s="85" t="s">
        <v>1218</v>
      </c>
    </row>
    <row r="712">
      <c r="B712" s="85">
        <v>6511.0</v>
      </c>
      <c r="C712" s="85" t="s">
        <v>862</v>
      </c>
      <c r="D712" s="85" t="s">
        <v>1433</v>
      </c>
    </row>
    <row r="713">
      <c r="B713" s="85">
        <v>2113.0</v>
      </c>
      <c r="C713" s="85" t="s">
        <v>863</v>
      </c>
      <c r="D713" s="85" t="s">
        <v>1250</v>
      </c>
    </row>
    <row r="714">
      <c r="B714" s="85">
        <v>2142.0</v>
      </c>
      <c r="C714" s="85" t="s">
        <v>864</v>
      </c>
      <c r="D714" s="85" t="s">
        <v>1434</v>
      </c>
    </row>
    <row r="715">
      <c r="B715" s="85">
        <v>2115.0</v>
      </c>
      <c r="C715" s="85" t="s">
        <v>865</v>
      </c>
      <c r="D715" s="85" t="s">
        <v>1404</v>
      </c>
    </row>
    <row r="716">
      <c r="B716" s="85">
        <v>2114.0</v>
      </c>
      <c r="C716" s="85" t="s">
        <v>866</v>
      </c>
      <c r="D716" s="85" t="s">
        <v>1435</v>
      </c>
    </row>
    <row r="717">
      <c r="B717" s="85">
        <v>2121.0</v>
      </c>
      <c r="C717" s="85" t="s">
        <v>867</v>
      </c>
      <c r="D717" s="85" t="s">
        <v>1215</v>
      </c>
    </row>
    <row r="718">
      <c r="B718" s="85">
        <v>2143.0</v>
      </c>
      <c r="C718" s="85" t="s">
        <v>868</v>
      </c>
      <c r="D718" s="85" t="s">
        <v>1436</v>
      </c>
    </row>
    <row r="719">
      <c r="B719" s="85">
        <v>5212.0</v>
      </c>
      <c r="C719" s="85" t="s">
        <v>869</v>
      </c>
      <c r="D719" s="85" t="s">
        <v>1091</v>
      </c>
    </row>
    <row r="720">
      <c r="B720" s="85">
        <v>2281.0</v>
      </c>
      <c r="C720" s="85" t="s">
        <v>870</v>
      </c>
      <c r="D720" s="85" t="s">
        <v>1295</v>
      </c>
    </row>
    <row r="721">
      <c r="B721" s="85">
        <v>9619.0</v>
      </c>
      <c r="C721" s="85" t="s">
        <v>871</v>
      </c>
      <c r="D721" s="85" t="s">
        <v>1437</v>
      </c>
    </row>
    <row r="722">
      <c r="B722" s="85">
        <v>9537.0</v>
      </c>
      <c r="C722" s="85" t="s">
        <v>872</v>
      </c>
      <c r="D722" s="85" t="s">
        <v>1346</v>
      </c>
    </row>
    <row r="723">
      <c r="B723" s="85">
        <v>6316.0</v>
      </c>
      <c r="C723" s="85" t="s">
        <v>873</v>
      </c>
      <c r="D723" s="85" t="s">
        <v>1438</v>
      </c>
    </row>
    <row r="724">
      <c r="B724" s="85">
        <v>651.0</v>
      </c>
      <c r="C724" s="85" t="s">
        <v>874</v>
      </c>
      <c r="D724" s="85" t="s">
        <v>1439</v>
      </c>
    </row>
    <row r="725">
      <c r="B725" s="85">
        <v>4411.0</v>
      </c>
      <c r="C725" s="85" t="s">
        <v>875</v>
      </c>
      <c r="D725" s="85" t="s">
        <v>1214</v>
      </c>
    </row>
    <row r="726">
      <c r="B726" s="85">
        <v>6742.0</v>
      </c>
      <c r="C726" s="85" t="s">
        <v>876</v>
      </c>
      <c r="D726" s="85" t="s">
        <v>1431</v>
      </c>
    </row>
    <row r="727">
      <c r="B727" s="85">
        <v>1223.0</v>
      </c>
      <c r="C727" s="85" t="s">
        <v>877</v>
      </c>
      <c r="D727" s="85" t="s">
        <v>1440</v>
      </c>
    </row>
    <row r="728">
      <c r="B728" s="85">
        <v>1415.0</v>
      </c>
      <c r="C728" s="85" t="s">
        <v>878</v>
      </c>
      <c r="D728" s="85" t="s">
        <v>1441</v>
      </c>
    </row>
    <row r="729">
      <c r="B729" s="85">
        <v>2145.0</v>
      </c>
      <c r="C729" s="85" t="s">
        <v>879</v>
      </c>
      <c r="D729" s="85" t="s">
        <v>1442</v>
      </c>
    </row>
    <row r="730">
      <c r="B730" s="85">
        <v>132.0</v>
      </c>
      <c r="C730" s="85" t="s">
        <v>880</v>
      </c>
      <c r="D730" s="85" t="s">
        <v>1443</v>
      </c>
    </row>
    <row r="731">
      <c r="B731" s="85">
        <v>4155.0</v>
      </c>
      <c r="C731" s="85" t="s">
        <v>881</v>
      </c>
      <c r="D731" s="85" t="s">
        <v>1222</v>
      </c>
    </row>
    <row r="732">
      <c r="B732" s="85">
        <v>1523.0</v>
      </c>
      <c r="C732" s="85" t="s">
        <v>882</v>
      </c>
      <c r="D732" s="85" t="s">
        <v>1444</v>
      </c>
    </row>
    <row r="733">
      <c r="B733" s="85">
        <v>4168.0</v>
      </c>
      <c r="C733" s="85" t="s">
        <v>883</v>
      </c>
      <c r="D733" s="85" t="s">
        <v>1445</v>
      </c>
    </row>
    <row r="734">
      <c r="B734" s="85">
        <v>1224.0</v>
      </c>
      <c r="C734" s="85" t="s">
        <v>884</v>
      </c>
      <c r="D734" s="85" t="s">
        <v>1446</v>
      </c>
    </row>
    <row r="735">
      <c r="B735" s="85">
        <v>1524.0</v>
      </c>
      <c r="C735" s="85" t="s">
        <v>885</v>
      </c>
      <c r="D735" s="85" t="s">
        <v>1258</v>
      </c>
    </row>
    <row r="736">
      <c r="B736" s="85">
        <v>1525.0</v>
      </c>
      <c r="C736" s="85" t="s">
        <v>886</v>
      </c>
      <c r="D736" s="85" t="s">
        <v>393</v>
      </c>
    </row>
    <row r="737">
      <c r="B737" s="85">
        <v>7531.0</v>
      </c>
      <c r="C737" s="85" t="s">
        <v>887</v>
      </c>
      <c r="D737" s="85" t="s">
        <v>1412</v>
      </c>
    </row>
    <row r="738">
      <c r="B738" s="85">
        <v>6232.0</v>
      </c>
      <c r="C738" s="85" t="s">
        <v>888</v>
      </c>
      <c r="D738" s="85" t="s">
        <v>1447</v>
      </c>
    </row>
    <row r="739">
      <c r="B739" s="85">
        <v>513.0</v>
      </c>
      <c r="C739" s="85" t="s">
        <v>889</v>
      </c>
      <c r="D739" s="85" t="s">
        <v>1327</v>
      </c>
    </row>
    <row r="740">
      <c r="B740" s="85">
        <v>4167.0</v>
      </c>
      <c r="C740" s="85" t="s">
        <v>890</v>
      </c>
      <c r="D740" s="85" t="s">
        <v>1197</v>
      </c>
    </row>
    <row r="741">
      <c r="B741" s="85">
        <v>712.0</v>
      </c>
      <c r="C741" s="85" t="s">
        <v>891</v>
      </c>
      <c r="D741" s="85" t="s">
        <v>1448</v>
      </c>
    </row>
    <row r="742">
      <c r="B742" s="85">
        <v>631.0</v>
      </c>
      <c r="C742" s="85" t="s">
        <v>892</v>
      </c>
      <c r="D742" s="85" t="s">
        <v>1449</v>
      </c>
    </row>
    <row r="743">
      <c r="B743" s="85">
        <v>6541.0</v>
      </c>
      <c r="C743" s="85" t="s">
        <v>893</v>
      </c>
      <c r="D743" s="85" t="s">
        <v>1195</v>
      </c>
    </row>
    <row r="744">
      <c r="B744" s="85">
        <v>6421.0</v>
      </c>
      <c r="C744" s="85" t="s">
        <v>894</v>
      </c>
      <c r="D744" s="85" t="s">
        <v>1450</v>
      </c>
    </row>
    <row r="745">
      <c r="B745" s="85">
        <v>621.0</v>
      </c>
      <c r="C745" s="85" t="s">
        <v>895</v>
      </c>
      <c r="D745" s="85" t="s">
        <v>1111</v>
      </c>
    </row>
    <row r="746">
      <c r="B746" s="85">
        <v>6211.0</v>
      </c>
      <c r="C746" s="85" t="s">
        <v>896</v>
      </c>
      <c r="D746" s="85" t="s">
        <v>1451</v>
      </c>
    </row>
    <row r="747">
      <c r="B747" s="85">
        <v>6411.0</v>
      </c>
      <c r="C747" s="85" t="s">
        <v>897</v>
      </c>
      <c r="D747" s="85" t="s">
        <v>1452</v>
      </c>
    </row>
    <row r="748">
      <c r="B748" s="85">
        <v>4031.0</v>
      </c>
      <c r="C748" s="85" t="s">
        <v>898</v>
      </c>
      <c r="D748" s="85" t="s">
        <v>1453</v>
      </c>
    </row>
    <row r="749">
      <c r="B749" s="85">
        <v>6721.0</v>
      </c>
      <c r="C749" s="85" t="s">
        <v>899</v>
      </c>
      <c r="D749" s="85" t="s">
        <v>1454</v>
      </c>
    </row>
    <row r="750">
      <c r="B750" s="85">
        <v>1315.0</v>
      </c>
      <c r="C750" s="85" t="s">
        <v>900</v>
      </c>
      <c r="D750" s="85" t="s">
        <v>1233</v>
      </c>
    </row>
    <row r="751">
      <c r="B751" s="85">
        <v>4164.0</v>
      </c>
      <c r="C751" s="85" t="s">
        <v>901</v>
      </c>
      <c r="D751" s="85" t="s">
        <v>1170</v>
      </c>
    </row>
    <row r="752">
      <c r="B752" s="85">
        <v>4164.0</v>
      </c>
      <c r="C752" s="85" t="s">
        <v>902</v>
      </c>
      <c r="D752" s="85" t="s">
        <v>1170</v>
      </c>
    </row>
    <row r="753">
      <c r="B753" s="85">
        <v>4152.0</v>
      </c>
      <c r="C753" s="85" t="s">
        <v>903</v>
      </c>
      <c r="D753" s="85" t="s">
        <v>1455</v>
      </c>
    </row>
    <row r="754">
      <c r="B754" s="85">
        <v>2147.0</v>
      </c>
      <c r="C754" s="85" t="s">
        <v>904</v>
      </c>
      <c r="D754" s="85" t="s">
        <v>1456</v>
      </c>
    </row>
    <row r="755">
      <c r="B755" s="85">
        <v>2115.0</v>
      </c>
      <c r="C755" s="85" t="s">
        <v>905</v>
      </c>
      <c r="D755" s="85" t="s">
        <v>1404</v>
      </c>
    </row>
    <row r="756">
      <c r="B756" s="85">
        <v>1121.0</v>
      </c>
      <c r="C756" s="85" t="s">
        <v>906</v>
      </c>
      <c r="D756" s="85" t="s">
        <v>1457</v>
      </c>
    </row>
    <row r="757">
      <c r="B757" s="85">
        <v>3111.0</v>
      </c>
      <c r="C757" s="85" t="s">
        <v>907</v>
      </c>
      <c r="D757" s="85" t="s">
        <v>1414</v>
      </c>
    </row>
    <row r="758">
      <c r="B758" s="85">
        <v>6623.0</v>
      </c>
      <c r="C758" s="85" t="s">
        <v>908</v>
      </c>
      <c r="D758" s="85" t="s">
        <v>1458</v>
      </c>
    </row>
    <row r="759">
      <c r="B759" s="85">
        <v>9213.0</v>
      </c>
      <c r="C759" s="85" t="s">
        <v>909</v>
      </c>
      <c r="D759" s="85" t="s">
        <v>1459</v>
      </c>
    </row>
    <row r="760">
      <c r="B760" s="85">
        <v>1211.0</v>
      </c>
      <c r="C760" s="85" t="s">
        <v>910</v>
      </c>
      <c r="D760" s="85" t="s">
        <v>1460</v>
      </c>
    </row>
    <row r="761">
      <c r="B761" s="85">
        <v>2225.0</v>
      </c>
      <c r="C761" s="85" t="s">
        <v>911</v>
      </c>
      <c r="D761" s="85" t="s">
        <v>1116</v>
      </c>
    </row>
    <row r="762">
      <c r="B762" s="85">
        <v>1215.0</v>
      </c>
      <c r="C762" s="85" t="s">
        <v>912</v>
      </c>
      <c r="D762" s="85" t="s">
        <v>1194</v>
      </c>
    </row>
    <row r="763">
      <c r="B763" s="85">
        <v>2171.0</v>
      </c>
      <c r="C763" s="85" t="s">
        <v>913</v>
      </c>
      <c r="D763" s="85" t="s">
        <v>1173</v>
      </c>
    </row>
    <row r="764">
      <c r="B764" s="85">
        <v>4423.0</v>
      </c>
      <c r="C764" s="85" t="s">
        <v>914</v>
      </c>
      <c r="D764" s="85" t="s">
        <v>1218</v>
      </c>
    </row>
    <row r="765">
      <c r="B765" s="85">
        <v>131.0</v>
      </c>
      <c r="C765" s="85" t="s">
        <v>915</v>
      </c>
      <c r="D765" s="85" t="s">
        <v>1461</v>
      </c>
    </row>
    <row r="766">
      <c r="B766" s="85">
        <v>5125.0</v>
      </c>
      <c r="C766" s="85" t="s">
        <v>916</v>
      </c>
      <c r="D766" s="85" t="s">
        <v>1257</v>
      </c>
    </row>
    <row r="767">
      <c r="B767" s="85">
        <v>2148.0</v>
      </c>
      <c r="C767" s="85" t="s">
        <v>917</v>
      </c>
      <c r="D767" s="85" t="s">
        <v>1462</v>
      </c>
    </row>
    <row r="768">
      <c r="B768" s="85">
        <v>9441.0</v>
      </c>
      <c r="C768" s="85" t="s">
        <v>918</v>
      </c>
      <c r="D768" s="85" t="s">
        <v>1205</v>
      </c>
    </row>
    <row r="769">
      <c r="B769" s="85">
        <v>6524.0</v>
      </c>
      <c r="C769" s="85" t="s">
        <v>919</v>
      </c>
      <c r="D769" s="85" t="s">
        <v>1220</v>
      </c>
    </row>
    <row r="770">
      <c r="B770" s="85">
        <v>9461.0</v>
      </c>
      <c r="C770" s="85" t="s">
        <v>920</v>
      </c>
      <c r="D770" s="85" t="s">
        <v>1134</v>
      </c>
    </row>
    <row r="771">
      <c r="B771" s="85">
        <v>6531.0</v>
      </c>
      <c r="C771" s="85" t="s">
        <v>921</v>
      </c>
      <c r="D771" s="85" t="s">
        <v>1463</v>
      </c>
    </row>
    <row r="772">
      <c r="B772" s="85">
        <v>7384.0</v>
      </c>
      <c r="C772" s="85" t="s">
        <v>922</v>
      </c>
      <c r="D772" s="85" t="s">
        <v>1089</v>
      </c>
    </row>
    <row r="773">
      <c r="B773" s="85">
        <v>1526.0</v>
      </c>
      <c r="C773" s="85" t="s">
        <v>923</v>
      </c>
      <c r="D773" s="85" t="s">
        <v>1464</v>
      </c>
    </row>
    <row r="774">
      <c r="B774" s="85">
        <v>8442.0</v>
      </c>
      <c r="C774" s="85" t="s">
        <v>924</v>
      </c>
      <c r="D774" s="85" t="s">
        <v>1254</v>
      </c>
    </row>
    <row r="775">
      <c r="B775" s="85">
        <v>6531.0</v>
      </c>
      <c r="C775" s="85" t="s">
        <v>925</v>
      </c>
      <c r="D775" s="85" t="s">
        <v>1463</v>
      </c>
    </row>
    <row r="776">
      <c r="B776" s="85">
        <v>4412.0</v>
      </c>
      <c r="C776" s="85" t="s">
        <v>926</v>
      </c>
      <c r="D776" s="85" t="s">
        <v>1225</v>
      </c>
    </row>
    <row r="777">
      <c r="B777" s="85">
        <v>6561.0</v>
      </c>
      <c r="C777" s="85" t="s">
        <v>927</v>
      </c>
      <c r="D777" s="85" t="s">
        <v>1171</v>
      </c>
    </row>
    <row r="778">
      <c r="B778" s="85">
        <v>6732.0</v>
      </c>
      <c r="C778" s="85" t="s">
        <v>928</v>
      </c>
      <c r="D778" s="85" t="s">
        <v>1221</v>
      </c>
    </row>
    <row r="779">
      <c r="B779" s="85">
        <v>4423.0</v>
      </c>
      <c r="C779" s="85" t="s">
        <v>929</v>
      </c>
      <c r="D779" s="85" t="s">
        <v>1218</v>
      </c>
    </row>
    <row r="780">
      <c r="B780" s="85">
        <v>1221.0</v>
      </c>
      <c r="C780" s="85" t="s">
        <v>930</v>
      </c>
      <c r="D780" s="85" t="s">
        <v>1465</v>
      </c>
    </row>
    <row r="781">
      <c r="B781" s="85">
        <v>124.0</v>
      </c>
      <c r="C781" s="85" t="s">
        <v>931</v>
      </c>
      <c r="D781" s="85" t="s">
        <v>1466</v>
      </c>
    </row>
    <row r="782">
      <c r="B782" s="85">
        <v>6523.0</v>
      </c>
      <c r="C782" s="85" t="s">
        <v>932</v>
      </c>
      <c r="D782" s="85" t="s">
        <v>1467</v>
      </c>
    </row>
    <row r="783">
      <c r="B783" s="85">
        <v>6523.0</v>
      </c>
      <c r="C783" s="85" t="s">
        <v>933</v>
      </c>
      <c r="D783" s="85" t="s">
        <v>1467</v>
      </c>
    </row>
    <row r="784">
      <c r="B784" s="85">
        <v>6523.0</v>
      </c>
      <c r="C784" s="85" t="s">
        <v>934</v>
      </c>
      <c r="D784" s="85" t="s">
        <v>1467</v>
      </c>
    </row>
    <row r="785">
      <c r="B785" s="85">
        <v>6523.0</v>
      </c>
      <c r="C785" s="85" t="s">
        <v>935</v>
      </c>
      <c r="D785" s="85" t="s">
        <v>1467</v>
      </c>
    </row>
    <row r="786">
      <c r="B786" s="85">
        <v>6523.0</v>
      </c>
      <c r="C786" s="85" t="s">
        <v>936</v>
      </c>
      <c r="D786" s="85" t="s">
        <v>1467</v>
      </c>
    </row>
    <row r="787">
      <c r="B787" s="85">
        <v>6523.0</v>
      </c>
      <c r="C787" s="85" t="s">
        <v>937</v>
      </c>
      <c r="D787" s="85" t="s">
        <v>1467</v>
      </c>
    </row>
    <row r="788">
      <c r="B788" s="85">
        <v>5231.0</v>
      </c>
      <c r="C788" s="85" t="s">
        <v>938</v>
      </c>
      <c r="D788" s="85" t="s">
        <v>1468</v>
      </c>
    </row>
    <row r="789">
      <c r="B789" s="85">
        <v>2148.0</v>
      </c>
      <c r="C789" s="85" t="s">
        <v>939</v>
      </c>
      <c r="D789" s="85" t="s">
        <v>1462</v>
      </c>
    </row>
    <row r="790">
      <c r="B790" s="85">
        <v>1113.0</v>
      </c>
      <c r="C790" s="85" t="s">
        <v>940</v>
      </c>
      <c r="D790" s="85" t="s">
        <v>1469</v>
      </c>
    </row>
    <row r="791">
      <c r="B791" s="85">
        <v>4163.0</v>
      </c>
      <c r="C791" s="85" t="s">
        <v>941</v>
      </c>
      <c r="D791" s="85" t="s">
        <v>1470</v>
      </c>
    </row>
    <row r="792">
      <c r="B792" s="85">
        <v>2134.0</v>
      </c>
      <c r="C792" s="85" t="s">
        <v>942</v>
      </c>
      <c r="D792" s="85" t="s">
        <v>1471</v>
      </c>
    </row>
    <row r="793">
      <c r="B793" s="85">
        <v>2112.0</v>
      </c>
      <c r="C793" s="85" t="s">
        <v>943</v>
      </c>
      <c r="D793" s="85" t="s">
        <v>943</v>
      </c>
    </row>
    <row r="794">
      <c r="B794" s="85">
        <v>3012.0</v>
      </c>
      <c r="C794" s="85" t="s">
        <v>944</v>
      </c>
      <c r="D794" s="85" t="s">
        <v>1143</v>
      </c>
    </row>
    <row r="795">
      <c r="B795" s="85">
        <v>6561.0</v>
      </c>
      <c r="C795" s="85" t="s">
        <v>945</v>
      </c>
      <c r="D795" s="85" t="s">
        <v>1171</v>
      </c>
    </row>
    <row r="796">
      <c r="B796" s="85">
        <v>431.0</v>
      </c>
      <c r="C796" s="85" t="s">
        <v>946</v>
      </c>
      <c r="D796" s="85" t="s">
        <v>1472</v>
      </c>
    </row>
    <row r="797">
      <c r="B797" s="85">
        <v>2173.0</v>
      </c>
      <c r="C797" s="85" t="s">
        <v>947</v>
      </c>
      <c r="D797" s="85" t="s">
        <v>1473</v>
      </c>
    </row>
    <row r="798">
      <c r="B798" s="85">
        <v>7611.0</v>
      </c>
      <c r="C798" s="85" t="s">
        <v>948</v>
      </c>
      <c r="D798" s="85" t="s">
        <v>1474</v>
      </c>
    </row>
    <row r="799">
      <c r="B799" s="85">
        <v>2172.0</v>
      </c>
      <c r="C799" s="85" t="s">
        <v>949</v>
      </c>
      <c r="D799" s="85" t="s">
        <v>1428</v>
      </c>
    </row>
    <row r="800">
      <c r="B800" s="85">
        <v>6623.0</v>
      </c>
      <c r="C800" s="85" t="s">
        <v>950</v>
      </c>
      <c r="D800" s="85" t="s">
        <v>1458</v>
      </c>
    </row>
    <row r="801">
      <c r="B801" s="85">
        <v>6623.0</v>
      </c>
      <c r="C801" s="85" t="s">
        <v>951</v>
      </c>
      <c r="D801" s="85" t="s">
        <v>1458</v>
      </c>
    </row>
    <row r="802">
      <c r="B802" s="85">
        <v>6711.0</v>
      </c>
      <c r="C802" s="85" t="s">
        <v>952</v>
      </c>
      <c r="D802" s="85" t="s">
        <v>1246</v>
      </c>
    </row>
    <row r="803">
      <c r="B803" s="85">
        <v>6623.0</v>
      </c>
      <c r="C803" s="85" t="s">
        <v>953</v>
      </c>
      <c r="D803" s="85" t="s">
        <v>1458</v>
      </c>
    </row>
    <row r="804">
      <c r="B804" s="85">
        <v>6741.0</v>
      </c>
      <c r="C804" s="85" t="s">
        <v>954</v>
      </c>
      <c r="D804" s="85" t="s">
        <v>1259</v>
      </c>
    </row>
    <row r="805">
      <c r="B805" s="85">
        <v>6741.0</v>
      </c>
      <c r="C805" s="85" t="s">
        <v>955</v>
      </c>
      <c r="D805" s="85" t="s">
        <v>1259</v>
      </c>
    </row>
    <row r="806">
      <c r="B806" s="85">
        <v>124.0</v>
      </c>
      <c r="C806" s="85" t="s">
        <v>956</v>
      </c>
      <c r="D806" s="85" t="s">
        <v>1466</v>
      </c>
    </row>
    <row r="807">
      <c r="B807" s="85">
        <v>4033.0</v>
      </c>
      <c r="C807" s="85" t="s">
        <v>957</v>
      </c>
      <c r="D807" s="85" t="s">
        <v>1475</v>
      </c>
    </row>
    <row r="808">
      <c r="B808" s="85">
        <v>4156.0</v>
      </c>
      <c r="C808" s="85" t="s">
        <v>958</v>
      </c>
      <c r="D808" s="85" t="s">
        <v>1476</v>
      </c>
    </row>
    <row r="809">
      <c r="B809" s="85">
        <v>1228.0</v>
      </c>
      <c r="C809" s="85" t="s">
        <v>959</v>
      </c>
      <c r="D809" s="85" t="s">
        <v>1239</v>
      </c>
    </row>
    <row r="810">
      <c r="B810" s="85">
        <v>2148.0</v>
      </c>
      <c r="C810" s="85" t="s">
        <v>960</v>
      </c>
      <c r="D810" s="85" t="s">
        <v>1462</v>
      </c>
    </row>
    <row r="811">
      <c r="B811" s="85">
        <v>4153.0</v>
      </c>
      <c r="C811" s="85" t="s">
        <v>961</v>
      </c>
      <c r="D811" s="85" t="s">
        <v>1477</v>
      </c>
    </row>
    <row r="812">
      <c r="B812" s="85">
        <v>1114.0</v>
      </c>
      <c r="C812" s="85" t="s">
        <v>962</v>
      </c>
      <c r="D812" s="85" t="s">
        <v>1478</v>
      </c>
    </row>
    <row r="813">
      <c r="B813" s="85">
        <v>9463.0</v>
      </c>
      <c r="C813" s="85" t="s">
        <v>963</v>
      </c>
      <c r="D813" s="85" t="s">
        <v>1244</v>
      </c>
    </row>
    <row r="814">
      <c r="B814" s="85">
        <v>2272.0</v>
      </c>
      <c r="C814" s="85" t="s">
        <v>964</v>
      </c>
      <c r="D814" s="85" t="s">
        <v>1164</v>
      </c>
    </row>
    <row r="815">
      <c r="B815" s="85">
        <v>6346.0</v>
      </c>
      <c r="C815" s="85" t="s">
        <v>965</v>
      </c>
      <c r="D815" s="85" t="s">
        <v>1279</v>
      </c>
    </row>
    <row r="816">
      <c r="B816" s="85">
        <v>6742.0</v>
      </c>
      <c r="C816" s="85" t="s">
        <v>966</v>
      </c>
      <c r="D816" s="85" t="s">
        <v>1431</v>
      </c>
    </row>
    <row r="817">
      <c r="B817" s="85">
        <v>6313.0</v>
      </c>
      <c r="C817" s="85" t="s">
        <v>967</v>
      </c>
      <c r="D817" s="85" t="s">
        <v>1187</v>
      </c>
    </row>
    <row r="818">
      <c r="B818" s="85">
        <v>1228.0</v>
      </c>
      <c r="C818" s="85" t="s">
        <v>968</v>
      </c>
      <c r="D818" s="85" t="s">
        <v>1239</v>
      </c>
    </row>
    <row r="819">
      <c r="B819" s="85">
        <v>4211.0</v>
      </c>
      <c r="C819" s="85" t="s">
        <v>969</v>
      </c>
      <c r="D819" s="85" t="s">
        <v>1432</v>
      </c>
    </row>
    <row r="820">
      <c r="B820" s="85">
        <v>121.0</v>
      </c>
      <c r="C820" s="85" t="s">
        <v>970</v>
      </c>
      <c r="D820" s="85" t="s">
        <v>1479</v>
      </c>
    </row>
    <row r="821">
      <c r="B821" s="85">
        <v>1313.0</v>
      </c>
      <c r="C821" s="85" t="s">
        <v>971</v>
      </c>
      <c r="D821" s="85" t="s">
        <v>1480</v>
      </c>
    </row>
    <row r="822">
      <c r="B822" s="85">
        <v>5123.0</v>
      </c>
      <c r="C822" s="85" t="s">
        <v>972</v>
      </c>
      <c r="D822" s="85" t="s">
        <v>972</v>
      </c>
    </row>
    <row r="823">
      <c r="B823" s="85">
        <v>6711.0</v>
      </c>
      <c r="C823" s="85" t="s">
        <v>973</v>
      </c>
      <c r="D823" s="85" t="s">
        <v>1246</v>
      </c>
    </row>
    <row r="824">
      <c r="B824" s="85">
        <v>9615.0</v>
      </c>
      <c r="C824" s="85" t="s">
        <v>974</v>
      </c>
      <c r="D824" s="85" t="s">
        <v>1481</v>
      </c>
    </row>
    <row r="825">
      <c r="B825" s="85">
        <v>9614.0</v>
      </c>
      <c r="C825" s="85" t="s">
        <v>975</v>
      </c>
      <c r="D825" s="85" t="s">
        <v>1482</v>
      </c>
    </row>
    <row r="826">
      <c r="B826" s="85">
        <v>6731.0</v>
      </c>
      <c r="C826" s="85" t="s">
        <v>976</v>
      </c>
      <c r="D826" s="85" t="s">
        <v>1483</v>
      </c>
    </row>
    <row r="827">
      <c r="B827" s="85">
        <v>6235.0</v>
      </c>
      <c r="C827" s="85" t="s">
        <v>977</v>
      </c>
      <c r="D827" s="85" t="s">
        <v>1484</v>
      </c>
    </row>
    <row r="828">
      <c r="B828" s="85">
        <v>8616.0</v>
      </c>
      <c r="C828" s="85" t="s">
        <v>978</v>
      </c>
      <c r="D828" s="85" t="s">
        <v>1485</v>
      </c>
    </row>
    <row r="829">
      <c r="B829" s="85">
        <v>1122.0</v>
      </c>
      <c r="C829" s="85" t="s">
        <v>979</v>
      </c>
      <c r="D829" s="85" t="s">
        <v>1486</v>
      </c>
    </row>
    <row r="830">
      <c r="B830" s="85">
        <v>512.0</v>
      </c>
      <c r="C830" s="85" t="s">
        <v>980</v>
      </c>
      <c r="D830" s="85" t="s">
        <v>1487</v>
      </c>
    </row>
    <row r="831">
      <c r="B831" s="85">
        <v>2148.0</v>
      </c>
      <c r="C831" s="85" t="s">
        <v>981</v>
      </c>
      <c r="D831" s="85" t="s">
        <v>1462</v>
      </c>
    </row>
    <row r="832">
      <c r="B832" s="85">
        <v>124.0</v>
      </c>
      <c r="C832" s="85" t="s">
        <v>982</v>
      </c>
      <c r="D832" s="85" t="s">
        <v>1466</v>
      </c>
    </row>
    <row r="833">
      <c r="B833" s="85">
        <v>2132.0</v>
      </c>
      <c r="C833" s="85" t="s">
        <v>983</v>
      </c>
      <c r="D833" s="85" t="s">
        <v>1488</v>
      </c>
    </row>
    <row r="834">
      <c r="B834" s="85">
        <v>8614.0</v>
      </c>
      <c r="C834" s="85" t="s">
        <v>984</v>
      </c>
      <c r="D834" s="85" t="s">
        <v>1489</v>
      </c>
    </row>
    <row r="835">
      <c r="B835" s="85">
        <v>4154.0</v>
      </c>
      <c r="C835" s="85" t="s">
        <v>985</v>
      </c>
      <c r="D835" s="85" t="s">
        <v>1490</v>
      </c>
    </row>
    <row r="836">
      <c r="B836" s="85">
        <v>121.0</v>
      </c>
      <c r="C836" s="85" t="s">
        <v>986</v>
      </c>
      <c r="D836" s="85" t="s">
        <v>1479</v>
      </c>
    </row>
    <row r="837">
      <c r="B837" s="85">
        <v>1114.0</v>
      </c>
      <c r="C837" s="85" t="s">
        <v>987</v>
      </c>
      <c r="D837" s="85" t="s">
        <v>1478</v>
      </c>
    </row>
    <row r="838">
      <c r="B838" s="85">
        <v>9522.0</v>
      </c>
      <c r="C838" s="85" t="s">
        <v>988</v>
      </c>
      <c r="D838" s="85" t="s">
        <v>1400</v>
      </c>
    </row>
    <row r="839">
      <c r="B839" s="85">
        <v>4411.0</v>
      </c>
      <c r="C839" s="85" t="s">
        <v>989</v>
      </c>
      <c r="D839" s="85" t="s">
        <v>1214</v>
      </c>
    </row>
    <row r="840">
      <c r="B840" s="85">
        <v>4211.0</v>
      </c>
      <c r="C840" s="85" t="s">
        <v>990</v>
      </c>
      <c r="D840" s="85" t="s">
        <v>1432</v>
      </c>
    </row>
    <row r="841">
      <c r="B841" s="85">
        <v>3011.0</v>
      </c>
      <c r="C841" s="85" t="s">
        <v>991</v>
      </c>
      <c r="D841" s="85" t="s">
        <v>1169</v>
      </c>
    </row>
    <row r="842">
      <c r="B842" s="85">
        <v>3012.0</v>
      </c>
      <c r="C842" s="85" t="s">
        <v>992</v>
      </c>
      <c r="D842" s="85" t="s">
        <v>1143</v>
      </c>
    </row>
    <row r="843">
      <c r="B843" s="85">
        <v>114.0</v>
      </c>
      <c r="C843" s="85" t="s">
        <v>993</v>
      </c>
      <c r="D843" s="85" t="s">
        <v>1491</v>
      </c>
    </row>
    <row r="844">
      <c r="B844" s="85">
        <v>125.0</v>
      </c>
      <c r="C844" s="85" t="s">
        <v>994</v>
      </c>
      <c r="D844" s="85" t="s">
        <v>1492</v>
      </c>
    </row>
    <row r="845">
      <c r="B845" s="85">
        <v>414.0</v>
      </c>
      <c r="C845" s="85" t="s">
        <v>995</v>
      </c>
      <c r="D845" s="85" t="s">
        <v>1493</v>
      </c>
    </row>
    <row r="846">
      <c r="B846" s="85">
        <v>3144.0</v>
      </c>
      <c r="C846" s="85" t="s">
        <v>996</v>
      </c>
      <c r="D846" s="85" t="s">
        <v>1396</v>
      </c>
    </row>
    <row r="847">
      <c r="B847" s="85">
        <v>4217.0</v>
      </c>
      <c r="C847" s="85" t="s">
        <v>997</v>
      </c>
      <c r="D847" s="85" t="s">
        <v>1494</v>
      </c>
    </row>
    <row r="848">
      <c r="B848" s="85">
        <v>1123.0</v>
      </c>
      <c r="C848" s="85" t="s">
        <v>998</v>
      </c>
      <c r="D848" s="85" t="s">
        <v>1382</v>
      </c>
    </row>
    <row r="849">
      <c r="B849" s="85">
        <v>124.0</v>
      </c>
      <c r="C849" s="85" t="s">
        <v>999</v>
      </c>
      <c r="D849" s="85" t="s">
        <v>1466</v>
      </c>
    </row>
    <row r="850">
      <c r="B850" s="85">
        <v>113.0</v>
      </c>
      <c r="C850" s="85" t="s">
        <v>1000</v>
      </c>
      <c r="D850" s="85" t="s">
        <v>1495</v>
      </c>
    </row>
    <row r="851">
      <c r="B851" s="85">
        <v>121.0</v>
      </c>
      <c r="C851" s="85" t="s">
        <v>1001</v>
      </c>
      <c r="D851" s="85" t="s">
        <v>1479</v>
      </c>
    </row>
    <row r="852">
      <c r="B852" s="85">
        <v>601.0</v>
      </c>
      <c r="C852" s="85" t="s">
        <v>1002</v>
      </c>
      <c r="D852" s="85" t="s">
        <v>1496</v>
      </c>
    </row>
    <row r="853">
      <c r="B853" s="85">
        <v>6732.0</v>
      </c>
      <c r="C853" s="85" t="s">
        <v>1003</v>
      </c>
      <c r="D853" s="85" t="s">
        <v>1221</v>
      </c>
    </row>
    <row r="854">
      <c r="B854" s="85">
        <v>1113.0</v>
      </c>
      <c r="C854" s="85" t="s">
        <v>1004</v>
      </c>
      <c r="D854" s="85" t="s">
        <v>1469</v>
      </c>
    </row>
    <row r="855">
      <c r="B855" s="85">
        <v>121.0</v>
      </c>
      <c r="C855" s="85" t="s">
        <v>1005</v>
      </c>
      <c r="D855" s="85" t="s">
        <v>1479</v>
      </c>
    </row>
    <row r="856">
      <c r="B856" s="85">
        <v>6541.0</v>
      </c>
      <c r="C856" s="85" t="s">
        <v>1006</v>
      </c>
      <c r="D856" s="85" t="s">
        <v>1195</v>
      </c>
    </row>
    <row r="857">
      <c r="B857" s="85">
        <v>4164.0</v>
      </c>
      <c r="C857" s="85" t="s">
        <v>1007</v>
      </c>
      <c r="D857" s="85" t="s">
        <v>1170</v>
      </c>
    </row>
    <row r="858">
      <c r="B858" s="85">
        <v>1213.0</v>
      </c>
      <c r="C858" s="85" t="s">
        <v>1008</v>
      </c>
      <c r="D858" s="85" t="s">
        <v>1497</v>
      </c>
    </row>
    <row r="859">
      <c r="B859" s="85">
        <v>1214.0</v>
      </c>
      <c r="C859" s="85" t="s">
        <v>1009</v>
      </c>
      <c r="D859" s="85" t="s">
        <v>1498</v>
      </c>
    </row>
    <row r="860">
      <c r="B860" s="85">
        <v>6742.0</v>
      </c>
      <c r="C860" s="85" t="s">
        <v>1010</v>
      </c>
      <c r="D860" s="85" t="s">
        <v>1431</v>
      </c>
    </row>
    <row r="861">
      <c r="B861" s="85">
        <v>6721.0</v>
      </c>
      <c r="C861" s="85" t="s">
        <v>1011</v>
      </c>
      <c r="D861" s="85" t="s">
        <v>1454</v>
      </c>
    </row>
    <row r="862">
      <c r="B862" s="85">
        <v>5125.0</v>
      </c>
      <c r="C862" s="85" t="s">
        <v>1012</v>
      </c>
      <c r="D862" s="85" t="s">
        <v>1257</v>
      </c>
    </row>
    <row r="863">
      <c r="B863" s="85">
        <v>1114.0</v>
      </c>
      <c r="C863" s="85" t="s">
        <v>1013</v>
      </c>
      <c r="D863" s="85" t="s">
        <v>1478</v>
      </c>
    </row>
    <row r="864">
      <c r="B864" s="85">
        <v>1313.0</v>
      </c>
      <c r="C864" s="85" t="s">
        <v>1014</v>
      </c>
      <c r="D864" s="85" t="s">
        <v>1480</v>
      </c>
    </row>
    <row r="865">
      <c r="B865" s="85">
        <v>4011.0</v>
      </c>
      <c r="C865" s="85" t="s">
        <v>1015</v>
      </c>
      <c r="D865" s="85" t="s">
        <v>1499</v>
      </c>
    </row>
    <row r="866">
      <c r="B866" s="85">
        <v>6732.0</v>
      </c>
      <c r="C866" s="85" t="s">
        <v>1016</v>
      </c>
      <c r="D866" s="85" t="s">
        <v>1221</v>
      </c>
    </row>
    <row r="867">
      <c r="B867" s="85">
        <v>2175.0</v>
      </c>
      <c r="C867" s="85" t="s">
        <v>1017</v>
      </c>
      <c r="D867" s="85" t="s">
        <v>1500</v>
      </c>
    </row>
    <row r="868">
      <c r="B868" s="85">
        <v>2161.0</v>
      </c>
      <c r="C868" s="85" t="s">
        <v>1018</v>
      </c>
      <c r="D868" s="85" t="s">
        <v>1501</v>
      </c>
    </row>
    <row r="869">
      <c r="B869" s="85">
        <v>422.0</v>
      </c>
      <c r="C869" s="85" t="s">
        <v>1019</v>
      </c>
      <c r="D869" s="85" t="s">
        <v>1502</v>
      </c>
    </row>
    <row r="870">
      <c r="B870" s="85">
        <v>421.0</v>
      </c>
      <c r="C870" s="85" t="s">
        <v>1020</v>
      </c>
      <c r="D870" s="85" t="s">
        <v>1503</v>
      </c>
    </row>
    <row r="871">
      <c r="B871" s="85">
        <v>2148.0</v>
      </c>
      <c r="C871" s="85" t="s">
        <v>1021</v>
      </c>
      <c r="D871" s="85" t="s">
        <v>1462</v>
      </c>
    </row>
    <row r="872">
      <c r="B872" s="85">
        <v>4169.0</v>
      </c>
      <c r="C872" s="85" t="s">
        <v>1022</v>
      </c>
      <c r="D872" s="85" t="s">
        <v>1504</v>
      </c>
    </row>
    <row r="873">
      <c r="B873" s="85">
        <v>4169.0</v>
      </c>
      <c r="C873" s="85" t="s">
        <v>1023</v>
      </c>
      <c r="D873" s="85" t="s">
        <v>1504</v>
      </c>
    </row>
    <row r="874">
      <c r="B874" s="85">
        <v>6721.0</v>
      </c>
      <c r="C874" s="85" t="s">
        <v>1024</v>
      </c>
      <c r="D874" s="85" t="s">
        <v>1454</v>
      </c>
    </row>
    <row r="875">
      <c r="B875" s="85">
        <v>6742.0</v>
      </c>
      <c r="C875" s="85" t="s">
        <v>1025</v>
      </c>
      <c r="D875" s="85" t="s">
        <v>1431</v>
      </c>
    </row>
    <row r="876">
      <c r="B876" s="85">
        <v>2131.0</v>
      </c>
      <c r="C876" s="85" t="s">
        <v>1026</v>
      </c>
      <c r="D876" s="85" t="s">
        <v>1505</v>
      </c>
    </row>
    <row r="877">
      <c r="B877" s="85">
        <v>2174.0</v>
      </c>
      <c r="C877" s="85" t="s">
        <v>1027</v>
      </c>
      <c r="D877" s="85" t="s">
        <v>1506</v>
      </c>
    </row>
    <row r="878">
      <c r="B878" s="85">
        <v>6742.0</v>
      </c>
      <c r="C878" s="85" t="s">
        <v>1028</v>
      </c>
      <c r="D878" s="85" t="s">
        <v>1431</v>
      </c>
    </row>
    <row r="879">
      <c r="B879" s="85">
        <v>2133.0</v>
      </c>
      <c r="C879" s="85" t="s">
        <v>1029</v>
      </c>
      <c r="D879" s="85" t="s">
        <v>1507</v>
      </c>
    </row>
    <row r="880">
      <c r="B880" s="85">
        <v>421.0</v>
      </c>
      <c r="C880" s="85" t="s">
        <v>1030</v>
      </c>
      <c r="D880" s="85" t="s">
        <v>1503</v>
      </c>
    </row>
    <row r="881">
      <c r="B881" s="85">
        <v>1114.0</v>
      </c>
      <c r="C881" s="85" t="s">
        <v>1031</v>
      </c>
      <c r="D881" s="85" t="s">
        <v>1478</v>
      </c>
    </row>
    <row r="882">
      <c r="B882" s="85">
        <v>1114.0</v>
      </c>
      <c r="C882" s="85" t="s">
        <v>1032</v>
      </c>
      <c r="D882" s="85" t="s">
        <v>1478</v>
      </c>
    </row>
    <row r="883">
      <c r="B883" s="85">
        <v>6711.0</v>
      </c>
      <c r="C883" s="85" t="s">
        <v>1033</v>
      </c>
      <c r="D883" s="85" t="s">
        <v>1246</v>
      </c>
    </row>
    <row r="884">
      <c r="B884" s="85">
        <v>412.0</v>
      </c>
      <c r="C884" s="85" t="s">
        <v>1034</v>
      </c>
      <c r="D884" s="85" t="s">
        <v>1508</v>
      </c>
    </row>
    <row r="885">
      <c r="B885" s="85">
        <v>413.0</v>
      </c>
      <c r="C885" s="85" t="s">
        <v>1035</v>
      </c>
      <c r="D885" s="85" t="s">
        <v>1509</v>
      </c>
    </row>
    <row r="886">
      <c r="B886" s="85">
        <v>411.0</v>
      </c>
      <c r="C886" s="85" t="s">
        <v>1036</v>
      </c>
      <c r="D886" s="85" t="s">
        <v>1510</v>
      </c>
    </row>
    <row r="887">
      <c r="B887" s="85">
        <v>6721.0</v>
      </c>
      <c r="C887" s="85" t="s">
        <v>1037</v>
      </c>
      <c r="D887" s="85" t="s">
        <v>1454</v>
      </c>
    </row>
    <row r="888">
      <c r="B888" s="85">
        <v>4169.0</v>
      </c>
      <c r="C888" s="85" t="s">
        <v>1038</v>
      </c>
      <c r="D888" s="85" t="s">
        <v>1504</v>
      </c>
    </row>
    <row r="889">
      <c r="B889" s="85">
        <v>2141.0</v>
      </c>
      <c r="C889" s="85" t="s">
        <v>1039</v>
      </c>
      <c r="D889" s="85" t="s">
        <v>1511</v>
      </c>
    </row>
    <row r="890">
      <c r="B890" s="85">
        <v>2174.0</v>
      </c>
      <c r="C890" s="85" t="s">
        <v>1040</v>
      </c>
      <c r="D890" s="85" t="s">
        <v>1506</v>
      </c>
    </row>
    <row r="891">
      <c r="B891" s="85">
        <v>4112.0</v>
      </c>
      <c r="C891" s="85" t="s">
        <v>1041</v>
      </c>
      <c r="D891" s="85" t="s">
        <v>1512</v>
      </c>
    </row>
    <row r="892">
      <c r="B892" s="85">
        <v>511.0</v>
      </c>
      <c r="C892" s="85" t="s">
        <v>1042</v>
      </c>
      <c r="D892" s="85" t="s">
        <v>1513</v>
      </c>
    </row>
    <row r="893">
      <c r="B893" s="85">
        <v>423.0</v>
      </c>
      <c r="C893" s="85" t="s">
        <v>1043</v>
      </c>
      <c r="D893" s="85" t="s">
        <v>1514</v>
      </c>
    </row>
    <row r="894">
      <c r="B894" s="85">
        <v>2161.0</v>
      </c>
      <c r="C894" s="85" t="s">
        <v>1044</v>
      </c>
      <c r="D894" s="85" t="s">
        <v>1501</v>
      </c>
    </row>
    <row r="895">
      <c r="B895" s="85">
        <v>7622.0</v>
      </c>
      <c r="C895" s="85" t="s">
        <v>1045</v>
      </c>
      <c r="D895" s="85" t="s">
        <v>1515</v>
      </c>
    </row>
    <row r="896">
      <c r="B896" s="85">
        <v>6742.0</v>
      </c>
      <c r="C896" s="85" t="s">
        <v>1046</v>
      </c>
      <c r="D896" s="85" t="s">
        <v>1431</v>
      </c>
    </row>
    <row r="897">
      <c r="B897" s="85">
        <v>4169.0</v>
      </c>
      <c r="C897" s="85" t="s">
        <v>1047</v>
      </c>
      <c r="D897" s="85" t="s">
        <v>1504</v>
      </c>
    </row>
    <row r="898">
      <c r="B898" s="85">
        <v>4151.0</v>
      </c>
      <c r="C898" s="85" t="s">
        <v>1048</v>
      </c>
      <c r="D898" s="85" t="s">
        <v>1048</v>
      </c>
    </row>
    <row r="899">
      <c r="B899" s="85">
        <v>4169.0</v>
      </c>
      <c r="C899" s="85" t="s">
        <v>1049</v>
      </c>
      <c r="D899" s="85" t="s">
        <v>1504</v>
      </c>
    </row>
    <row r="900">
      <c r="B900" s="85">
        <v>7621.0</v>
      </c>
      <c r="C900" s="85" t="s">
        <v>1050</v>
      </c>
      <c r="D900" s="85" t="s">
        <v>1516</v>
      </c>
    </row>
    <row r="901">
      <c r="B901" s="85">
        <v>7622.0</v>
      </c>
      <c r="C901" s="85" t="s">
        <v>1051</v>
      </c>
      <c r="D901" s="85" t="s">
        <v>1515</v>
      </c>
    </row>
    <row r="902">
      <c r="B902" s="85">
        <v>421.0</v>
      </c>
      <c r="C902" s="85" t="s">
        <v>1052</v>
      </c>
      <c r="D902" s="85" t="s">
        <v>1503</v>
      </c>
    </row>
    <row r="903">
      <c r="B903" s="85">
        <v>422.0</v>
      </c>
      <c r="C903" s="85" t="s">
        <v>1053</v>
      </c>
      <c r="D903" s="85" t="s">
        <v>1502</v>
      </c>
    </row>
    <row r="904">
      <c r="B904" s="85">
        <v>912.0</v>
      </c>
      <c r="C904" s="85" t="s">
        <v>1054</v>
      </c>
      <c r="D904" s="85" t="s">
        <v>1190</v>
      </c>
    </row>
    <row r="905">
      <c r="B905" s="85">
        <v>15.0</v>
      </c>
      <c r="C905" s="85" t="s">
        <v>1055</v>
      </c>
      <c r="D905" s="85" t="s">
        <v>1517</v>
      </c>
    </row>
    <row r="906">
      <c r="B906" s="85">
        <v>2161.0</v>
      </c>
      <c r="C906" s="85" t="s">
        <v>1056</v>
      </c>
      <c r="D906" s="85" t="s">
        <v>1501</v>
      </c>
    </row>
    <row r="907">
      <c r="B907" s="85">
        <v>1212.0</v>
      </c>
      <c r="C907" s="85" t="s">
        <v>1057</v>
      </c>
      <c r="D907" s="85" t="s">
        <v>1518</v>
      </c>
    </row>
    <row r="908">
      <c r="B908" s="85">
        <v>6623.0</v>
      </c>
      <c r="C908" s="85" t="s">
        <v>1058</v>
      </c>
      <c r="D908" s="85" t="s">
        <v>1458</v>
      </c>
    </row>
    <row r="909">
      <c r="B909" s="85">
        <v>1111.0</v>
      </c>
      <c r="C909" s="85" t="s">
        <v>1059</v>
      </c>
      <c r="D909" s="85" t="s">
        <v>1519</v>
      </c>
    </row>
    <row r="910">
      <c r="B910" s="85">
        <v>2146.0</v>
      </c>
      <c r="C910" s="85" t="s">
        <v>1060</v>
      </c>
      <c r="D910" s="85" t="s">
        <v>1520</v>
      </c>
    </row>
    <row r="911">
      <c r="B911" s="85">
        <v>122.0</v>
      </c>
      <c r="C911" s="85" t="s">
        <v>1061</v>
      </c>
      <c r="D911" s="85" t="s">
        <v>1521</v>
      </c>
    </row>
    <row r="912">
      <c r="B912" s="85">
        <v>1114.0</v>
      </c>
      <c r="C912" s="85" t="s">
        <v>1062</v>
      </c>
      <c r="D912" s="85" t="s">
        <v>1478</v>
      </c>
    </row>
    <row r="913">
      <c r="B913" s="85">
        <v>4162.0</v>
      </c>
      <c r="C913" s="85" t="s">
        <v>1063</v>
      </c>
      <c r="D913" s="85" t="s">
        <v>1522</v>
      </c>
    </row>
    <row r="914">
      <c r="B914" s="85">
        <v>421.0</v>
      </c>
      <c r="C914" s="85" t="s">
        <v>1064</v>
      </c>
      <c r="D914" s="85" t="s">
        <v>1503</v>
      </c>
    </row>
    <row r="915">
      <c r="B915" s="85">
        <v>1254.0</v>
      </c>
      <c r="C915" s="85" t="s">
        <v>1065</v>
      </c>
      <c r="D915" s="85" t="s">
        <v>1523</v>
      </c>
    </row>
    <row r="916">
      <c r="B916" s="85">
        <v>111.0</v>
      </c>
      <c r="C916" s="85" t="s">
        <v>1066</v>
      </c>
      <c r="D916" s="85" t="s">
        <v>1524</v>
      </c>
    </row>
    <row r="917">
      <c r="B917" s="85">
        <v>4169.0</v>
      </c>
      <c r="C917" s="85" t="s">
        <v>1067</v>
      </c>
      <c r="D917" s="85" t="s">
        <v>1504</v>
      </c>
    </row>
    <row r="918">
      <c r="B918" s="85">
        <v>112.0</v>
      </c>
      <c r="C918" s="85" t="s">
        <v>1068</v>
      </c>
      <c r="D918" s="85" t="s">
        <v>1525</v>
      </c>
    </row>
    <row r="919">
      <c r="B919" s="85">
        <v>1112.0</v>
      </c>
      <c r="C919" s="85" t="s">
        <v>1069</v>
      </c>
      <c r="D919" s="85" t="s">
        <v>1526</v>
      </c>
    </row>
    <row r="920">
      <c r="B920" s="85">
        <v>4111.0</v>
      </c>
      <c r="C920" s="85" t="s">
        <v>1070</v>
      </c>
      <c r="D920" s="85" t="s">
        <v>1070</v>
      </c>
    </row>
    <row r="921">
      <c r="B921" s="85">
        <v>4169.0</v>
      </c>
      <c r="C921" s="85" t="s">
        <v>1071</v>
      </c>
      <c r="D921" s="85" t="s">
        <v>1504</v>
      </c>
    </row>
    <row r="922">
      <c r="B922" s="85">
        <v>311.0</v>
      </c>
      <c r="C922" s="85" t="s">
        <v>1072</v>
      </c>
      <c r="D922" s="85" t="s">
        <v>1527</v>
      </c>
    </row>
    <row r="923">
      <c r="B923" s="85">
        <v>4169.0</v>
      </c>
      <c r="C923" s="85" t="s">
        <v>1073</v>
      </c>
      <c r="D923" s="85" t="s">
        <v>1504</v>
      </c>
    </row>
    <row r="924">
      <c r="B924" s="85">
        <v>12.0</v>
      </c>
      <c r="C924" s="85" t="s">
        <v>1074</v>
      </c>
      <c r="D924" s="85" t="s">
        <v>1528</v>
      </c>
    </row>
    <row r="925">
      <c r="B925" s="85">
        <v>13.0</v>
      </c>
      <c r="C925" s="85" t="s">
        <v>1075</v>
      </c>
      <c r="D925" s="85" t="s">
        <v>1529</v>
      </c>
    </row>
    <row r="926">
      <c r="B926" s="85">
        <v>14.0</v>
      </c>
      <c r="C926" s="85" t="s">
        <v>1076</v>
      </c>
      <c r="D926" s="85" t="s">
        <v>1530</v>
      </c>
    </row>
    <row r="927">
      <c r="B927" s="85">
        <v>4169.0</v>
      </c>
      <c r="C927" s="85" t="s">
        <v>1077</v>
      </c>
      <c r="D927" s="85" t="s">
        <v>1504</v>
      </c>
    </row>
    <row r="928">
      <c r="B928" s="85">
        <v>1111.0</v>
      </c>
      <c r="C928" s="85" t="s">
        <v>1078</v>
      </c>
      <c r="D928" s="85" t="s">
        <v>1519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2.5"/>
    <col customWidth="1" min="3" max="3" width="13.5"/>
    <col customWidth="1" min="4" max="4" width="69.75"/>
  </cols>
  <sheetData>
    <row r="1">
      <c r="A1" s="86"/>
      <c r="B1" s="86"/>
      <c r="C1" s="86"/>
      <c r="D1" s="87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</row>
    <row r="2">
      <c r="A2" s="86"/>
      <c r="B2" s="86"/>
      <c r="C2" s="86"/>
      <c r="D2" s="87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</row>
    <row r="3">
      <c r="A3" s="86"/>
      <c r="B3" s="86"/>
      <c r="C3" s="86"/>
      <c r="D3" s="87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>
      <c r="A4" s="86"/>
      <c r="B4" s="86"/>
      <c r="C4" s="86"/>
      <c r="D4" s="87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</row>
    <row r="5">
      <c r="A5" s="86"/>
      <c r="B5" s="86"/>
      <c r="C5" s="86"/>
      <c r="D5" s="87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</row>
    <row r="6">
      <c r="A6" s="88"/>
      <c r="B6" s="24" t="s">
        <v>1531</v>
      </c>
      <c r="C6" s="89"/>
      <c r="D6" s="90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>
      <c r="A7" s="86"/>
      <c r="B7" s="91"/>
      <c r="C7" s="92" t="s">
        <v>1532</v>
      </c>
      <c r="D7" s="93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</row>
    <row r="8">
      <c r="A8" s="86"/>
      <c r="B8" s="91"/>
      <c r="C8" s="94"/>
      <c r="D8" s="93" t="s">
        <v>1533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</row>
    <row r="9">
      <c r="A9" s="86"/>
      <c r="B9" s="91"/>
      <c r="C9" s="95"/>
      <c r="D9" s="93" t="s">
        <v>1534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</row>
    <row r="10">
      <c r="A10" s="86"/>
      <c r="B10" s="91"/>
      <c r="C10" s="95"/>
      <c r="D10" s="93" t="s">
        <v>1535</v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</row>
    <row r="11">
      <c r="A11" s="86"/>
      <c r="B11" s="91"/>
      <c r="C11" s="92" t="s">
        <v>1536</v>
      </c>
      <c r="D11" s="93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</row>
    <row r="12">
      <c r="A12" s="86"/>
      <c r="B12" s="91"/>
      <c r="C12" s="95"/>
      <c r="D12" s="93" t="s">
        <v>1537</v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</row>
    <row r="13">
      <c r="A13" s="86"/>
      <c r="B13" s="91"/>
      <c r="C13" s="95"/>
      <c r="D13" s="93" t="s">
        <v>1538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>
      <c r="A14" s="86"/>
      <c r="B14" s="91"/>
      <c r="C14" s="95"/>
      <c r="D14" s="93" t="s">
        <v>1539</v>
      </c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</row>
    <row r="15">
      <c r="A15" s="86"/>
      <c r="B15" s="91"/>
      <c r="C15" s="91"/>
      <c r="D15" s="96" t="s">
        <v>1540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</row>
    <row r="16">
      <c r="A16" s="86"/>
      <c r="B16" s="91"/>
      <c r="C16" s="91"/>
      <c r="D16" s="97" t="s">
        <v>1541</v>
      </c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</row>
    <row r="17">
      <c r="A17" s="86"/>
      <c r="B17" s="91"/>
      <c r="C17" s="91"/>
      <c r="D17" s="98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</row>
    <row r="18">
      <c r="A18" s="86"/>
      <c r="B18" s="91"/>
      <c r="C18" s="91"/>
      <c r="D18" s="98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</row>
    <row r="19">
      <c r="A19" s="86"/>
      <c r="B19" s="91"/>
      <c r="C19" s="91"/>
      <c r="D19" s="9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</row>
    <row r="20">
      <c r="A20" s="86"/>
      <c r="B20" s="86"/>
      <c r="C20" s="86"/>
      <c r="D20" s="87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</row>
    <row r="21">
      <c r="A21" s="86"/>
      <c r="B21" s="86"/>
      <c r="C21" s="86"/>
      <c r="D21" s="87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</row>
    <row r="22">
      <c r="A22" s="86"/>
      <c r="B22" s="86"/>
      <c r="C22" s="86"/>
      <c r="D22" s="87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</row>
    <row r="23">
      <c r="A23" s="86"/>
      <c r="B23" s="86"/>
      <c r="C23" s="86"/>
      <c r="D23" s="87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</row>
    <row r="24">
      <c r="A24" s="86"/>
      <c r="B24" s="86"/>
      <c r="C24" s="86"/>
      <c r="D24" s="87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</row>
    <row r="25">
      <c r="A25" s="86"/>
      <c r="B25" s="86"/>
      <c r="C25" s="86"/>
      <c r="D25" s="87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</row>
    <row r="26">
      <c r="A26" s="86"/>
      <c r="B26" s="86"/>
      <c r="C26" s="86"/>
      <c r="D26" s="87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</row>
    <row r="27">
      <c r="A27" s="86"/>
      <c r="B27" s="86"/>
      <c r="C27" s="86"/>
      <c r="D27" s="87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>
      <c r="A28" s="86"/>
      <c r="B28" s="86"/>
      <c r="C28" s="86"/>
      <c r="D28" s="87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>
      <c r="A29" s="86"/>
      <c r="B29" s="86"/>
      <c r="C29" s="86"/>
      <c r="D29" s="87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>
      <c r="A30" s="86"/>
      <c r="B30" s="86"/>
      <c r="C30" s="86"/>
      <c r="D30" s="87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>
      <c r="A31" s="86"/>
      <c r="B31" s="86"/>
      <c r="C31" s="86"/>
      <c r="D31" s="87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>
      <c r="A32" s="86"/>
      <c r="B32" s="86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>
      <c r="A33" s="86"/>
      <c r="B33" s="86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>
      <c r="A34" s="86"/>
      <c r="B34" s="86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>
      <c r="A35" s="86"/>
      <c r="B35" s="86"/>
      <c r="C35" s="86"/>
      <c r="D35" s="87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>
      <c r="A36" s="86"/>
      <c r="B36" s="86"/>
      <c r="C36" s="86"/>
      <c r="D36" s="87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>
      <c r="A37" s="86"/>
      <c r="B37" s="86"/>
      <c r="C37" s="86"/>
      <c r="D37" s="87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</row>
    <row r="38">
      <c r="A38" s="86"/>
      <c r="B38" s="86"/>
      <c r="C38" s="86"/>
      <c r="D38" s="87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>
      <c r="A39" s="86"/>
      <c r="B39" s="86"/>
      <c r="C39" s="86"/>
      <c r="D39" s="87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>
      <c r="A40" s="86"/>
      <c r="B40" s="86"/>
      <c r="C40" s="86"/>
      <c r="D40" s="87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>
      <c r="A41" s="86"/>
      <c r="B41" s="86"/>
      <c r="C41" s="86"/>
      <c r="D41" s="87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>
      <c r="A42" s="86"/>
      <c r="B42" s="86"/>
      <c r="C42" s="86"/>
      <c r="D42" s="87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>
      <c r="A43" s="86"/>
      <c r="B43" s="86"/>
      <c r="C43" s="86"/>
      <c r="D43" s="87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>
      <c r="A44" s="86"/>
      <c r="B44" s="86"/>
      <c r="C44" s="86"/>
      <c r="D44" s="87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>
      <c r="A45" s="86"/>
      <c r="B45" s="86"/>
      <c r="C45" s="86"/>
      <c r="D45" s="87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>
      <c r="A46" s="86"/>
      <c r="B46" s="86"/>
      <c r="C46" s="86"/>
      <c r="D46" s="87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</row>
    <row r="47">
      <c r="A47" s="86"/>
      <c r="B47" s="86"/>
      <c r="C47" s="86"/>
      <c r="D47" s="87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>
      <c r="A48" s="86"/>
      <c r="B48" s="86"/>
      <c r="C48" s="86"/>
      <c r="D48" s="87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>
      <c r="A49" s="86"/>
      <c r="B49" s="86"/>
      <c r="C49" s="86"/>
      <c r="D49" s="87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</row>
    <row r="50">
      <c r="A50" s="86"/>
      <c r="B50" s="86"/>
      <c r="C50" s="86"/>
      <c r="D50" s="87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>
      <c r="A51" s="86"/>
      <c r="B51" s="86"/>
      <c r="C51" s="86"/>
      <c r="D51" s="87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</row>
    <row r="52">
      <c r="A52" s="86"/>
      <c r="B52" s="86"/>
      <c r="C52" s="86"/>
      <c r="D52" s="87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</row>
    <row r="53">
      <c r="A53" s="86"/>
      <c r="B53" s="86"/>
      <c r="C53" s="86"/>
      <c r="D53" s="87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  <row r="54">
      <c r="A54" s="86"/>
      <c r="B54" s="86"/>
      <c r="C54" s="86"/>
      <c r="D54" s="87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</row>
    <row r="55">
      <c r="A55" s="86"/>
      <c r="B55" s="86"/>
      <c r="C55" s="86"/>
      <c r="D55" s="87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</row>
    <row r="56">
      <c r="A56" s="86"/>
      <c r="B56" s="86"/>
      <c r="C56" s="86"/>
      <c r="D56" s="87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</row>
    <row r="57">
      <c r="A57" s="86"/>
      <c r="B57" s="86"/>
      <c r="C57" s="86"/>
      <c r="D57" s="87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</row>
    <row r="58">
      <c r="A58" s="86"/>
      <c r="B58" s="86"/>
      <c r="C58" s="86"/>
      <c r="D58" s="87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</row>
    <row r="59">
      <c r="A59" s="86"/>
      <c r="B59" s="86"/>
      <c r="C59" s="86"/>
      <c r="D59" s="87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</row>
    <row r="60">
      <c r="A60" s="86"/>
      <c r="B60" s="86"/>
      <c r="C60" s="86"/>
      <c r="D60" s="87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</row>
    <row r="61">
      <c r="A61" s="86"/>
      <c r="B61" s="86"/>
      <c r="C61" s="86"/>
      <c r="D61" s="87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</row>
    <row r="62">
      <c r="A62" s="86"/>
      <c r="B62" s="86"/>
      <c r="C62" s="86"/>
      <c r="D62" s="87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</row>
    <row r="63">
      <c r="A63" s="86"/>
      <c r="B63" s="86"/>
      <c r="C63" s="86"/>
      <c r="D63" s="87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</row>
    <row r="64">
      <c r="A64" s="86"/>
      <c r="B64" s="86"/>
      <c r="C64" s="86"/>
      <c r="D64" s="87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</row>
    <row r="65">
      <c r="A65" s="86"/>
      <c r="B65" s="86"/>
      <c r="C65" s="86"/>
      <c r="D65" s="87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</row>
    <row r="66">
      <c r="A66" s="86"/>
      <c r="B66" s="86"/>
      <c r="C66" s="86"/>
      <c r="D66" s="87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</row>
    <row r="67">
      <c r="A67" s="86"/>
      <c r="B67" s="86"/>
      <c r="C67" s="86"/>
      <c r="D67" s="87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</row>
    <row r="68">
      <c r="A68" s="86"/>
      <c r="B68" s="86"/>
      <c r="C68" s="86"/>
      <c r="D68" s="87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</row>
    <row r="69">
      <c r="A69" s="86"/>
      <c r="B69" s="86"/>
      <c r="C69" s="86"/>
      <c r="D69" s="87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</row>
    <row r="70">
      <c r="A70" s="86"/>
      <c r="B70" s="86"/>
      <c r="C70" s="86"/>
      <c r="D70" s="87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</row>
    <row r="71">
      <c r="A71" s="86"/>
      <c r="B71" s="86"/>
      <c r="C71" s="86"/>
      <c r="D71" s="87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</row>
    <row r="72">
      <c r="A72" s="86"/>
      <c r="B72" s="86"/>
      <c r="C72" s="86"/>
      <c r="D72" s="87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</row>
    <row r="73">
      <c r="A73" s="86"/>
      <c r="B73" s="86"/>
      <c r="C73" s="86"/>
      <c r="D73" s="87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</row>
    <row r="74">
      <c r="A74" s="86"/>
      <c r="B74" s="86"/>
      <c r="C74" s="86"/>
      <c r="D74" s="87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</row>
    <row r="75">
      <c r="A75" s="86"/>
      <c r="B75" s="86"/>
      <c r="C75" s="86"/>
      <c r="D75" s="87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</row>
    <row r="76">
      <c r="A76" s="86"/>
      <c r="B76" s="86"/>
      <c r="C76" s="86"/>
      <c r="D76" s="87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</row>
    <row r="77">
      <c r="A77" s="86"/>
      <c r="B77" s="86"/>
      <c r="C77" s="86"/>
      <c r="D77" s="87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</row>
    <row r="78">
      <c r="A78" s="86"/>
      <c r="B78" s="86"/>
      <c r="C78" s="86"/>
      <c r="D78" s="87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>
      <c r="A79" s="86"/>
      <c r="B79" s="86"/>
      <c r="C79" s="86"/>
      <c r="D79" s="87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</row>
    <row r="80">
      <c r="A80" s="86"/>
      <c r="B80" s="86"/>
      <c r="C80" s="86"/>
      <c r="D80" s="87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</row>
    <row r="81">
      <c r="A81" s="86"/>
      <c r="B81" s="86"/>
      <c r="C81" s="86"/>
      <c r="D81" s="87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</row>
    <row r="82">
      <c r="A82" s="86"/>
      <c r="B82" s="86"/>
      <c r="C82" s="86"/>
      <c r="D82" s="87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</row>
    <row r="83">
      <c r="A83" s="86"/>
      <c r="B83" s="86"/>
      <c r="C83" s="86"/>
      <c r="D83" s="87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</row>
    <row r="84">
      <c r="A84" s="86"/>
      <c r="B84" s="86"/>
      <c r="C84" s="86"/>
      <c r="D84" s="87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</row>
    <row r="85">
      <c r="A85" s="86"/>
      <c r="B85" s="86"/>
      <c r="C85" s="86"/>
      <c r="D85" s="87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</row>
    <row r="86">
      <c r="A86" s="86"/>
      <c r="B86" s="86"/>
      <c r="C86" s="86"/>
      <c r="D86" s="87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</row>
    <row r="87">
      <c r="A87" s="86"/>
      <c r="B87" s="86"/>
      <c r="C87" s="86"/>
      <c r="D87" s="87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</row>
    <row r="88">
      <c r="A88" s="86"/>
      <c r="B88" s="86"/>
      <c r="C88" s="86"/>
      <c r="D88" s="87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</row>
    <row r="89">
      <c r="A89" s="86"/>
      <c r="B89" s="86"/>
      <c r="C89" s="86"/>
      <c r="D89" s="87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</row>
    <row r="90">
      <c r="A90" s="86"/>
      <c r="B90" s="86"/>
      <c r="C90" s="86"/>
      <c r="D90" s="87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</row>
    <row r="91">
      <c r="A91" s="86"/>
      <c r="B91" s="86"/>
      <c r="C91" s="86"/>
      <c r="D91" s="87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</row>
    <row r="92">
      <c r="A92" s="86"/>
      <c r="B92" s="86"/>
      <c r="C92" s="86"/>
      <c r="D92" s="87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</row>
    <row r="93">
      <c r="A93" s="86"/>
      <c r="B93" s="86"/>
      <c r="C93" s="86"/>
      <c r="D93" s="87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</row>
    <row r="94">
      <c r="A94" s="86"/>
      <c r="B94" s="86"/>
      <c r="C94" s="86"/>
      <c r="D94" s="87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</row>
    <row r="95">
      <c r="A95" s="86"/>
      <c r="B95" s="86"/>
      <c r="C95" s="86"/>
      <c r="D95" s="87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</row>
    <row r="96">
      <c r="A96" s="86"/>
      <c r="B96" s="86"/>
      <c r="C96" s="86"/>
      <c r="D96" s="87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</row>
    <row r="97">
      <c r="A97" s="86"/>
      <c r="B97" s="86"/>
      <c r="C97" s="86"/>
      <c r="D97" s="87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</row>
    <row r="98">
      <c r="A98" s="86"/>
      <c r="B98" s="86"/>
      <c r="C98" s="86"/>
      <c r="D98" s="87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</row>
    <row r="99">
      <c r="A99" s="86"/>
      <c r="B99" s="86"/>
      <c r="C99" s="86"/>
      <c r="D99" s="87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</row>
    <row r="100">
      <c r="A100" s="86"/>
      <c r="B100" s="86"/>
      <c r="C100" s="86"/>
      <c r="D100" s="87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</row>
    <row r="101">
      <c r="A101" s="86"/>
      <c r="B101" s="86"/>
      <c r="C101" s="86"/>
      <c r="D101" s="87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</row>
    <row r="102">
      <c r="A102" s="86"/>
      <c r="B102" s="86"/>
      <c r="C102" s="86"/>
      <c r="D102" s="87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</row>
    <row r="103">
      <c r="A103" s="86"/>
      <c r="B103" s="86"/>
      <c r="C103" s="86"/>
      <c r="D103" s="87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</row>
    <row r="104">
      <c r="A104" s="86"/>
      <c r="B104" s="86"/>
      <c r="C104" s="86"/>
      <c r="D104" s="87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</row>
    <row r="105">
      <c r="A105" s="86"/>
      <c r="B105" s="86"/>
      <c r="C105" s="86"/>
      <c r="D105" s="87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</row>
    <row r="106">
      <c r="A106" s="86"/>
      <c r="B106" s="86"/>
      <c r="C106" s="86"/>
      <c r="D106" s="87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</row>
    <row r="107">
      <c r="A107" s="86"/>
      <c r="B107" s="86"/>
      <c r="C107" s="86"/>
      <c r="D107" s="87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</row>
    <row r="108">
      <c r="A108" s="86"/>
      <c r="B108" s="86"/>
      <c r="C108" s="86"/>
      <c r="D108" s="87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</row>
    <row r="109">
      <c r="A109" s="86"/>
      <c r="B109" s="86"/>
      <c r="C109" s="86"/>
      <c r="D109" s="87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</row>
    <row r="110">
      <c r="A110" s="86"/>
      <c r="B110" s="86"/>
      <c r="C110" s="86"/>
      <c r="D110" s="87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</row>
    <row r="111">
      <c r="A111" s="86"/>
      <c r="B111" s="86"/>
      <c r="C111" s="86"/>
      <c r="D111" s="87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</row>
    <row r="112">
      <c r="A112" s="86"/>
      <c r="B112" s="86"/>
      <c r="C112" s="86"/>
      <c r="D112" s="87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</row>
    <row r="113">
      <c r="A113" s="86"/>
      <c r="B113" s="86"/>
      <c r="C113" s="86"/>
      <c r="D113" s="87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</row>
    <row r="114">
      <c r="A114" s="86"/>
      <c r="B114" s="86"/>
      <c r="C114" s="86"/>
      <c r="D114" s="87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</row>
    <row r="115">
      <c r="A115" s="86"/>
      <c r="B115" s="86"/>
      <c r="C115" s="86"/>
      <c r="D115" s="87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</row>
    <row r="116">
      <c r="A116" s="86"/>
      <c r="B116" s="86"/>
      <c r="C116" s="86"/>
      <c r="D116" s="87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</row>
    <row r="117">
      <c r="A117" s="86"/>
      <c r="B117" s="86"/>
      <c r="C117" s="86"/>
      <c r="D117" s="87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</row>
    <row r="118">
      <c r="A118" s="86"/>
      <c r="B118" s="86"/>
      <c r="C118" s="86"/>
      <c r="D118" s="87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</row>
    <row r="119">
      <c r="A119" s="86"/>
      <c r="B119" s="86"/>
      <c r="C119" s="86"/>
      <c r="D119" s="87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</row>
    <row r="120">
      <c r="A120" s="86"/>
      <c r="B120" s="86"/>
      <c r="C120" s="86"/>
      <c r="D120" s="87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</row>
    <row r="121">
      <c r="A121" s="86"/>
      <c r="B121" s="86"/>
      <c r="C121" s="86"/>
      <c r="D121" s="87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</row>
    <row r="122">
      <c r="A122" s="86"/>
      <c r="B122" s="86"/>
      <c r="C122" s="86"/>
      <c r="D122" s="87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</row>
    <row r="123">
      <c r="A123" s="86"/>
      <c r="B123" s="86"/>
      <c r="C123" s="86"/>
      <c r="D123" s="87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</row>
    <row r="124">
      <c r="A124" s="86"/>
      <c r="B124" s="86"/>
      <c r="C124" s="86"/>
      <c r="D124" s="87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</row>
    <row r="125">
      <c r="A125" s="86"/>
      <c r="B125" s="86"/>
      <c r="C125" s="86"/>
      <c r="D125" s="87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</row>
    <row r="126">
      <c r="A126" s="86"/>
      <c r="B126" s="86"/>
      <c r="C126" s="86"/>
      <c r="D126" s="87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>
      <c r="A127" s="86"/>
      <c r="B127" s="86"/>
      <c r="C127" s="86"/>
      <c r="D127" s="87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</row>
    <row r="128">
      <c r="A128" s="86"/>
      <c r="B128" s="86"/>
      <c r="C128" s="86"/>
      <c r="D128" s="87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</row>
    <row r="129">
      <c r="A129" s="86"/>
      <c r="B129" s="86"/>
      <c r="C129" s="86"/>
      <c r="D129" s="87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</row>
    <row r="130">
      <c r="A130" s="86"/>
      <c r="B130" s="86"/>
      <c r="C130" s="86"/>
      <c r="D130" s="87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</row>
    <row r="131">
      <c r="A131" s="86"/>
      <c r="B131" s="86"/>
      <c r="C131" s="86"/>
      <c r="D131" s="87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</row>
    <row r="132">
      <c r="A132" s="86"/>
      <c r="B132" s="86"/>
      <c r="C132" s="86"/>
      <c r="D132" s="87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>
      <c r="A133" s="86"/>
      <c r="B133" s="86"/>
      <c r="C133" s="86"/>
      <c r="D133" s="87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>
      <c r="A134" s="86"/>
      <c r="B134" s="86"/>
      <c r="C134" s="86"/>
      <c r="D134" s="87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>
      <c r="A135" s="86"/>
      <c r="B135" s="86"/>
      <c r="C135" s="86"/>
      <c r="D135" s="87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>
      <c r="A136" s="86"/>
      <c r="B136" s="86"/>
      <c r="C136" s="86"/>
      <c r="D136" s="87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</row>
    <row r="137">
      <c r="A137" s="86"/>
      <c r="B137" s="86"/>
      <c r="C137" s="86"/>
      <c r="D137" s="87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</row>
    <row r="138">
      <c r="A138" s="86"/>
      <c r="B138" s="86"/>
      <c r="C138" s="86"/>
      <c r="D138" s="87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</row>
    <row r="139">
      <c r="A139" s="86"/>
      <c r="B139" s="86"/>
      <c r="C139" s="86"/>
      <c r="D139" s="87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</row>
    <row r="140">
      <c r="A140" s="86"/>
      <c r="B140" s="86"/>
      <c r="C140" s="86"/>
      <c r="D140" s="87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</row>
    <row r="141">
      <c r="A141" s="86"/>
      <c r="B141" s="86"/>
      <c r="C141" s="86"/>
      <c r="D141" s="87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</row>
    <row r="142">
      <c r="A142" s="86"/>
      <c r="B142" s="86"/>
      <c r="C142" s="86"/>
      <c r="D142" s="87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</row>
    <row r="143">
      <c r="A143" s="86"/>
      <c r="B143" s="86"/>
      <c r="C143" s="86"/>
      <c r="D143" s="87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</row>
    <row r="144">
      <c r="A144" s="86"/>
      <c r="B144" s="86"/>
      <c r="C144" s="86"/>
      <c r="D144" s="87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</row>
    <row r="145">
      <c r="A145" s="86"/>
      <c r="B145" s="86"/>
      <c r="C145" s="86"/>
      <c r="D145" s="87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</row>
    <row r="146">
      <c r="A146" s="86"/>
      <c r="B146" s="86"/>
      <c r="C146" s="86"/>
      <c r="D146" s="87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</row>
    <row r="147">
      <c r="A147" s="86"/>
      <c r="B147" s="86"/>
      <c r="C147" s="86"/>
      <c r="D147" s="87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</row>
    <row r="148">
      <c r="A148" s="86"/>
      <c r="B148" s="86"/>
      <c r="C148" s="86"/>
      <c r="D148" s="87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</row>
    <row r="149">
      <c r="A149" s="86"/>
      <c r="B149" s="86"/>
      <c r="C149" s="86"/>
      <c r="D149" s="87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</row>
    <row r="150">
      <c r="A150" s="86"/>
      <c r="B150" s="86"/>
      <c r="C150" s="86"/>
      <c r="D150" s="87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</row>
    <row r="151">
      <c r="A151" s="86"/>
      <c r="B151" s="86"/>
      <c r="C151" s="86"/>
      <c r="D151" s="87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</row>
    <row r="152">
      <c r="A152" s="86"/>
      <c r="B152" s="86"/>
      <c r="C152" s="86"/>
      <c r="D152" s="87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</row>
    <row r="153">
      <c r="A153" s="86"/>
      <c r="B153" s="86"/>
      <c r="C153" s="86"/>
      <c r="D153" s="87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</row>
    <row r="154">
      <c r="A154" s="86"/>
      <c r="B154" s="86"/>
      <c r="C154" s="86"/>
      <c r="D154" s="87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</row>
    <row r="155">
      <c r="A155" s="86"/>
      <c r="B155" s="86"/>
      <c r="C155" s="86"/>
      <c r="D155" s="87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</row>
    <row r="156">
      <c r="A156" s="86"/>
      <c r="B156" s="86"/>
      <c r="C156" s="86"/>
      <c r="D156" s="87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</row>
    <row r="157">
      <c r="A157" s="86"/>
      <c r="B157" s="86"/>
      <c r="C157" s="86"/>
      <c r="D157" s="87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</row>
    <row r="158">
      <c r="A158" s="86"/>
      <c r="B158" s="86"/>
      <c r="C158" s="86"/>
      <c r="D158" s="87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</row>
    <row r="159">
      <c r="A159" s="86"/>
      <c r="B159" s="86"/>
      <c r="C159" s="86"/>
      <c r="D159" s="87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</row>
    <row r="160">
      <c r="A160" s="86"/>
      <c r="B160" s="86"/>
      <c r="C160" s="86"/>
      <c r="D160" s="87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</row>
    <row r="161">
      <c r="A161" s="86"/>
      <c r="B161" s="86"/>
      <c r="C161" s="86"/>
      <c r="D161" s="87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</row>
    <row r="162">
      <c r="A162" s="86"/>
      <c r="B162" s="86"/>
      <c r="C162" s="86"/>
      <c r="D162" s="87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>
      <c r="A163" s="86"/>
      <c r="B163" s="86"/>
      <c r="C163" s="86"/>
      <c r="D163" s="87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>
      <c r="A164" s="86"/>
      <c r="B164" s="86"/>
      <c r="C164" s="86"/>
      <c r="D164" s="87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>
      <c r="A165" s="86"/>
      <c r="B165" s="86"/>
      <c r="C165" s="86"/>
      <c r="D165" s="87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</row>
    <row r="166">
      <c r="A166" s="86"/>
      <c r="B166" s="86"/>
      <c r="C166" s="86"/>
      <c r="D166" s="87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</row>
    <row r="167">
      <c r="A167" s="86"/>
      <c r="B167" s="86"/>
      <c r="C167" s="86"/>
      <c r="D167" s="87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</row>
    <row r="168">
      <c r="A168" s="86"/>
      <c r="B168" s="86"/>
      <c r="C168" s="86"/>
      <c r="D168" s="87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>
      <c r="A169" s="86"/>
      <c r="B169" s="86"/>
      <c r="C169" s="86"/>
      <c r="D169" s="87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>
      <c r="A170" s="86"/>
      <c r="B170" s="86"/>
      <c r="C170" s="86"/>
      <c r="D170" s="87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>
      <c r="A171" s="86"/>
      <c r="B171" s="86"/>
      <c r="C171" s="86"/>
      <c r="D171" s="87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>
      <c r="A172" s="86"/>
      <c r="B172" s="86"/>
      <c r="C172" s="86"/>
      <c r="D172" s="87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</row>
    <row r="173">
      <c r="A173" s="86"/>
      <c r="B173" s="86"/>
      <c r="C173" s="86"/>
      <c r="D173" s="87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</row>
    <row r="174">
      <c r="A174" s="86"/>
      <c r="B174" s="86"/>
      <c r="C174" s="86"/>
      <c r="D174" s="87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</row>
    <row r="175">
      <c r="A175" s="86"/>
      <c r="B175" s="86"/>
      <c r="C175" s="86"/>
      <c r="D175" s="87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</row>
    <row r="176">
      <c r="A176" s="86"/>
      <c r="B176" s="86"/>
      <c r="C176" s="86"/>
      <c r="D176" s="87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>
      <c r="A177" s="86"/>
      <c r="B177" s="86"/>
      <c r="C177" s="86"/>
      <c r="D177" s="87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>
      <c r="A178" s="86"/>
      <c r="B178" s="86"/>
      <c r="C178" s="86"/>
      <c r="D178" s="87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>
      <c r="A179" s="86"/>
      <c r="B179" s="86"/>
      <c r="C179" s="86"/>
      <c r="D179" s="87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>
      <c r="A180" s="86"/>
      <c r="B180" s="86"/>
      <c r="C180" s="86"/>
      <c r="D180" s="87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>
      <c r="A181" s="86"/>
      <c r="B181" s="86"/>
      <c r="C181" s="86"/>
      <c r="D181" s="87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>
      <c r="A182" s="86"/>
      <c r="B182" s="86"/>
      <c r="C182" s="86"/>
      <c r="D182" s="87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>
      <c r="A183" s="86"/>
      <c r="B183" s="86"/>
      <c r="C183" s="86"/>
      <c r="D183" s="87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>
      <c r="A184" s="86"/>
      <c r="B184" s="86"/>
      <c r="C184" s="86"/>
      <c r="D184" s="87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>
      <c r="A185" s="86"/>
      <c r="B185" s="86"/>
      <c r="C185" s="86"/>
      <c r="D185" s="87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>
      <c r="A186" s="86"/>
      <c r="B186" s="86"/>
      <c r="C186" s="86"/>
      <c r="D186" s="87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>
      <c r="A187" s="86"/>
      <c r="B187" s="86"/>
      <c r="C187" s="86"/>
      <c r="D187" s="87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>
      <c r="A188" s="86"/>
      <c r="B188" s="86"/>
      <c r="C188" s="86"/>
      <c r="D188" s="87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>
      <c r="A189" s="86"/>
      <c r="B189" s="86"/>
      <c r="C189" s="86"/>
      <c r="D189" s="87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>
      <c r="A190" s="86"/>
      <c r="B190" s="86"/>
      <c r="C190" s="86"/>
      <c r="D190" s="87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>
      <c r="A191" s="86"/>
      <c r="B191" s="86"/>
      <c r="C191" s="86"/>
      <c r="D191" s="87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>
      <c r="A192" s="86"/>
      <c r="B192" s="86"/>
      <c r="C192" s="86"/>
      <c r="D192" s="87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>
      <c r="A193" s="86"/>
      <c r="B193" s="86"/>
      <c r="C193" s="86"/>
      <c r="D193" s="87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>
      <c r="A194" s="86"/>
      <c r="B194" s="86"/>
      <c r="C194" s="86"/>
      <c r="D194" s="87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>
      <c r="A195" s="86"/>
      <c r="B195" s="86"/>
      <c r="C195" s="86"/>
      <c r="D195" s="87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>
      <c r="A196" s="86"/>
      <c r="B196" s="86"/>
      <c r="C196" s="86"/>
      <c r="D196" s="87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>
      <c r="A197" s="86"/>
      <c r="B197" s="86"/>
      <c r="C197" s="86"/>
      <c r="D197" s="87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>
      <c r="A198" s="86"/>
      <c r="B198" s="86"/>
      <c r="C198" s="86"/>
      <c r="D198" s="87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>
      <c r="A199" s="86"/>
      <c r="B199" s="86"/>
      <c r="C199" s="86"/>
      <c r="D199" s="87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>
      <c r="A200" s="86"/>
      <c r="B200" s="86"/>
      <c r="C200" s="86"/>
      <c r="D200" s="87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>
      <c r="A201" s="86"/>
      <c r="B201" s="86"/>
      <c r="C201" s="86"/>
      <c r="D201" s="87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>
      <c r="A202" s="86"/>
      <c r="B202" s="86"/>
      <c r="C202" s="86"/>
      <c r="D202" s="87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>
      <c r="A203" s="86"/>
      <c r="B203" s="86"/>
      <c r="C203" s="86"/>
      <c r="D203" s="87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>
      <c r="A204" s="86"/>
      <c r="B204" s="86"/>
      <c r="C204" s="86"/>
      <c r="D204" s="87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>
      <c r="A205" s="86"/>
      <c r="B205" s="86"/>
      <c r="C205" s="86"/>
      <c r="D205" s="87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>
      <c r="A206" s="86"/>
      <c r="B206" s="86"/>
      <c r="C206" s="86"/>
      <c r="D206" s="87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>
      <c r="A207" s="86"/>
      <c r="B207" s="86"/>
      <c r="C207" s="86"/>
      <c r="D207" s="87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>
      <c r="A208" s="86"/>
      <c r="B208" s="86"/>
      <c r="C208" s="86"/>
      <c r="D208" s="87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>
      <c r="A209" s="86"/>
      <c r="B209" s="86"/>
      <c r="C209" s="86"/>
      <c r="D209" s="87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>
      <c r="A210" s="86"/>
      <c r="B210" s="86"/>
      <c r="C210" s="86"/>
      <c r="D210" s="87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>
      <c r="A211" s="86"/>
      <c r="B211" s="86"/>
      <c r="C211" s="86"/>
      <c r="D211" s="87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>
      <c r="A212" s="86"/>
      <c r="B212" s="86"/>
      <c r="C212" s="86"/>
      <c r="D212" s="87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>
      <c r="A213" s="86"/>
      <c r="B213" s="86"/>
      <c r="C213" s="86"/>
      <c r="D213" s="87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>
      <c r="A214" s="86"/>
      <c r="B214" s="86"/>
      <c r="C214" s="86"/>
      <c r="D214" s="87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>
      <c r="A215" s="86"/>
      <c r="B215" s="86"/>
      <c r="C215" s="86"/>
      <c r="D215" s="87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>
      <c r="A216" s="86"/>
      <c r="B216" s="86"/>
      <c r="C216" s="86"/>
      <c r="D216" s="87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>
      <c r="A217" s="86"/>
      <c r="B217" s="86"/>
      <c r="C217" s="86"/>
      <c r="D217" s="87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>
      <c r="A218" s="86"/>
      <c r="B218" s="86"/>
      <c r="C218" s="86"/>
      <c r="D218" s="87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>
      <c r="A219" s="86"/>
      <c r="B219" s="86"/>
      <c r="C219" s="86"/>
      <c r="D219" s="87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>
      <c r="A220" s="86"/>
      <c r="B220" s="86"/>
      <c r="C220" s="86"/>
      <c r="D220" s="87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>
      <c r="A221" s="86"/>
      <c r="B221" s="86"/>
      <c r="C221" s="86"/>
      <c r="D221" s="87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>
      <c r="A222" s="86"/>
      <c r="B222" s="86"/>
      <c r="C222" s="86"/>
      <c r="D222" s="87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>
      <c r="A223" s="86"/>
      <c r="B223" s="86"/>
      <c r="C223" s="86"/>
      <c r="D223" s="87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>
      <c r="A224" s="86"/>
      <c r="B224" s="86"/>
      <c r="C224" s="86"/>
      <c r="D224" s="87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>
      <c r="A225" s="86"/>
      <c r="B225" s="86"/>
      <c r="C225" s="86"/>
      <c r="D225" s="87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>
      <c r="A226" s="86"/>
      <c r="B226" s="86"/>
      <c r="C226" s="86"/>
      <c r="D226" s="87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>
      <c r="A227" s="86"/>
      <c r="B227" s="86"/>
      <c r="C227" s="86"/>
      <c r="D227" s="87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>
      <c r="A228" s="86"/>
      <c r="B228" s="86"/>
      <c r="C228" s="86"/>
      <c r="D228" s="87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>
      <c r="A229" s="86"/>
      <c r="B229" s="86"/>
      <c r="C229" s="86"/>
      <c r="D229" s="87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>
      <c r="A230" s="86"/>
      <c r="B230" s="86"/>
      <c r="C230" s="86"/>
      <c r="D230" s="87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>
      <c r="A231" s="86"/>
      <c r="B231" s="86"/>
      <c r="C231" s="86"/>
      <c r="D231" s="87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>
      <c r="A232" s="86"/>
      <c r="B232" s="86"/>
      <c r="C232" s="86"/>
      <c r="D232" s="87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>
      <c r="A233" s="86"/>
      <c r="B233" s="86"/>
      <c r="C233" s="86"/>
      <c r="D233" s="87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>
      <c r="A234" s="86"/>
      <c r="B234" s="86"/>
      <c r="C234" s="86"/>
      <c r="D234" s="87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>
      <c r="A235" s="86"/>
      <c r="B235" s="86"/>
      <c r="C235" s="86"/>
      <c r="D235" s="87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>
      <c r="A236" s="86"/>
      <c r="B236" s="86"/>
      <c r="C236" s="86"/>
      <c r="D236" s="87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>
      <c r="A237" s="86"/>
      <c r="B237" s="86"/>
      <c r="C237" s="86"/>
      <c r="D237" s="87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>
      <c r="A238" s="86"/>
      <c r="B238" s="86"/>
      <c r="C238" s="86"/>
      <c r="D238" s="87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>
      <c r="A239" s="86"/>
      <c r="B239" s="86"/>
      <c r="C239" s="86"/>
      <c r="D239" s="87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>
      <c r="A240" s="86"/>
      <c r="B240" s="86"/>
      <c r="C240" s="86"/>
      <c r="D240" s="87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>
      <c r="A241" s="86"/>
      <c r="B241" s="86"/>
      <c r="C241" s="86"/>
      <c r="D241" s="87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>
      <c r="A242" s="86"/>
      <c r="B242" s="86"/>
      <c r="C242" s="86"/>
      <c r="D242" s="87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>
      <c r="A243" s="86"/>
      <c r="B243" s="86"/>
      <c r="C243" s="86"/>
      <c r="D243" s="87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>
      <c r="A244" s="86"/>
      <c r="B244" s="86"/>
      <c r="C244" s="86"/>
      <c r="D244" s="87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>
      <c r="A245" s="86"/>
      <c r="B245" s="86"/>
      <c r="C245" s="86"/>
      <c r="D245" s="87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>
      <c r="A246" s="86"/>
      <c r="B246" s="86"/>
      <c r="C246" s="86"/>
      <c r="D246" s="87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>
      <c r="A247" s="86"/>
      <c r="B247" s="86"/>
      <c r="C247" s="86"/>
      <c r="D247" s="87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>
      <c r="A248" s="86"/>
      <c r="B248" s="86"/>
      <c r="C248" s="86"/>
      <c r="D248" s="87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>
      <c r="A249" s="86"/>
      <c r="B249" s="86"/>
      <c r="C249" s="86"/>
      <c r="D249" s="87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>
      <c r="A250" s="86"/>
      <c r="B250" s="86"/>
      <c r="C250" s="86"/>
      <c r="D250" s="87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>
      <c r="A251" s="86"/>
      <c r="B251" s="86"/>
      <c r="C251" s="86"/>
      <c r="D251" s="87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>
      <c r="A252" s="86"/>
      <c r="B252" s="86"/>
      <c r="C252" s="86"/>
      <c r="D252" s="87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>
      <c r="A253" s="86"/>
      <c r="B253" s="86"/>
      <c r="C253" s="86"/>
      <c r="D253" s="87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>
      <c r="A254" s="86"/>
      <c r="B254" s="86"/>
      <c r="C254" s="86"/>
      <c r="D254" s="87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>
      <c r="A255" s="86"/>
      <c r="B255" s="86"/>
      <c r="C255" s="86"/>
      <c r="D255" s="87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>
      <c r="A256" s="86"/>
      <c r="B256" s="86"/>
      <c r="C256" s="86"/>
      <c r="D256" s="87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>
      <c r="A257" s="86"/>
      <c r="B257" s="86"/>
      <c r="C257" s="86"/>
      <c r="D257" s="87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>
      <c r="A258" s="86"/>
      <c r="B258" s="86"/>
      <c r="C258" s="86"/>
      <c r="D258" s="87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>
      <c r="A259" s="86"/>
      <c r="B259" s="86"/>
      <c r="C259" s="86"/>
      <c r="D259" s="87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>
      <c r="A260" s="86"/>
      <c r="B260" s="86"/>
      <c r="C260" s="86"/>
      <c r="D260" s="87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>
      <c r="A261" s="86"/>
      <c r="B261" s="86"/>
      <c r="C261" s="86"/>
      <c r="D261" s="87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>
      <c r="A262" s="86"/>
      <c r="B262" s="86"/>
      <c r="C262" s="86"/>
      <c r="D262" s="87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>
      <c r="A263" s="86"/>
      <c r="B263" s="86"/>
      <c r="C263" s="86"/>
      <c r="D263" s="87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>
      <c r="A264" s="86"/>
      <c r="B264" s="86"/>
      <c r="C264" s="86"/>
      <c r="D264" s="87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>
      <c r="A265" s="86"/>
      <c r="B265" s="86"/>
      <c r="C265" s="86"/>
      <c r="D265" s="87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>
      <c r="A266" s="86"/>
      <c r="B266" s="86"/>
      <c r="C266" s="86"/>
      <c r="D266" s="87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>
      <c r="A267" s="86"/>
      <c r="B267" s="86"/>
      <c r="C267" s="86"/>
      <c r="D267" s="87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>
      <c r="A268" s="86"/>
      <c r="B268" s="86"/>
      <c r="C268" s="86"/>
      <c r="D268" s="87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>
      <c r="A269" s="86"/>
      <c r="B269" s="86"/>
      <c r="C269" s="86"/>
      <c r="D269" s="87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>
      <c r="A270" s="86"/>
      <c r="B270" s="86"/>
      <c r="C270" s="86"/>
      <c r="D270" s="87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>
      <c r="A271" s="86"/>
      <c r="B271" s="86"/>
      <c r="C271" s="86"/>
      <c r="D271" s="87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>
      <c r="A272" s="86"/>
      <c r="B272" s="86"/>
      <c r="C272" s="86"/>
      <c r="D272" s="87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>
      <c r="A273" s="86"/>
      <c r="B273" s="86"/>
      <c r="C273" s="86"/>
      <c r="D273" s="87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>
      <c r="A274" s="86"/>
      <c r="B274" s="86"/>
      <c r="C274" s="86"/>
      <c r="D274" s="87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>
      <c r="A275" s="86"/>
      <c r="B275" s="86"/>
      <c r="C275" s="86"/>
      <c r="D275" s="87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>
      <c r="A276" s="86"/>
      <c r="B276" s="86"/>
      <c r="C276" s="86"/>
      <c r="D276" s="87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>
      <c r="A277" s="86"/>
      <c r="B277" s="86"/>
      <c r="C277" s="86"/>
      <c r="D277" s="87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>
      <c r="A278" s="86"/>
      <c r="B278" s="86"/>
      <c r="C278" s="86"/>
      <c r="D278" s="87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>
      <c r="A279" s="86"/>
      <c r="B279" s="86"/>
      <c r="C279" s="86"/>
      <c r="D279" s="87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>
      <c r="A280" s="86"/>
      <c r="B280" s="86"/>
      <c r="C280" s="86"/>
      <c r="D280" s="87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>
      <c r="A281" s="86"/>
      <c r="B281" s="86"/>
      <c r="C281" s="86"/>
      <c r="D281" s="87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>
      <c r="A282" s="86"/>
      <c r="B282" s="86"/>
      <c r="C282" s="86"/>
      <c r="D282" s="87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>
      <c r="A283" s="86"/>
      <c r="B283" s="86"/>
      <c r="C283" s="86"/>
      <c r="D283" s="87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>
      <c r="A284" s="86"/>
      <c r="B284" s="86"/>
      <c r="C284" s="86"/>
      <c r="D284" s="87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>
      <c r="A285" s="86"/>
      <c r="B285" s="86"/>
      <c r="C285" s="86"/>
      <c r="D285" s="87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>
      <c r="A286" s="86"/>
      <c r="B286" s="86"/>
      <c r="C286" s="86"/>
      <c r="D286" s="87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>
      <c r="A287" s="86"/>
      <c r="B287" s="86"/>
      <c r="C287" s="86"/>
      <c r="D287" s="87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>
      <c r="A288" s="86"/>
      <c r="B288" s="86"/>
      <c r="C288" s="86"/>
      <c r="D288" s="87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>
      <c r="A289" s="86"/>
      <c r="B289" s="86"/>
      <c r="C289" s="86"/>
      <c r="D289" s="87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>
      <c r="A290" s="86"/>
      <c r="B290" s="86"/>
      <c r="C290" s="86"/>
      <c r="D290" s="87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>
      <c r="A291" s="86"/>
      <c r="B291" s="86"/>
      <c r="C291" s="86"/>
      <c r="D291" s="87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>
      <c r="A292" s="86"/>
      <c r="B292" s="86"/>
      <c r="C292" s="86"/>
      <c r="D292" s="87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>
      <c r="A293" s="86"/>
      <c r="B293" s="86"/>
      <c r="C293" s="86"/>
      <c r="D293" s="87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>
      <c r="A294" s="86"/>
      <c r="B294" s="86"/>
      <c r="C294" s="86"/>
      <c r="D294" s="87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>
      <c r="A295" s="86"/>
      <c r="B295" s="86"/>
      <c r="C295" s="86"/>
      <c r="D295" s="87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>
      <c r="A296" s="86"/>
      <c r="B296" s="86"/>
      <c r="C296" s="86"/>
      <c r="D296" s="87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>
      <c r="A297" s="86"/>
      <c r="B297" s="86"/>
      <c r="C297" s="86"/>
      <c r="D297" s="87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>
      <c r="A298" s="86"/>
      <c r="B298" s="86"/>
      <c r="C298" s="86"/>
      <c r="D298" s="87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>
      <c r="A299" s="86"/>
      <c r="B299" s="86"/>
      <c r="C299" s="86"/>
      <c r="D299" s="87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>
      <c r="A300" s="86"/>
      <c r="B300" s="86"/>
      <c r="C300" s="86"/>
      <c r="D300" s="87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>
      <c r="A301" s="86"/>
      <c r="B301" s="86"/>
      <c r="C301" s="86"/>
      <c r="D301" s="87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>
      <c r="A302" s="86"/>
      <c r="B302" s="86"/>
      <c r="C302" s="86"/>
      <c r="D302" s="87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>
      <c r="A303" s="86"/>
      <c r="B303" s="86"/>
      <c r="C303" s="86"/>
      <c r="D303" s="87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>
      <c r="A304" s="86"/>
      <c r="B304" s="86"/>
      <c r="C304" s="86"/>
      <c r="D304" s="87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>
      <c r="A305" s="86"/>
      <c r="B305" s="86"/>
      <c r="C305" s="86"/>
      <c r="D305" s="87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>
      <c r="A306" s="86"/>
      <c r="B306" s="86"/>
      <c r="C306" s="86"/>
      <c r="D306" s="87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>
      <c r="A307" s="86"/>
      <c r="B307" s="86"/>
      <c r="C307" s="86"/>
      <c r="D307" s="87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>
      <c r="A308" s="86"/>
      <c r="B308" s="86"/>
      <c r="C308" s="86"/>
      <c r="D308" s="87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>
      <c r="A309" s="86"/>
      <c r="B309" s="86"/>
      <c r="C309" s="86"/>
      <c r="D309" s="87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>
      <c r="A310" s="86"/>
      <c r="B310" s="86"/>
      <c r="C310" s="86"/>
      <c r="D310" s="87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>
      <c r="A311" s="86"/>
      <c r="B311" s="86"/>
      <c r="C311" s="86"/>
      <c r="D311" s="87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>
      <c r="A312" s="86"/>
      <c r="B312" s="86"/>
      <c r="C312" s="86"/>
      <c r="D312" s="87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>
      <c r="A313" s="86"/>
      <c r="B313" s="86"/>
      <c r="C313" s="86"/>
      <c r="D313" s="87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>
      <c r="A314" s="86"/>
      <c r="B314" s="86"/>
      <c r="C314" s="86"/>
      <c r="D314" s="87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>
      <c r="A315" s="86"/>
      <c r="B315" s="86"/>
      <c r="C315" s="86"/>
      <c r="D315" s="87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>
      <c r="A316" s="86"/>
      <c r="B316" s="86"/>
      <c r="C316" s="86"/>
      <c r="D316" s="87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>
      <c r="A317" s="86"/>
      <c r="B317" s="86"/>
      <c r="C317" s="86"/>
      <c r="D317" s="87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>
      <c r="A318" s="86"/>
      <c r="B318" s="86"/>
      <c r="C318" s="86"/>
      <c r="D318" s="87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>
      <c r="A319" s="86"/>
      <c r="B319" s="86"/>
      <c r="C319" s="86"/>
      <c r="D319" s="87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>
      <c r="A320" s="86"/>
      <c r="B320" s="86"/>
      <c r="C320" s="86"/>
      <c r="D320" s="87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>
      <c r="A321" s="86"/>
      <c r="B321" s="86"/>
      <c r="C321" s="86"/>
      <c r="D321" s="87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>
      <c r="A322" s="86"/>
      <c r="B322" s="86"/>
      <c r="C322" s="86"/>
      <c r="D322" s="87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>
      <c r="A323" s="86"/>
      <c r="B323" s="86"/>
      <c r="C323" s="86"/>
      <c r="D323" s="87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>
      <c r="A324" s="86"/>
      <c r="B324" s="86"/>
      <c r="C324" s="86"/>
      <c r="D324" s="87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>
      <c r="A325" s="86"/>
      <c r="B325" s="86"/>
      <c r="C325" s="86"/>
      <c r="D325" s="87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>
      <c r="A326" s="86"/>
      <c r="B326" s="86"/>
      <c r="C326" s="86"/>
      <c r="D326" s="87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>
      <c r="A327" s="86"/>
      <c r="B327" s="86"/>
      <c r="C327" s="86"/>
      <c r="D327" s="87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>
      <c r="A328" s="86"/>
      <c r="B328" s="86"/>
      <c r="C328" s="86"/>
      <c r="D328" s="87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>
      <c r="A329" s="86"/>
      <c r="B329" s="86"/>
      <c r="C329" s="86"/>
      <c r="D329" s="87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>
      <c r="A330" s="86"/>
      <c r="B330" s="86"/>
      <c r="C330" s="86"/>
      <c r="D330" s="87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>
      <c r="A331" s="86"/>
      <c r="B331" s="86"/>
      <c r="C331" s="86"/>
      <c r="D331" s="87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>
      <c r="A332" s="86"/>
      <c r="B332" s="86"/>
      <c r="C332" s="86"/>
      <c r="D332" s="87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>
      <c r="A333" s="86"/>
      <c r="B333" s="86"/>
      <c r="C333" s="86"/>
      <c r="D333" s="87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>
      <c r="A334" s="86"/>
      <c r="B334" s="86"/>
      <c r="C334" s="86"/>
      <c r="D334" s="87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>
      <c r="A335" s="86"/>
      <c r="B335" s="86"/>
      <c r="C335" s="86"/>
      <c r="D335" s="87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>
      <c r="A336" s="86"/>
      <c r="B336" s="86"/>
      <c r="C336" s="86"/>
      <c r="D336" s="87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>
      <c r="A337" s="86"/>
      <c r="B337" s="86"/>
      <c r="C337" s="86"/>
      <c r="D337" s="87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>
      <c r="A338" s="86"/>
      <c r="B338" s="86"/>
      <c r="C338" s="86"/>
      <c r="D338" s="87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>
      <c r="A339" s="86"/>
      <c r="B339" s="86"/>
      <c r="C339" s="86"/>
      <c r="D339" s="87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>
      <c r="A340" s="86"/>
      <c r="B340" s="86"/>
      <c r="C340" s="86"/>
      <c r="D340" s="87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>
      <c r="A341" s="86"/>
      <c r="B341" s="86"/>
      <c r="C341" s="86"/>
      <c r="D341" s="87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>
      <c r="A342" s="86"/>
      <c r="B342" s="86"/>
      <c r="C342" s="86"/>
      <c r="D342" s="87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>
      <c r="A343" s="86"/>
      <c r="B343" s="86"/>
      <c r="C343" s="86"/>
      <c r="D343" s="87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>
      <c r="A344" s="86"/>
      <c r="B344" s="86"/>
      <c r="C344" s="86"/>
      <c r="D344" s="87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>
      <c r="A345" s="86"/>
      <c r="B345" s="86"/>
      <c r="C345" s="86"/>
      <c r="D345" s="87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>
      <c r="A346" s="86"/>
      <c r="B346" s="86"/>
      <c r="C346" s="86"/>
      <c r="D346" s="87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>
      <c r="A347" s="86"/>
      <c r="B347" s="86"/>
      <c r="C347" s="86"/>
      <c r="D347" s="87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>
      <c r="A348" s="86"/>
      <c r="B348" s="86"/>
      <c r="C348" s="86"/>
      <c r="D348" s="87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>
      <c r="A349" s="86"/>
      <c r="B349" s="86"/>
      <c r="C349" s="86"/>
      <c r="D349" s="87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>
      <c r="A350" s="86"/>
      <c r="B350" s="86"/>
      <c r="C350" s="86"/>
      <c r="D350" s="87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>
      <c r="A351" s="86"/>
      <c r="B351" s="86"/>
      <c r="C351" s="86"/>
      <c r="D351" s="87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>
      <c r="A352" s="86"/>
      <c r="B352" s="86"/>
      <c r="C352" s="86"/>
      <c r="D352" s="87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>
      <c r="A353" s="86"/>
      <c r="B353" s="86"/>
      <c r="C353" s="86"/>
      <c r="D353" s="87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>
      <c r="A354" s="86"/>
      <c r="B354" s="86"/>
      <c r="C354" s="86"/>
      <c r="D354" s="87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>
      <c r="A355" s="86"/>
      <c r="B355" s="86"/>
      <c r="C355" s="86"/>
      <c r="D355" s="87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>
      <c r="A356" s="86"/>
      <c r="B356" s="86"/>
      <c r="C356" s="86"/>
      <c r="D356" s="87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>
      <c r="A357" s="86"/>
      <c r="B357" s="86"/>
      <c r="C357" s="86"/>
      <c r="D357" s="87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>
      <c r="A358" s="86"/>
      <c r="B358" s="86"/>
      <c r="C358" s="86"/>
      <c r="D358" s="87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>
      <c r="A359" s="86"/>
      <c r="B359" s="86"/>
      <c r="C359" s="86"/>
      <c r="D359" s="87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>
      <c r="A360" s="86"/>
      <c r="B360" s="86"/>
      <c r="C360" s="86"/>
      <c r="D360" s="87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>
      <c r="A361" s="86"/>
      <c r="B361" s="86"/>
      <c r="C361" s="86"/>
      <c r="D361" s="87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>
      <c r="A362" s="86"/>
      <c r="B362" s="86"/>
      <c r="C362" s="86"/>
      <c r="D362" s="87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>
      <c r="A363" s="86"/>
      <c r="B363" s="86"/>
      <c r="C363" s="86"/>
      <c r="D363" s="87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>
      <c r="A364" s="86"/>
      <c r="B364" s="86"/>
      <c r="C364" s="86"/>
      <c r="D364" s="87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>
      <c r="A365" s="86"/>
      <c r="B365" s="86"/>
      <c r="C365" s="86"/>
      <c r="D365" s="87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>
      <c r="A366" s="86"/>
      <c r="B366" s="86"/>
      <c r="C366" s="86"/>
      <c r="D366" s="87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>
      <c r="A367" s="86"/>
      <c r="B367" s="86"/>
      <c r="C367" s="86"/>
      <c r="D367" s="87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>
      <c r="A368" s="86"/>
      <c r="B368" s="86"/>
      <c r="C368" s="86"/>
      <c r="D368" s="87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>
      <c r="A369" s="86"/>
      <c r="B369" s="86"/>
      <c r="C369" s="86"/>
      <c r="D369" s="87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>
      <c r="A370" s="86"/>
      <c r="B370" s="86"/>
      <c r="C370" s="86"/>
      <c r="D370" s="87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>
      <c r="A371" s="86"/>
      <c r="B371" s="86"/>
      <c r="C371" s="86"/>
      <c r="D371" s="87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>
      <c r="A372" s="86"/>
      <c r="B372" s="86"/>
      <c r="C372" s="86"/>
      <c r="D372" s="87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>
      <c r="A373" s="86"/>
      <c r="B373" s="86"/>
      <c r="C373" s="86"/>
      <c r="D373" s="87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>
      <c r="A374" s="86"/>
      <c r="B374" s="86"/>
      <c r="C374" s="86"/>
      <c r="D374" s="87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>
      <c r="A375" s="86"/>
      <c r="B375" s="86"/>
      <c r="C375" s="86"/>
      <c r="D375" s="87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>
      <c r="A376" s="86"/>
      <c r="B376" s="86"/>
      <c r="C376" s="86"/>
      <c r="D376" s="87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>
      <c r="A377" s="86"/>
      <c r="B377" s="86"/>
      <c r="C377" s="86"/>
      <c r="D377" s="87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>
      <c r="A378" s="86"/>
      <c r="B378" s="86"/>
      <c r="C378" s="86"/>
      <c r="D378" s="87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>
      <c r="A379" s="86"/>
      <c r="B379" s="86"/>
      <c r="C379" s="86"/>
      <c r="D379" s="87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>
      <c r="A380" s="86"/>
      <c r="B380" s="86"/>
      <c r="C380" s="86"/>
      <c r="D380" s="87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>
      <c r="A381" s="86"/>
      <c r="B381" s="86"/>
      <c r="C381" s="86"/>
      <c r="D381" s="87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>
      <c r="A382" s="86"/>
      <c r="B382" s="86"/>
      <c r="C382" s="86"/>
      <c r="D382" s="87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>
      <c r="A383" s="86"/>
      <c r="B383" s="86"/>
      <c r="C383" s="86"/>
      <c r="D383" s="87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>
      <c r="A384" s="86"/>
      <c r="B384" s="86"/>
      <c r="C384" s="86"/>
      <c r="D384" s="87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>
      <c r="A385" s="86"/>
      <c r="B385" s="86"/>
      <c r="C385" s="86"/>
      <c r="D385" s="87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>
      <c r="A386" s="86"/>
      <c r="B386" s="86"/>
      <c r="C386" s="86"/>
      <c r="D386" s="87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>
      <c r="A387" s="86"/>
      <c r="B387" s="86"/>
      <c r="C387" s="86"/>
      <c r="D387" s="87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>
      <c r="A388" s="86"/>
      <c r="B388" s="86"/>
      <c r="C388" s="86"/>
      <c r="D388" s="87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>
      <c r="A389" s="86"/>
      <c r="B389" s="86"/>
      <c r="C389" s="86"/>
      <c r="D389" s="87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>
      <c r="A390" s="86"/>
      <c r="B390" s="86"/>
      <c r="C390" s="86"/>
      <c r="D390" s="87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>
      <c r="A391" s="86"/>
      <c r="B391" s="86"/>
      <c r="C391" s="86"/>
      <c r="D391" s="87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>
      <c r="A392" s="86"/>
      <c r="B392" s="86"/>
      <c r="C392" s="86"/>
      <c r="D392" s="87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>
      <c r="A393" s="86"/>
      <c r="B393" s="86"/>
      <c r="C393" s="86"/>
      <c r="D393" s="87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>
      <c r="A394" s="86"/>
      <c r="B394" s="86"/>
      <c r="C394" s="86"/>
      <c r="D394" s="87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>
      <c r="A395" s="86"/>
      <c r="B395" s="86"/>
      <c r="C395" s="86"/>
      <c r="D395" s="87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>
      <c r="A396" s="86"/>
      <c r="B396" s="86"/>
      <c r="C396" s="86"/>
      <c r="D396" s="87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>
      <c r="A397" s="86"/>
      <c r="B397" s="86"/>
      <c r="C397" s="86"/>
      <c r="D397" s="87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>
      <c r="A398" s="86"/>
      <c r="B398" s="86"/>
      <c r="C398" s="86"/>
      <c r="D398" s="87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>
      <c r="A399" s="86"/>
      <c r="B399" s="86"/>
      <c r="C399" s="86"/>
      <c r="D399" s="87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>
      <c r="A400" s="86"/>
      <c r="B400" s="86"/>
      <c r="C400" s="86"/>
      <c r="D400" s="87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>
      <c r="A401" s="86"/>
      <c r="B401" s="86"/>
      <c r="C401" s="86"/>
      <c r="D401" s="87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>
      <c r="A402" s="86"/>
      <c r="B402" s="86"/>
      <c r="C402" s="86"/>
      <c r="D402" s="87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>
      <c r="A403" s="86"/>
      <c r="B403" s="86"/>
      <c r="C403" s="86"/>
      <c r="D403" s="87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>
      <c r="A404" s="86"/>
      <c r="B404" s="86"/>
      <c r="C404" s="86"/>
      <c r="D404" s="87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>
      <c r="A405" s="86"/>
      <c r="B405" s="86"/>
      <c r="C405" s="86"/>
      <c r="D405" s="87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>
      <c r="A406" s="86"/>
      <c r="B406" s="86"/>
      <c r="C406" s="86"/>
      <c r="D406" s="87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>
      <c r="A407" s="86"/>
      <c r="B407" s="86"/>
      <c r="C407" s="86"/>
      <c r="D407" s="87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>
      <c r="A408" s="86"/>
      <c r="B408" s="86"/>
      <c r="C408" s="86"/>
      <c r="D408" s="87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>
      <c r="A409" s="86"/>
      <c r="B409" s="86"/>
      <c r="C409" s="86"/>
      <c r="D409" s="87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>
      <c r="A410" s="86"/>
      <c r="B410" s="86"/>
      <c r="C410" s="86"/>
      <c r="D410" s="87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>
      <c r="A411" s="86"/>
      <c r="B411" s="86"/>
      <c r="C411" s="86"/>
      <c r="D411" s="87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>
      <c r="A412" s="86"/>
      <c r="B412" s="86"/>
      <c r="C412" s="86"/>
      <c r="D412" s="87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>
      <c r="A413" s="86"/>
      <c r="B413" s="86"/>
      <c r="C413" s="86"/>
      <c r="D413" s="87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>
      <c r="A414" s="86"/>
      <c r="B414" s="86"/>
      <c r="C414" s="86"/>
      <c r="D414" s="87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>
      <c r="A415" s="86"/>
      <c r="B415" s="86"/>
      <c r="C415" s="86"/>
      <c r="D415" s="87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>
      <c r="A416" s="86"/>
      <c r="B416" s="86"/>
      <c r="C416" s="86"/>
      <c r="D416" s="87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>
      <c r="A417" s="86"/>
      <c r="B417" s="86"/>
      <c r="C417" s="86"/>
      <c r="D417" s="87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>
      <c r="A418" s="86"/>
      <c r="B418" s="86"/>
      <c r="C418" s="86"/>
      <c r="D418" s="87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>
      <c r="A419" s="86"/>
      <c r="B419" s="86"/>
      <c r="C419" s="86"/>
      <c r="D419" s="87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>
      <c r="A420" s="86"/>
      <c r="B420" s="86"/>
      <c r="C420" s="86"/>
      <c r="D420" s="87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>
      <c r="A421" s="86"/>
      <c r="B421" s="86"/>
      <c r="C421" s="86"/>
      <c r="D421" s="87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>
      <c r="A422" s="86"/>
      <c r="B422" s="86"/>
      <c r="C422" s="86"/>
      <c r="D422" s="87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>
      <c r="A423" s="86"/>
      <c r="B423" s="86"/>
      <c r="C423" s="86"/>
      <c r="D423" s="87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>
      <c r="A424" s="86"/>
      <c r="B424" s="86"/>
      <c r="C424" s="86"/>
      <c r="D424" s="87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>
      <c r="A425" s="86"/>
      <c r="B425" s="86"/>
      <c r="C425" s="86"/>
      <c r="D425" s="87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>
      <c r="A426" s="86"/>
      <c r="B426" s="86"/>
      <c r="C426" s="86"/>
      <c r="D426" s="87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>
      <c r="A427" s="86"/>
      <c r="B427" s="86"/>
      <c r="C427" s="86"/>
      <c r="D427" s="87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>
      <c r="A428" s="86"/>
      <c r="B428" s="86"/>
      <c r="C428" s="86"/>
      <c r="D428" s="87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>
      <c r="A429" s="86"/>
      <c r="B429" s="86"/>
      <c r="C429" s="86"/>
      <c r="D429" s="87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>
      <c r="A430" s="86"/>
      <c r="B430" s="86"/>
      <c r="C430" s="86"/>
      <c r="D430" s="87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>
      <c r="A431" s="86"/>
      <c r="B431" s="86"/>
      <c r="C431" s="86"/>
      <c r="D431" s="87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>
      <c r="A432" s="86"/>
      <c r="B432" s="86"/>
      <c r="C432" s="86"/>
      <c r="D432" s="87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>
      <c r="A433" s="86"/>
      <c r="B433" s="86"/>
      <c r="C433" s="86"/>
      <c r="D433" s="87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>
      <c r="A434" s="86"/>
      <c r="B434" s="86"/>
      <c r="C434" s="86"/>
      <c r="D434" s="87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>
      <c r="A435" s="86"/>
      <c r="B435" s="86"/>
      <c r="C435" s="86"/>
      <c r="D435" s="87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>
      <c r="A436" s="86"/>
      <c r="B436" s="86"/>
      <c r="C436" s="86"/>
      <c r="D436" s="87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>
      <c r="A437" s="86"/>
      <c r="B437" s="86"/>
      <c r="C437" s="86"/>
      <c r="D437" s="87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>
      <c r="A438" s="86"/>
      <c r="B438" s="86"/>
      <c r="C438" s="86"/>
      <c r="D438" s="87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>
      <c r="A439" s="86"/>
      <c r="B439" s="86"/>
      <c r="C439" s="86"/>
      <c r="D439" s="87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>
      <c r="A440" s="86"/>
      <c r="B440" s="86"/>
      <c r="C440" s="86"/>
      <c r="D440" s="87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>
      <c r="A441" s="86"/>
      <c r="B441" s="86"/>
      <c r="C441" s="86"/>
      <c r="D441" s="87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>
      <c r="A442" s="86"/>
      <c r="B442" s="86"/>
      <c r="C442" s="86"/>
      <c r="D442" s="87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>
      <c r="A443" s="86"/>
      <c r="B443" s="86"/>
      <c r="C443" s="86"/>
      <c r="D443" s="87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>
      <c r="A444" s="86"/>
      <c r="B444" s="86"/>
      <c r="C444" s="86"/>
      <c r="D444" s="87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>
      <c r="A445" s="86"/>
      <c r="B445" s="86"/>
      <c r="C445" s="86"/>
      <c r="D445" s="87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>
      <c r="A446" s="86"/>
      <c r="B446" s="86"/>
      <c r="C446" s="86"/>
      <c r="D446" s="87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>
      <c r="A447" s="86"/>
      <c r="B447" s="86"/>
      <c r="C447" s="86"/>
      <c r="D447" s="87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>
      <c r="A448" s="86"/>
      <c r="B448" s="86"/>
      <c r="C448" s="86"/>
      <c r="D448" s="87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>
      <c r="A449" s="86"/>
      <c r="B449" s="86"/>
      <c r="C449" s="86"/>
      <c r="D449" s="87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>
      <c r="A450" s="86"/>
      <c r="B450" s="86"/>
      <c r="C450" s="86"/>
      <c r="D450" s="87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>
      <c r="A451" s="86"/>
      <c r="B451" s="86"/>
      <c r="C451" s="86"/>
      <c r="D451" s="87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>
      <c r="A452" s="86"/>
      <c r="B452" s="86"/>
      <c r="C452" s="86"/>
      <c r="D452" s="87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>
      <c r="A453" s="86"/>
      <c r="B453" s="86"/>
      <c r="C453" s="86"/>
      <c r="D453" s="87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>
      <c r="A454" s="86"/>
      <c r="B454" s="86"/>
      <c r="C454" s="86"/>
      <c r="D454" s="87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>
      <c r="A455" s="86"/>
      <c r="B455" s="86"/>
      <c r="C455" s="86"/>
      <c r="D455" s="87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>
      <c r="A456" s="86"/>
      <c r="B456" s="86"/>
      <c r="C456" s="86"/>
      <c r="D456" s="87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>
      <c r="A457" s="86"/>
      <c r="B457" s="86"/>
      <c r="C457" s="86"/>
      <c r="D457" s="87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>
      <c r="A458" s="86"/>
      <c r="B458" s="86"/>
      <c r="C458" s="86"/>
      <c r="D458" s="87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>
      <c r="A459" s="86"/>
      <c r="B459" s="86"/>
      <c r="C459" s="86"/>
      <c r="D459" s="87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>
      <c r="A460" s="86"/>
      <c r="B460" s="86"/>
      <c r="C460" s="86"/>
      <c r="D460" s="87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>
      <c r="A461" s="86"/>
      <c r="B461" s="86"/>
      <c r="C461" s="86"/>
      <c r="D461" s="87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>
      <c r="A462" s="86"/>
      <c r="B462" s="86"/>
      <c r="C462" s="86"/>
      <c r="D462" s="87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>
      <c r="A463" s="86"/>
      <c r="B463" s="86"/>
      <c r="C463" s="86"/>
      <c r="D463" s="87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>
      <c r="A464" s="86"/>
      <c r="B464" s="86"/>
      <c r="C464" s="86"/>
      <c r="D464" s="87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>
      <c r="A465" s="86"/>
      <c r="B465" s="86"/>
      <c r="C465" s="86"/>
      <c r="D465" s="87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>
      <c r="A466" s="86"/>
      <c r="B466" s="86"/>
      <c r="C466" s="86"/>
      <c r="D466" s="87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>
      <c r="A467" s="86"/>
      <c r="B467" s="86"/>
      <c r="C467" s="86"/>
      <c r="D467" s="87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>
      <c r="A468" s="86"/>
      <c r="B468" s="86"/>
      <c r="C468" s="86"/>
      <c r="D468" s="87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>
      <c r="A469" s="86"/>
      <c r="B469" s="86"/>
      <c r="C469" s="86"/>
      <c r="D469" s="87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>
      <c r="A470" s="86"/>
      <c r="B470" s="86"/>
      <c r="C470" s="86"/>
      <c r="D470" s="87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>
      <c r="A471" s="86"/>
      <c r="B471" s="86"/>
      <c r="C471" s="86"/>
      <c r="D471" s="87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>
      <c r="A472" s="86"/>
      <c r="B472" s="86"/>
      <c r="C472" s="86"/>
      <c r="D472" s="87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>
      <c r="A473" s="86"/>
      <c r="B473" s="86"/>
      <c r="C473" s="86"/>
      <c r="D473" s="87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>
      <c r="A474" s="86"/>
      <c r="B474" s="86"/>
      <c r="C474" s="86"/>
      <c r="D474" s="87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>
      <c r="A475" s="86"/>
      <c r="B475" s="86"/>
      <c r="C475" s="86"/>
      <c r="D475" s="87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>
      <c r="A476" s="86"/>
      <c r="B476" s="86"/>
      <c r="C476" s="86"/>
      <c r="D476" s="87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>
      <c r="A477" s="86"/>
      <c r="B477" s="86"/>
      <c r="C477" s="86"/>
      <c r="D477" s="87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>
      <c r="A478" s="86"/>
      <c r="B478" s="86"/>
      <c r="C478" s="86"/>
      <c r="D478" s="87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>
      <c r="A479" s="86"/>
      <c r="B479" s="86"/>
      <c r="C479" s="86"/>
      <c r="D479" s="87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>
      <c r="A480" s="86"/>
      <c r="B480" s="86"/>
      <c r="C480" s="86"/>
      <c r="D480" s="87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>
      <c r="A481" s="86"/>
      <c r="B481" s="86"/>
      <c r="C481" s="86"/>
      <c r="D481" s="87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>
      <c r="A482" s="86"/>
      <c r="B482" s="86"/>
      <c r="C482" s="86"/>
      <c r="D482" s="87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>
      <c r="A483" s="86"/>
      <c r="B483" s="86"/>
      <c r="C483" s="86"/>
      <c r="D483" s="87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>
      <c r="A484" s="86"/>
      <c r="B484" s="86"/>
      <c r="C484" s="86"/>
      <c r="D484" s="87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>
      <c r="A485" s="86"/>
      <c r="B485" s="86"/>
      <c r="C485" s="86"/>
      <c r="D485" s="87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>
      <c r="A486" s="86"/>
      <c r="B486" s="86"/>
      <c r="C486" s="86"/>
      <c r="D486" s="87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>
      <c r="A487" s="86"/>
      <c r="B487" s="86"/>
      <c r="C487" s="86"/>
      <c r="D487" s="87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>
      <c r="A488" s="86"/>
      <c r="B488" s="86"/>
      <c r="C488" s="86"/>
      <c r="D488" s="87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>
      <c r="A489" s="86"/>
      <c r="B489" s="86"/>
      <c r="C489" s="86"/>
      <c r="D489" s="87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>
      <c r="A490" s="86"/>
      <c r="B490" s="86"/>
      <c r="C490" s="86"/>
      <c r="D490" s="87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>
      <c r="A491" s="86"/>
      <c r="B491" s="86"/>
      <c r="C491" s="86"/>
      <c r="D491" s="87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>
      <c r="A492" s="86"/>
      <c r="B492" s="86"/>
      <c r="C492" s="86"/>
      <c r="D492" s="87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>
      <c r="A493" s="86"/>
      <c r="B493" s="86"/>
      <c r="C493" s="86"/>
      <c r="D493" s="87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>
      <c r="A494" s="86"/>
      <c r="B494" s="86"/>
      <c r="C494" s="86"/>
      <c r="D494" s="87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>
      <c r="A495" s="86"/>
      <c r="B495" s="86"/>
      <c r="C495" s="86"/>
      <c r="D495" s="87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>
      <c r="A496" s="86"/>
      <c r="B496" s="86"/>
      <c r="C496" s="86"/>
      <c r="D496" s="87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>
      <c r="A497" s="86"/>
      <c r="B497" s="86"/>
      <c r="C497" s="86"/>
      <c r="D497" s="87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>
      <c r="A498" s="86"/>
      <c r="B498" s="86"/>
      <c r="C498" s="86"/>
      <c r="D498" s="87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>
      <c r="A499" s="86"/>
      <c r="B499" s="86"/>
      <c r="C499" s="86"/>
      <c r="D499" s="87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>
      <c r="A500" s="86"/>
      <c r="B500" s="86"/>
      <c r="C500" s="86"/>
      <c r="D500" s="87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>
      <c r="A501" s="86"/>
      <c r="B501" s="86"/>
      <c r="C501" s="86"/>
      <c r="D501" s="87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>
      <c r="A502" s="86"/>
      <c r="B502" s="86"/>
      <c r="C502" s="86"/>
      <c r="D502" s="87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>
      <c r="A503" s="86"/>
      <c r="B503" s="86"/>
      <c r="C503" s="86"/>
      <c r="D503" s="87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>
      <c r="A504" s="86"/>
      <c r="B504" s="86"/>
      <c r="C504" s="86"/>
      <c r="D504" s="87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>
      <c r="A505" s="86"/>
      <c r="B505" s="86"/>
      <c r="C505" s="86"/>
      <c r="D505" s="87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>
      <c r="A506" s="86"/>
      <c r="B506" s="86"/>
      <c r="C506" s="86"/>
      <c r="D506" s="87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>
      <c r="A507" s="86"/>
      <c r="B507" s="86"/>
      <c r="C507" s="86"/>
      <c r="D507" s="87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>
      <c r="A508" s="86"/>
      <c r="B508" s="86"/>
      <c r="C508" s="86"/>
      <c r="D508" s="87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>
      <c r="A509" s="86"/>
      <c r="B509" s="86"/>
      <c r="C509" s="86"/>
      <c r="D509" s="87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>
      <c r="A510" s="86"/>
      <c r="B510" s="86"/>
      <c r="C510" s="86"/>
      <c r="D510" s="87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>
      <c r="A511" s="86"/>
      <c r="B511" s="86"/>
      <c r="C511" s="86"/>
      <c r="D511" s="87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>
      <c r="A512" s="86"/>
      <c r="B512" s="86"/>
      <c r="C512" s="86"/>
      <c r="D512" s="87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>
      <c r="A513" s="86"/>
      <c r="B513" s="86"/>
      <c r="C513" s="86"/>
      <c r="D513" s="87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>
      <c r="A514" s="86"/>
      <c r="B514" s="86"/>
      <c r="C514" s="86"/>
      <c r="D514" s="87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>
      <c r="A515" s="86"/>
      <c r="B515" s="86"/>
      <c r="C515" s="86"/>
      <c r="D515" s="87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>
      <c r="A516" s="86"/>
      <c r="B516" s="86"/>
      <c r="C516" s="86"/>
      <c r="D516" s="87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>
      <c r="A517" s="86"/>
      <c r="B517" s="86"/>
      <c r="C517" s="86"/>
      <c r="D517" s="87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>
      <c r="A518" s="86"/>
      <c r="B518" s="86"/>
      <c r="C518" s="86"/>
      <c r="D518" s="87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>
      <c r="A519" s="86"/>
      <c r="B519" s="86"/>
      <c r="C519" s="86"/>
      <c r="D519" s="87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>
      <c r="A520" s="86"/>
      <c r="B520" s="86"/>
      <c r="C520" s="86"/>
      <c r="D520" s="87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>
      <c r="A521" s="86"/>
      <c r="B521" s="86"/>
      <c r="C521" s="86"/>
      <c r="D521" s="87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>
      <c r="A522" s="86"/>
      <c r="B522" s="86"/>
      <c r="C522" s="86"/>
      <c r="D522" s="87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>
      <c r="A523" s="86"/>
      <c r="B523" s="86"/>
      <c r="C523" s="86"/>
      <c r="D523" s="87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>
      <c r="A524" s="86"/>
      <c r="B524" s="86"/>
      <c r="C524" s="86"/>
      <c r="D524" s="87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>
      <c r="A525" s="86"/>
      <c r="B525" s="86"/>
      <c r="C525" s="86"/>
      <c r="D525" s="87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>
      <c r="A526" s="86"/>
      <c r="B526" s="86"/>
      <c r="C526" s="86"/>
      <c r="D526" s="87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>
      <c r="A527" s="86"/>
      <c r="B527" s="86"/>
      <c r="C527" s="86"/>
      <c r="D527" s="87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>
      <c r="A528" s="86"/>
      <c r="B528" s="86"/>
      <c r="C528" s="86"/>
      <c r="D528" s="87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>
      <c r="A529" s="86"/>
      <c r="B529" s="86"/>
      <c r="C529" s="86"/>
      <c r="D529" s="87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>
      <c r="A530" s="86"/>
      <c r="B530" s="86"/>
      <c r="C530" s="86"/>
      <c r="D530" s="87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>
      <c r="A531" s="86"/>
      <c r="B531" s="86"/>
      <c r="C531" s="86"/>
      <c r="D531" s="87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>
      <c r="A532" s="86"/>
      <c r="B532" s="86"/>
      <c r="C532" s="86"/>
      <c r="D532" s="87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>
      <c r="A533" s="86"/>
      <c r="B533" s="86"/>
      <c r="C533" s="86"/>
      <c r="D533" s="87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>
      <c r="A534" s="86"/>
      <c r="B534" s="86"/>
      <c r="C534" s="86"/>
      <c r="D534" s="87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>
      <c r="A535" s="86"/>
      <c r="B535" s="86"/>
      <c r="C535" s="86"/>
      <c r="D535" s="87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>
      <c r="A536" s="86"/>
      <c r="B536" s="86"/>
      <c r="C536" s="86"/>
      <c r="D536" s="87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>
      <c r="A537" s="86"/>
      <c r="B537" s="86"/>
      <c r="C537" s="86"/>
      <c r="D537" s="87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>
      <c r="A538" s="86"/>
      <c r="B538" s="86"/>
      <c r="C538" s="86"/>
      <c r="D538" s="87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>
      <c r="A539" s="86"/>
      <c r="B539" s="86"/>
      <c r="C539" s="86"/>
      <c r="D539" s="87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>
      <c r="A540" s="86"/>
      <c r="B540" s="86"/>
      <c r="C540" s="86"/>
      <c r="D540" s="87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>
      <c r="A541" s="86"/>
      <c r="B541" s="86"/>
      <c r="C541" s="86"/>
      <c r="D541" s="87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>
      <c r="A542" s="86"/>
      <c r="B542" s="86"/>
      <c r="C542" s="86"/>
      <c r="D542" s="87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>
      <c r="A543" s="86"/>
      <c r="B543" s="86"/>
      <c r="C543" s="86"/>
      <c r="D543" s="87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>
      <c r="A544" s="86"/>
      <c r="B544" s="86"/>
      <c r="C544" s="86"/>
      <c r="D544" s="87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>
      <c r="A545" s="86"/>
      <c r="B545" s="86"/>
      <c r="C545" s="86"/>
      <c r="D545" s="87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>
      <c r="A546" s="86"/>
      <c r="B546" s="86"/>
      <c r="C546" s="86"/>
      <c r="D546" s="87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>
      <c r="A547" s="86"/>
      <c r="B547" s="86"/>
      <c r="C547" s="86"/>
      <c r="D547" s="87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>
      <c r="A548" s="86"/>
      <c r="B548" s="86"/>
      <c r="C548" s="86"/>
      <c r="D548" s="87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>
      <c r="A549" s="86"/>
      <c r="B549" s="86"/>
      <c r="C549" s="86"/>
      <c r="D549" s="87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>
      <c r="A550" s="86"/>
      <c r="B550" s="86"/>
      <c r="C550" s="86"/>
      <c r="D550" s="87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>
      <c r="A551" s="86"/>
      <c r="B551" s="86"/>
      <c r="C551" s="86"/>
      <c r="D551" s="87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>
      <c r="A552" s="86"/>
      <c r="B552" s="86"/>
      <c r="C552" s="86"/>
      <c r="D552" s="87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>
      <c r="A553" s="86"/>
      <c r="B553" s="86"/>
      <c r="C553" s="86"/>
      <c r="D553" s="87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>
      <c r="A554" s="86"/>
      <c r="B554" s="86"/>
      <c r="C554" s="86"/>
      <c r="D554" s="87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>
      <c r="A555" s="86"/>
      <c r="B555" s="86"/>
      <c r="C555" s="86"/>
      <c r="D555" s="87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>
      <c r="A556" s="86"/>
      <c r="B556" s="86"/>
      <c r="C556" s="86"/>
      <c r="D556" s="87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>
      <c r="A557" s="86"/>
      <c r="B557" s="86"/>
      <c r="C557" s="86"/>
      <c r="D557" s="87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>
      <c r="A558" s="86"/>
      <c r="B558" s="86"/>
      <c r="C558" s="86"/>
      <c r="D558" s="87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>
      <c r="A559" s="86"/>
      <c r="B559" s="86"/>
      <c r="C559" s="86"/>
      <c r="D559" s="87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>
      <c r="A560" s="86"/>
      <c r="B560" s="86"/>
      <c r="C560" s="86"/>
      <c r="D560" s="87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>
      <c r="A561" s="86"/>
      <c r="B561" s="86"/>
      <c r="C561" s="86"/>
      <c r="D561" s="87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>
      <c r="A562" s="86"/>
      <c r="B562" s="86"/>
      <c r="C562" s="86"/>
      <c r="D562" s="87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>
      <c r="A563" s="86"/>
      <c r="B563" s="86"/>
      <c r="C563" s="86"/>
      <c r="D563" s="87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>
      <c r="A564" s="86"/>
      <c r="B564" s="86"/>
      <c r="C564" s="86"/>
      <c r="D564" s="87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>
      <c r="A565" s="86"/>
      <c r="B565" s="86"/>
      <c r="C565" s="86"/>
      <c r="D565" s="87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>
      <c r="A566" s="86"/>
      <c r="B566" s="86"/>
      <c r="C566" s="86"/>
      <c r="D566" s="87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>
      <c r="A567" s="86"/>
      <c r="B567" s="86"/>
      <c r="C567" s="86"/>
      <c r="D567" s="87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>
      <c r="A568" s="86"/>
      <c r="B568" s="86"/>
      <c r="C568" s="86"/>
      <c r="D568" s="87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>
      <c r="A569" s="86"/>
      <c r="B569" s="86"/>
      <c r="C569" s="86"/>
      <c r="D569" s="87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>
      <c r="A570" s="86"/>
      <c r="B570" s="86"/>
      <c r="C570" s="86"/>
      <c r="D570" s="87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>
      <c r="A571" s="86"/>
      <c r="B571" s="86"/>
      <c r="C571" s="86"/>
      <c r="D571" s="87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>
      <c r="A572" s="86"/>
      <c r="B572" s="86"/>
      <c r="C572" s="86"/>
      <c r="D572" s="87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>
      <c r="A573" s="86"/>
      <c r="B573" s="86"/>
      <c r="C573" s="86"/>
      <c r="D573" s="87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>
      <c r="A574" s="86"/>
      <c r="B574" s="86"/>
      <c r="C574" s="86"/>
      <c r="D574" s="87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>
      <c r="A575" s="86"/>
      <c r="B575" s="86"/>
      <c r="C575" s="86"/>
      <c r="D575" s="87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>
      <c r="A576" s="86"/>
      <c r="B576" s="86"/>
      <c r="C576" s="86"/>
      <c r="D576" s="87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>
      <c r="A577" s="86"/>
      <c r="B577" s="86"/>
      <c r="C577" s="86"/>
      <c r="D577" s="87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>
      <c r="A578" s="86"/>
      <c r="B578" s="86"/>
      <c r="C578" s="86"/>
      <c r="D578" s="87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>
      <c r="A579" s="86"/>
      <c r="B579" s="86"/>
      <c r="C579" s="86"/>
      <c r="D579" s="87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>
      <c r="A580" s="86"/>
      <c r="B580" s="86"/>
      <c r="C580" s="86"/>
      <c r="D580" s="87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>
      <c r="A581" s="86"/>
      <c r="B581" s="86"/>
      <c r="C581" s="86"/>
      <c r="D581" s="87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>
      <c r="A582" s="86"/>
      <c r="B582" s="86"/>
      <c r="C582" s="86"/>
      <c r="D582" s="87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>
      <c r="A583" s="86"/>
      <c r="B583" s="86"/>
      <c r="C583" s="86"/>
      <c r="D583" s="87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>
      <c r="A584" s="86"/>
      <c r="B584" s="86"/>
      <c r="C584" s="86"/>
      <c r="D584" s="87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>
      <c r="A585" s="86"/>
      <c r="B585" s="86"/>
      <c r="C585" s="86"/>
      <c r="D585" s="87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>
      <c r="A586" s="86"/>
      <c r="B586" s="86"/>
      <c r="C586" s="86"/>
      <c r="D586" s="87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>
      <c r="A587" s="86"/>
      <c r="B587" s="86"/>
      <c r="C587" s="86"/>
      <c r="D587" s="87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>
      <c r="A588" s="86"/>
      <c r="B588" s="86"/>
      <c r="C588" s="86"/>
      <c r="D588" s="87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>
      <c r="A589" s="86"/>
      <c r="B589" s="86"/>
      <c r="C589" s="86"/>
      <c r="D589" s="87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>
      <c r="A590" s="86"/>
      <c r="B590" s="86"/>
      <c r="C590" s="86"/>
      <c r="D590" s="87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>
      <c r="A591" s="86"/>
      <c r="B591" s="86"/>
      <c r="C591" s="86"/>
      <c r="D591" s="87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>
      <c r="A592" s="86"/>
      <c r="B592" s="86"/>
      <c r="C592" s="86"/>
      <c r="D592" s="87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>
      <c r="A593" s="86"/>
      <c r="B593" s="86"/>
      <c r="C593" s="86"/>
      <c r="D593" s="87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>
      <c r="A594" s="86"/>
      <c r="B594" s="86"/>
      <c r="C594" s="86"/>
      <c r="D594" s="87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>
      <c r="A595" s="86"/>
      <c r="B595" s="86"/>
      <c r="C595" s="86"/>
      <c r="D595" s="87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>
      <c r="A596" s="86"/>
      <c r="B596" s="86"/>
      <c r="C596" s="86"/>
      <c r="D596" s="87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>
      <c r="A597" s="86"/>
      <c r="B597" s="86"/>
      <c r="C597" s="86"/>
      <c r="D597" s="87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>
      <c r="A598" s="86"/>
      <c r="B598" s="86"/>
      <c r="C598" s="86"/>
      <c r="D598" s="87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>
      <c r="A599" s="86"/>
      <c r="B599" s="86"/>
      <c r="C599" s="86"/>
      <c r="D599" s="87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>
      <c r="A600" s="86"/>
      <c r="B600" s="86"/>
      <c r="C600" s="86"/>
      <c r="D600" s="87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>
      <c r="A601" s="86"/>
      <c r="B601" s="86"/>
      <c r="C601" s="86"/>
      <c r="D601" s="87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>
      <c r="A602" s="86"/>
      <c r="B602" s="86"/>
      <c r="C602" s="86"/>
      <c r="D602" s="87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>
      <c r="A603" s="86"/>
      <c r="B603" s="86"/>
      <c r="C603" s="86"/>
      <c r="D603" s="87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>
      <c r="A604" s="86"/>
      <c r="B604" s="86"/>
      <c r="C604" s="86"/>
      <c r="D604" s="87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>
      <c r="A605" s="86"/>
      <c r="B605" s="86"/>
      <c r="C605" s="86"/>
      <c r="D605" s="87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>
      <c r="A606" s="86"/>
      <c r="B606" s="86"/>
      <c r="C606" s="86"/>
      <c r="D606" s="87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>
      <c r="A607" s="86"/>
      <c r="B607" s="86"/>
      <c r="C607" s="86"/>
      <c r="D607" s="87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>
      <c r="A608" s="86"/>
      <c r="B608" s="86"/>
      <c r="C608" s="86"/>
      <c r="D608" s="87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>
      <c r="A609" s="86"/>
      <c r="B609" s="86"/>
      <c r="C609" s="86"/>
      <c r="D609" s="87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>
      <c r="A610" s="86"/>
      <c r="B610" s="86"/>
      <c r="C610" s="86"/>
      <c r="D610" s="87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>
      <c r="A611" s="86"/>
      <c r="B611" s="86"/>
      <c r="C611" s="86"/>
      <c r="D611" s="87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>
      <c r="A612" s="86"/>
      <c r="B612" s="86"/>
      <c r="C612" s="86"/>
      <c r="D612" s="87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>
      <c r="A613" s="86"/>
      <c r="B613" s="86"/>
      <c r="C613" s="86"/>
      <c r="D613" s="87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>
      <c r="A614" s="86"/>
      <c r="B614" s="86"/>
      <c r="C614" s="86"/>
      <c r="D614" s="87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>
      <c r="A615" s="86"/>
      <c r="B615" s="86"/>
      <c r="C615" s="86"/>
      <c r="D615" s="87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>
      <c r="A616" s="86"/>
      <c r="B616" s="86"/>
      <c r="C616" s="86"/>
      <c r="D616" s="87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>
      <c r="A617" s="86"/>
      <c r="B617" s="86"/>
      <c r="C617" s="86"/>
      <c r="D617" s="87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>
      <c r="A618" s="86"/>
      <c r="B618" s="86"/>
      <c r="C618" s="86"/>
      <c r="D618" s="87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>
      <c r="A619" s="86"/>
      <c r="B619" s="86"/>
      <c r="C619" s="86"/>
      <c r="D619" s="87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>
      <c r="A620" s="86"/>
      <c r="B620" s="86"/>
      <c r="C620" s="86"/>
      <c r="D620" s="87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>
      <c r="A621" s="86"/>
      <c r="B621" s="86"/>
      <c r="C621" s="86"/>
      <c r="D621" s="87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>
      <c r="A622" s="86"/>
      <c r="B622" s="86"/>
      <c r="C622" s="86"/>
      <c r="D622" s="87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>
      <c r="A623" s="86"/>
      <c r="B623" s="86"/>
      <c r="C623" s="86"/>
      <c r="D623" s="87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>
      <c r="A624" s="86"/>
      <c r="B624" s="86"/>
      <c r="C624" s="86"/>
      <c r="D624" s="87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>
      <c r="A625" s="86"/>
      <c r="B625" s="86"/>
      <c r="C625" s="86"/>
      <c r="D625" s="87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>
      <c r="A626" s="86"/>
      <c r="B626" s="86"/>
      <c r="C626" s="86"/>
      <c r="D626" s="87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>
      <c r="A627" s="86"/>
      <c r="B627" s="86"/>
      <c r="C627" s="86"/>
      <c r="D627" s="87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>
      <c r="A628" s="86"/>
      <c r="B628" s="86"/>
      <c r="C628" s="86"/>
      <c r="D628" s="87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>
      <c r="A629" s="86"/>
      <c r="B629" s="86"/>
      <c r="C629" s="86"/>
      <c r="D629" s="87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>
      <c r="A630" s="86"/>
      <c r="B630" s="86"/>
      <c r="C630" s="86"/>
      <c r="D630" s="87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>
      <c r="A631" s="86"/>
      <c r="B631" s="86"/>
      <c r="C631" s="86"/>
      <c r="D631" s="87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>
      <c r="A632" s="86"/>
      <c r="B632" s="86"/>
      <c r="C632" s="86"/>
      <c r="D632" s="87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>
      <c r="A633" s="86"/>
      <c r="B633" s="86"/>
      <c r="C633" s="86"/>
      <c r="D633" s="87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>
      <c r="A634" s="86"/>
      <c r="B634" s="86"/>
      <c r="C634" s="86"/>
      <c r="D634" s="87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>
      <c r="A635" s="86"/>
      <c r="B635" s="86"/>
      <c r="C635" s="86"/>
      <c r="D635" s="87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>
      <c r="A636" s="86"/>
      <c r="B636" s="86"/>
      <c r="C636" s="86"/>
      <c r="D636" s="87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>
      <c r="A637" s="86"/>
      <c r="B637" s="86"/>
      <c r="C637" s="86"/>
      <c r="D637" s="87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>
      <c r="A638" s="86"/>
      <c r="B638" s="86"/>
      <c r="C638" s="86"/>
      <c r="D638" s="87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>
      <c r="A639" s="86"/>
      <c r="B639" s="86"/>
      <c r="C639" s="86"/>
      <c r="D639" s="87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>
      <c r="A640" s="86"/>
      <c r="B640" s="86"/>
      <c r="C640" s="86"/>
      <c r="D640" s="87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>
      <c r="A641" s="86"/>
      <c r="B641" s="86"/>
      <c r="C641" s="86"/>
      <c r="D641" s="87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>
      <c r="A642" s="86"/>
      <c r="B642" s="86"/>
      <c r="C642" s="86"/>
      <c r="D642" s="87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>
      <c r="A643" s="86"/>
      <c r="B643" s="86"/>
      <c r="C643" s="86"/>
      <c r="D643" s="87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>
      <c r="A644" s="86"/>
      <c r="B644" s="86"/>
      <c r="C644" s="86"/>
      <c r="D644" s="87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>
      <c r="A645" s="86"/>
      <c r="B645" s="86"/>
      <c r="C645" s="86"/>
      <c r="D645" s="87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>
      <c r="A646" s="86"/>
      <c r="B646" s="86"/>
      <c r="C646" s="86"/>
      <c r="D646" s="87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>
      <c r="A647" s="86"/>
      <c r="B647" s="86"/>
      <c r="C647" s="86"/>
      <c r="D647" s="87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>
      <c r="A648" s="86"/>
      <c r="B648" s="86"/>
      <c r="C648" s="86"/>
      <c r="D648" s="87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>
      <c r="A649" s="86"/>
      <c r="B649" s="86"/>
      <c r="C649" s="86"/>
      <c r="D649" s="87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>
      <c r="A650" s="86"/>
      <c r="B650" s="86"/>
      <c r="C650" s="86"/>
      <c r="D650" s="87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>
      <c r="A651" s="86"/>
      <c r="B651" s="86"/>
      <c r="C651" s="86"/>
      <c r="D651" s="87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>
      <c r="A652" s="86"/>
      <c r="B652" s="86"/>
      <c r="C652" s="86"/>
      <c r="D652" s="87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>
      <c r="A653" s="86"/>
      <c r="B653" s="86"/>
      <c r="C653" s="86"/>
      <c r="D653" s="87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>
      <c r="A654" s="86"/>
      <c r="B654" s="86"/>
      <c r="C654" s="86"/>
      <c r="D654" s="87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>
      <c r="A655" s="86"/>
      <c r="B655" s="86"/>
      <c r="C655" s="86"/>
      <c r="D655" s="87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>
      <c r="A656" s="86"/>
      <c r="B656" s="86"/>
      <c r="C656" s="86"/>
      <c r="D656" s="87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>
      <c r="A657" s="86"/>
      <c r="B657" s="86"/>
      <c r="C657" s="86"/>
      <c r="D657" s="87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>
      <c r="A658" s="86"/>
      <c r="B658" s="86"/>
      <c r="C658" s="86"/>
      <c r="D658" s="87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>
      <c r="A659" s="86"/>
      <c r="B659" s="86"/>
      <c r="C659" s="86"/>
      <c r="D659" s="87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>
      <c r="A660" s="86"/>
      <c r="B660" s="86"/>
      <c r="C660" s="86"/>
      <c r="D660" s="87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>
      <c r="A661" s="86"/>
      <c r="B661" s="86"/>
      <c r="C661" s="86"/>
      <c r="D661" s="87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>
      <c r="A662" s="86"/>
      <c r="B662" s="86"/>
      <c r="C662" s="86"/>
      <c r="D662" s="87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>
      <c r="A663" s="86"/>
      <c r="B663" s="86"/>
      <c r="C663" s="86"/>
      <c r="D663" s="87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>
      <c r="A664" s="86"/>
      <c r="B664" s="86"/>
      <c r="C664" s="86"/>
      <c r="D664" s="87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>
      <c r="A665" s="86"/>
      <c r="B665" s="86"/>
      <c r="C665" s="86"/>
      <c r="D665" s="87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>
      <c r="A666" s="86"/>
      <c r="B666" s="86"/>
      <c r="C666" s="86"/>
      <c r="D666" s="87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>
      <c r="A667" s="86"/>
      <c r="B667" s="86"/>
      <c r="C667" s="86"/>
      <c r="D667" s="87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>
      <c r="A668" s="86"/>
      <c r="B668" s="86"/>
      <c r="C668" s="86"/>
      <c r="D668" s="87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>
      <c r="A669" s="86"/>
      <c r="B669" s="86"/>
      <c r="C669" s="86"/>
      <c r="D669" s="87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>
      <c r="A670" s="86"/>
      <c r="B670" s="86"/>
      <c r="C670" s="86"/>
      <c r="D670" s="87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>
      <c r="A671" s="86"/>
      <c r="B671" s="86"/>
      <c r="C671" s="86"/>
      <c r="D671" s="87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>
      <c r="A672" s="86"/>
      <c r="B672" s="86"/>
      <c r="C672" s="86"/>
      <c r="D672" s="87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>
      <c r="A673" s="86"/>
      <c r="B673" s="86"/>
      <c r="C673" s="86"/>
      <c r="D673" s="87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>
      <c r="A674" s="86"/>
      <c r="B674" s="86"/>
      <c r="C674" s="86"/>
      <c r="D674" s="87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>
      <c r="A675" s="86"/>
      <c r="B675" s="86"/>
      <c r="C675" s="86"/>
      <c r="D675" s="87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>
      <c r="A676" s="86"/>
      <c r="B676" s="86"/>
      <c r="C676" s="86"/>
      <c r="D676" s="87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>
      <c r="A677" s="86"/>
      <c r="B677" s="86"/>
      <c r="C677" s="86"/>
      <c r="D677" s="87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>
      <c r="A678" s="86"/>
      <c r="B678" s="86"/>
      <c r="C678" s="86"/>
      <c r="D678" s="87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>
      <c r="A679" s="86"/>
      <c r="B679" s="86"/>
      <c r="C679" s="86"/>
      <c r="D679" s="87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>
      <c r="A680" s="86"/>
      <c r="B680" s="86"/>
      <c r="C680" s="86"/>
      <c r="D680" s="87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>
      <c r="A681" s="86"/>
      <c r="B681" s="86"/>
      <c r="C681" s="86"/>
      <c r="D681" s="87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>
      <c r="A682" s="86"/>
      <c r="B682" s="86"/>
      <c r="C682" s="86"/>
      <c r="D682" s="87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>
      <c r="A683" s="86"/>
      <c r="B683" s="86"/>
      <c r="C683" s="86"/>
      <c r="D683" s="87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>
      <c r="A684" s="86"/>
      <c r="B684" s="86"/>
      <c r="C684" s="86"/>
      <c r="D684" s="87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>
      <c r="A685" s="86"/>
      <c r="B685" s="86"/>
      <c r="C685" s="86"/>
      <c r="D685" s="87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>
      <c r="A686" s="86"/>
      <c r="B686" s="86"/>
      <c r="C686" s="86"/>
      <c r="D686" s="87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>
      <c r="A687" s="86"/>
      <c r="B687" s="86"/>
      <c r="C687" s="86"/>
      <c r="D687" s="87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>
      <c r="A688" s="86"/>
      <c r="B688" s="86"/>
      <c r="C688" s="86"/>
      <c r="D688" s="87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>
      <c r="A689" s="86"/>
      <c r="B689" s="86"/>
      <c r="C689" s="86"/>
      <c r="D689" s="87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>
      <c r="A690" s="86"/>
      <c r="B690" s="86"/>
      <c r="C690" s="86"/>
      <c r="D690" s="87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>
      <c r="A691" s="86"/>
      <c r="B691" s="86"/>
      <c r="C691" s="86"/>
      <c r="D691" s="87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>
      <c r="A692" s="86"/>
      <c r="B692" s="86"/>
      <c r="C692" s="86"/>
      <c r="D692" s="87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>
      <c r="A693" s="86"/>
      <c r="B693" s="86"/>
      <c r="C693" s="86"/>
      <c r="D693" s="87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>
      <c r="A694" s="86"/>
      <c r="B694" s="86"/>
      <c r="C694" s="86"/>
      <c r="D694" s="87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>
      <c r="A695" s="86"/>
      <c r="B695" s="86"/>
      <c r="C695" s="86"/>
      <c r="D695" s="87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>
      <c r="A696" s="86"/>
      <c r="B696" s="86"/>
      <c r="C696" s="86"/>
      <c r="D696" s="87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>
      <c r="A697" s="86"/>
      <c r="B697" s="86"/>
      <c r="C697" s="86"/>
      <c r="D697" s="87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>
      <c r="A698" s="86"/>
      <c r="B698" s="86"/>
      <c r="C698" s="86"/>
      <c r="D698" s="87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>
      <c r="A699" s="86"/>
      <c r="B699" s="86"/>
      <c r="C699" s="86"/>
      <c r="D699" s="87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>
      <c r="A700" s="86"/>
      <c r="B700" s="86"/>
      <c r="C700" s="86"/>
      <c r="D700" s="87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>
      <c r="A701" s="86"/>
      <c r="B701" s="86"/>
      <c r="C701" s="86"/>
      <c r="D701" s="87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>
      <c r="A702" s="86"/>
      <c r="B702" s="86"/>
      <c r="C702" s="86"/>
      <c r="D702" s="87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>
      <c r="A703" s="86"/>
      <c r="B703" s="86"/>
      <c r="C703" s="86"/>
      <c r="D703" s="87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>
      <c r="A704" s="86"/>
      <c r="B704" s="86"/>
      <c r="C704" s="86"/>
      <c r="D704" s="87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>
      <c r="A705" s="86"/>
      <c r="B705" s="86"/>
      <c r="C705" s="86"/>
      <c r="D705" s="87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>
      <c r="A706" s="86"/>
      <c r="B706" s="86"/>
      <c r="C706" s="86"/>
      <c r="D706" s="87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>
      <c r="A707" s="86"/>
      <c r="B707" s="86"/>
      <c r="C707" s="86"/>
      <c r="D707" s="87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>
      <c r="A708" s="86"/>
      <c r="B708" s="86"/>
      <c r="C708" s="86"/>
      <c r="D708" s="87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>
      <c r="A709" s="86"/>
      <c r="B709" s="86"/>
      <c r="C709" s="86"/>
      <c r="D709" s="87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>
      <c r="A710" s="86"/>
      <c r="B710" s="86"/>
      <c r="C710" s="86"/>
      <c r="D710" s="87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>
      <c r="A711" s="86"/>
      <c r="B711" s="86"/>
      <c r="C711" s="86"/>
      <c r="D711" s="87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>
      <c r="A712" s="86"/>
      <c r="B712" s="86"/>
      <c r="C712" s="86"/>
      <c r="D712" s="87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>
      <c r="A713" s="86"/>
      <c r="B713" s="86"/>
      <c r="C713" s="86"/>
      <c r="D713" s="87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>
      <c r="A714" s="86"/>
      <c r="B714" s="86"/>
      <c r="C714" s="86"/>
      <c r="D714" s="87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>
      <c r="A715" s="86"/>
      <c r="B715" s="86"/>
      <c r="C715" s="86"/>
      <c r="D715" s="87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>
      <c r="A716" s="86"/>
      <c r="B716" s="86"/>
      <c r="C716" s="86"/>
      <c r="D716" s="87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>
      <c r="A717" s="86"/>
      <c r="B717" s="86"/>
      <c r="C717" s="86"/>
      <c r="D717" s="87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>
      <c r="A718" s="86"/>
      <c r="B718" s="86"/>
      <c r="C718" s="86"/>
      <c r="D718" s="87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>
      <c r="A719" s="86"/>
      <c r="B719" s="86"/>
      <c r="C719" s="86"/>
      <c r="D719" s="87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>
      <c r="A720" s="86"/>
      <c r="B720" s="86"/>
      <c r="C720" s="86"/>
      <c r="D720" s="87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>
      <c r="A721" s="86"/>
      <c r="B721" s="86"/>
      <c r="C721" s="86"/>
      <c r="D721" s="87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>
      <c r="A722" s="86"/>
      <c r="B722" s="86"/>
      <c r="C722" s="86"/>
      <c r="D722" s="87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>
      <c r="A723" s="86"/>
      <c r="B723" s="86"/>
      <c r="C723" s="86"/>
      <c r="D723" s="87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>
      <c r="A724" s="86"/>
      <c r="B724" s="86"/>
      <c r="C724" s="86"/>
      <c r="D724" s="87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>
      <c r="A725" s="86"/>
      <c r="B725" s="86"/>
      <c r="C725" s="86"/>
      <c r="D725" s="87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>
      <c r="A726" s="86"/>
      <c r="B726" s="86"/>
      <c r="C726" s="86"/>
      <c r="D726" s="87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>
      <c r="A727" s="86"/>
      <c r="B727" s="86"/>
      <c r="C727" s="86"/>
      <c r="D727" s="87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>
      <c r="A728" s="86"/>
      <c r="B728" s="86"/>
      <c r="C728" s="86"/>
      <c r="D728" s="87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>
      <c r="A729" s="86"/>
      <c r="B729" s="86"/>
      <c r="C729" s="86"/>
      <c r="D729" s="87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>
      <c r="A730" s="86"/>
      <c r="B730" s="86"/>
      <c r="C730" s="86"/>
      <c r="D730" s="87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>
      <c r="A731" s="86"/>
      <c r="B731" s="86"/>
      <c r="C731" s="86"/>
      <c r="D731" s="87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>
      <c r="A732" s="86"/>
      <c r="B732" s="86"/>
      <c r="C732" s="86"/>
      <c r="D732" s="87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>
      <c r="A733" s="86"/>
      <c r="B733" s="86"/>
      <c r="C733" s="86"/>
      <c r="D733" s="87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>
      <c r="A734" s="86"/>
      <c r="B734" s="86"/>
      <c r="C734" s="86"/>
      <c r="D734" s="87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>
      <c r="A735" s="86"/>
      <c r="B735" s="86"/>
      <c r="C735" s="86"/>
      <c r="D735" s="87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>
      <c r="A736" s="86"/>
      <c r="B736" s="86"/>
      <c r="C736" s="86"/>
      <c r="D736" s="87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>
      <c r="A737" s="86"/>
      <c r="B737" s="86"/>
      <c r="C737" s="86"/>
      <c r="D737" s="87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>
      <c r="A738" s="86"/>
      <c r="B738" s="86"/>
      <c r="C738" s="86"/>
      <c r="D738" s="87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>
      <c r="A739" s="86"/>
      <c r="B739" s="86"/>
      <c r="C739" s="86"/>
      <c r="D739" s="87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>
      <c r="A740" s="86"/>
      <c r="B740" s="86"/>
      <c r="C740" s="86"/>
      <c r="D740" s="87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>
      <c r="A741" s="86"/>
      <c r="B741" s="86"/>
      <c r="C741" s="86"/>
      <c r="D741" s="87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>
      <c r="A742" s="86"/>
      <c r="B742" s="86"/>
      <c r="C742" s="86"/>
      <c r="D742" s="87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>
      <c r="A743" s="86"/>
      <c r="B743" s="86"/>
      <c r="C743" s="86"/>
      <c r="D743" s="87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>
      <c r="A744" s="86"/>
      <c r="B744" s="86"/>
      <c r="C744" s="86"/>
      <c r="D744" s="87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>
      <c r="A745" s="86"/>
      <c r="B745" s="86"/>
      <c r="C745" s="86"/>
      <c r="D745" s="87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>
      <c r="A746" s="86"/>
      <c r="B746" s="86"/>
      <c r="C746" s="86"/>
      <c r="D746" s="87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>
      <c r="A747" s="86"/>
      <c r="B747" s="86"/>
      <c r="C747" s="86"/>
      <c r="D747" s="87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>
      <c r="A748" s="86"/>
      <c r="B748" s="86"/>
      <c r="C748" s="86"/>
      <c r="D748" s="87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>
      <c r="A749" s="86"/>
      <c r="B749" s="86"/>
      <c r="C749" s="86"/>
      <c r="D749" s="87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>
      <c r="A750" s="86"/>
      <c r="B750" s="86"/>
      <c r="C750" s="86"/>
      <c r="D750" s="87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>
      <c r="A751" s="86"/>
      <c r="B751" s="86"/>
      <c r="C751" s="86"/>
      <c r="D751" s="87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>
      <c r="A752" s="86"/>
      <c r="B752" s="86"/>
      <c r="C752" s="86"/>
      <c r="D752" s="87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>
      <c r="A753" s="86"/>
      <c r="B753" s="86"/>
      <c r="C753" s="86"/>
      <c r="D753" s="87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>
      <c r="A754" s="86"/>
      <c r="B754" s="86"/>
      <c r="C754" s="86"/>
      <c r="D754" s="87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>
      <c r="A755" s="86"/>
      <c r="B755" s="86"/>
      <c r="C755" s="86"/>
      <c r="D755" s="87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>
      <c r="A756" s="86"/>
      <c r="B756" s="86"/>
      <c r="C756" s="86"/>
      <c r="D756" s="87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>
      <c r="A757" s="86"/>
      <c r="B757" s="86"/>
      <c r="C757" s="86"/>
      <c r="D757" s="87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>
      <c r="A758" s="86"/>
      <c r="B758" s="86"/>
      <c r="C758" s="86"/>
      <c r="D758" s="87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>
      <c r="A759" s="86"/>
      <c r="B759" s="86"/>
      <c r="C759" s="86"/>
      <c r="D759" s="87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>
      <c r="A760" s="86"/>
      <c r="B760" s="86"/>
      <c r="C760" s="86"/>
      <c r="D760" s="87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>
      <c r="A761" s="86"/>
      <c r="B761" s="86"/>
      <c r="C761" s="86"/>
      <c r="D761" s="87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>
      <c r="A762" s="86"/>
      <c r="B762" s="86"/>
      <c r="C762" s="86"/>
      <c r="D762" s="87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>
      <c r="A763" s="86"/>
      <c r="B763" s="86"/>
      <c r="C763" s="86"/>
      <c r="D763" s="87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>
      <c r="A764" s="86"/>
      <c r="B764" s="86"/>
      <c r="C764" s="86"/>
      <c r="D764" s="87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>
      <c r="A765" s="86"/>
      <c r="B765" s="86"/>
      <c r="C765" s="86"/>
      <c r="D765" s="87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>
      <c r="A766" s="86"/>
      <c r="B766" s="86"/>
      <c r="C766" s="86"/>
      <c r="D766" s="87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>
      <c r="A767" s="86"/>
      <c r="B767" s="86"/>
      <c r="C767" s="86"/>
      <c r="D767" s="87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>
      <c r="A768" s="86"/>
      <c r="B768" s="86"/>
      <c r="C768" s="86"/>
      <c r="D768" s="87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>
      <c r="A769" s="86"/>
      <c r="B769" s="86"/>
      <c r="C769" s="86"/>
      <c r="D769" s="87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>
      <c r="A770" s="86"/>
      <c r="B770" s="86"/>
      <c r="C770" s="86"/>
      <c r="D770" s="87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>
      <c r="A771" s="86"/>
      <c r="B771" s="86"/>
      <c r="C771" s="86"/>
      <c r="D771" s="87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>
      <c r="A772" s="86"/>
      <c r="B772" s="86"/>
      <c r="C772" s="86"/>
      <c r="D772" s="87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>
      <c r="A773" s="86"/>
      <c r="B773" s="86"/>
      <c r="C773" s="86"/>
      <c r="D773" s="87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>
      <c r="A774" s="86"/>
      <c r="B774" s="86"/>
      <c r="C774" s="86"/>
      <c r="D774" s="87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>
      <c r="A775" s="86"/>
      <c r="B775" s="86"/>
      <c r="C775" s="86"/>
      <c r="D775" s="87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>
      <c r="A776" s="86"/>
      <c r="B776" s="86"/>
      <c r="C776" s="86"/>
      <c r="D776" s="87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>
      <c r="A777" s="86"/>
      <c r="B777" s="86"/>
      <c r="C777" s="86"/>
      <c r="D777" s="87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>
      <c r="A778" s="86"/>
      <c r="B778" s="86"/>
      <c r="C778" s="86"/>
      <c r="D778" s="87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>
      <c r="A779" s="86"/>
      <c r="B779" s="86"/>
      <c r="C779" s="86"/>
      <c r="D779" s="87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>
      <c r="A780" s="86"/>
      <c r="B780" s="86"/>
      <c r="C780" s="86"/>
      <c r="D780" s="87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>
      <c r="A781" s="86"/>
      <c r="B781" s="86"/>
      <c r="C781" s="86"/>
      <c r="D781" s="87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>
      <c r="A782" s="86"/>
      <c r="B782" s="86"/>
      <c r="C782" s="86"/>
      <c r="D782" s="87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>
      <c r="A783" s="86"/>
      <c r="B783" s="86"/>
      <c r="C783" s="86"/>
      <c r="D783" s="87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>
      <c r="A784" s="86"/>
      <c r="B784" s="86"/>
      <c r="C784" s="86"/>
      <c r="D784" s="87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>
      <c r="A785" s="86"/>
      <c r="B785" s="86"/>
      <c r="C785" s="86"/>
      <c r="D785" s="87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>
      <c r="A786" s="86"/>
      <c r="B786" s="86"/>
      <c r="C786" s="86"/>
      <c r="D786" s="87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>
      <c r="A787" s="86"/>
      <c r="B787" s="86"/>
      <c r="C787" s="86"/>
      <c r="D787" s="87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>
      <c r="A788" s="86"/>
      <c r="B788" s="86"/>
      <c r="C788" s="86"/>
      <c r="D788" s="87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>
      <c r="A789" s="86"/>
      <c r="B789" s="86"/>
      <c r="C789" s="86"/>
      <c r="D789" s="87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>
      <c r="A790" s="86"/>
      <c r="B790" s="86"/>
      <c r="C790" s="86"/>
      <c r="D790" s="87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>
      <c r="A791" s="86"/>
      <c r="B791" s="86"/>
      <c r="C791" s="86"/>
      <c r="D791" s="87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>
      <c r="A792" s="86"/>
      <c r="B792" s="86"/>
      <c r="C792" s="86"/>
      <c r="D792" s="87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>
      <c r="A793" s="86"/>
      <c r="B793" s="86"/>
      <c r="C793" s="86"/>
      <c r="D793" s="87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>
      <c r="A794" s="86"/>
      <c r="B794" s="86"/>
      <c r="C794" s="86"/>
      <c r="D794" s="87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>
      <c r="A795" s="86"/>
      <c r="B795" s="86"/>
      <c r="C795" s="86"/>
      <c r="D795" s="87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>
      <c r="A796" s="86"/>
      <c r="B796" s="86"/>
      <c r="C796" s="86"/>
      <c r="D796" s="87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>
      <c r="A797" s="86"/>
      <c r="B797" s="86"/>
      <c r="C797" s="86"/>
      <c r="D797" s="87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>
      <c r="A798" s="86"/>
      <c r="B798" s="86"/>
      <c r="C798" s="86"/>
      <c r="D798" s="87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>
      <c r="A799" s="86"/>
      <c r="B799" s="86"/>
      <c r="C799" s="86"/>
      <c r="D799" s="87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>
      <c r="A800" s="86"/>
      <c r="B800" s="86"/>
      <c r="C800" s="86"/>
      <c r="D800" s="87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>
      <c r="A801" s="86"/>
      <c r="B801" s="86"/>
      <c r="C801" s="86"/>
      <c r="D801" s="87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>
      <c r="A802" s="86"/>
      <c r="B802" s="86"/>
      <c r="C802" s="86"/>
      <c r="D802" s="87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>
      <c r="A803" s="86"/>
      <c r="B803" s="86"/>
      <c r="C803" s="86"/>
      <c r="D803" s="87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>
      <c r="A804" s="86"/>
      <c r="B804" s="86"/>
      <c r="C804" s="86"/>
      <c r="D804" s="87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>
      <c r="A805" s="86"/>
      <c r="B805" s="86"/>
      <c r="C805" s="86"/>
      <c r="D805" s="87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>
      <c r="A806" s="86"/>
      <c r="B806" s="86"/>
      <c r="C806" s="86"/>
      <c r="D806" s="87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>
      <c r="A807" s="86"/>
      <c r="B807" s="86"/>
      <c r="C807" s="86"/>
      <c r="D807" s="87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>
      <c r="A808" s="86"/>
      <c r="B808" s="86"/>
      <c r="C808" s="86"/>
      <c r="D808" s="87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>
      <c r="A809" s="86"/>
      <c r="B809" s="86"/>
      <c r="C809" s="86"/>
      <c r="D809" s="87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>
      <c r="A810" s="86"/>
      <c r="B810" s="86"/>
      <c r="C810" s="86"/>
      <c r="D810" s="87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>
      <c r="A811" s="86"/>
      <c r="B811" s="86"/>
      <c r="C811" s="86"/>
      <c r="D811" s="87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>
      <c r="A812" s="86"/>
      <c r="B812" s="86"/>
      <c r="C812" s="86"/>
      <c r="D812" s="87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>
      <c r="A813" s="86"/>
      <c r="B813" s="86"/>
      <c r="C813" s="86"/>
      <c r="D813" s="87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>
      <c r="A814" s="86"/>
      <c r="B814" s="86"/>
      <c r="C814" s="86"/>
      <c r="D814" s="87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>
      <c r="A815" s="86"/>
      <c r="B815" s="86"/>
      <c r="C815" s="86"/>
      <c r="D815" s="87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>
      <c r="A816" s="86"/>
      <c r="B816" s="86"/>
      <c r="C816" s="86"/>
      <c r="D816" s="87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>
      <c r="A817" s="86"/>
      <c r="B817" s="86"/>
      <c r="C817" s="86"/>
      <c r="D817" s="87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>
      <c r="A818" s="86"/>
      <c r="B818" s="86"/>
      <c r="C818" s="86"/>
      <c r="D818" s="87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>
      <c r="A819" s="86"/>
      <c r="B819" s="86"/>
      <c r="C819" s="86"/>
      <c r="D819" s="87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>
      <c r="A820" s="86"/>
      <c r="B820" s="86"/>
      <c r="C820" s="86"/>
      <c r="D820" s="87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>
      <c r="A821" s="86"/>
      <c r="B821" s="86"/>
      <c r="C821" s="86"/>
      <c r="D821" s="87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>
      <c r="A822" s="86"/>
      <c r="B822" s="86"/>
      <c r="C822" s="86"/>
      <c r="D822" s="87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>
      <c r="A823" s="86"/>
      <c r="B823" s="86"/>
      <c r="C823" s="86"/>
      <c r="D823" s="87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>
      <c r="A824" s="86"/>
      <c r="B824" s="86"/>
      <c r="C824" s="86"/>
      <c r="D824" s="87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>
      <c r="A825" s="86"/>
      <c r="B825" s="86"/>
      <c r="C825" s="86"/>
      <c r="D825" s="87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>
      <c r="A826" s="86"/>
      <c r="B826" s="86"/>
      <c r="C826" s="86"/>
      <c r="D826" s="87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>
      <c r="A827" s="86"/>
      <c r="B827" s="86"/>
      <c r="C827" s="86"/>
      <c r="D827" s="87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>
      <c r="A828" s="86"/>
      <c r="B828" s="86"/>
      <c r="C828" s="86"/>
      <c r="D828" s="87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>
      <c r="A829" s="86"/>
      <c r="B829" s="86"/>
      <c r="C829" s="86"/>
      <c r="D829" s="87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>
      <c r="A830" s="86"/>
      <c r="B830" s="86"/>
      <c r="C830" s="86"/>
      <c r="D830" s="87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>
      <c r="A831" s="86"/>
      <c r="B831" s="86"/>
      <c r="C831" s="86"/>
      <c r="D831" s="87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>
      <c r="A832" s="86"/>
      <c r="B832" s="86"/>
      <c r="C832" s="86"/>
      <c r="D832" s="87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>
      <c r="A833" s="86"/>
      <c r="B833" s="86"/>
      <c r="C833" s="86"/>
      <c r="D833" s="87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>
      <c r="A834" s="86"/>
      <c r="B834" s="86"/>
      <c r="C834" s="86"/>
      <c r="D834" s="87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>
      <c r="A835" s="86"/>
      <c r="B835" s="86"/>
      <c r="C835" s="86"/>
      <c r="D835" s="87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>
      <c r="A836" s="86"/>
      <c r="B836" s="86"/>
      <c r="C836" s="86"/>
      <c r="D836" s="87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>
      <c r="A837" s="86"/>
      <c r="B837" s="86"/>
      <c r="C837" s="86"/>
      <c r="D837" s="87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>
      <c r="A838" s="86"/>
      <c r="B838" s="86"/>
      <c r="C838" s="86"/>
      <c r="D838" s="87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>
      <c r="A839" s="86"/>
      <c r="B839" s="86"/>
      <c r="C839" s="86"/>
      <c r="D839" s="87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>
      <c r="A840" s="86"/>
      <c r="B840" s="86"/>
      <c r="C840" s="86"/>
      <c r="D840" s="87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>
      <c r="A841" s="86"/>
      <c r="B841" s="86"/>
      <c r="C841" s="86"/>
      <c r="D841" s="87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>
      <c r="A842" s="86"/>
      <c r="B842" s="86"/>
      <c r="C842" s="86"/>
      <c r="D842" s="87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>
      <c r="A843" s="86"/>
      <c r="B843" s="86"/>
      <c r="C843" s="86"/>
      <c r="D843" s="87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>
      <c r="A844" s="86"/>
      <c r="B844" s="86"/>
      <c r="C844" s="86"/>
      <c r="D844" s="87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>
      <c r="A845" s="86"/>
      <c r="B845" s="86"/>
      <c r="C845" s="86"/>
      <c r="D845" s="87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>
      <c r="A846" s="86"/>
      <c r="B846" s="86"/>
      <c r="C846" s="86"/>
      <c r="D846" s="87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>
      <c r="A847" s="86"/>
      <c r="B847" s="86"/>
      <c r="C847" s="86"/>
      <c r="D847" s="87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>
      <c r="A848" s="86"/>
      <c r="B848" s="86"/>
      <c r="C848" s="86"/>
      <c r="D848" s="87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>
      <c r="A849" s="86"/>
      <c r="B849" s="86"/>
      <c r="C849" s="86"/>
      <c r="D849" s="87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>
      <c r="A850" s="86"/>
      <c r="B850" s="86"/>
      <c r="C850" s="86"/>
      <c r="D850" s="87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>
      <c r="A851" s="86"/>
      <c r="B851" s="86"/>
      <c r="C851" s="86"/>
      <c r="D851" s="87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>
      <c r="A852" s="86"/>
      <c r="B852" s="86"/>
      <c r="C852" s="86"/>
      <c r="D852" s="87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>
      <c r="A853" s="86"/>
      <c r="B853" s="86"/>
      <c r="C853" s="86"/>
      <c r="D853" s="87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>
      <c r="A854" s="86"/>
      <c r="B854" s="86"/>
      <c r="C854" s="86"/>
      <c r="D854" s="87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>
      <c r="A855" s="86"/>
      <c r="B855" s="86"/>
      <c r="C855" s="86"/>
      <c r="D855" s="87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>
      <c r="A856" s="86"/>
      <c r="B856" s="86"/>
      <c r="C856" s="86"/>
      <c r="D856" s="87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>
      <c r="A857" s="86"/>
      <c r="B857" s="86"/>
      <c r="C857" s="86"/>
      <c r="D857" s="87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>
      <c r="A858" s="86"/>
      <c r="B858" s="86"/>
      <c r="C858" s="86"/>
      <c r="D858" s="87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>
      <c r="A859" s="86"/>
      <c r="B859" s="86"/>
      <c r="C859" s="86"/>
      <c r="D859" s="87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>
      <c r="A860" s="86"/>
      <c r="B860" s="86"/>
      <c r="C860" s="86"/>
      <c r="D860" s="87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>
      <c r="A861" s="86"/>
      <c r="B861" s="86"/>
      <c r="C861" s="86"/>
      <c r="D861" s="87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>
      <c r="A862" s="86"/>
      <c r="B862" s="86"/>
      <c r="C862" s="86"/>
      <c r="D862" s="87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>
      <c r="A863" s="86"/>
      <c r="B863" s="86"/>
      <c r="C863" s="86"/>
      <c r="D863" s="87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>
      <c r="A864" s="86"/>
      <c r="B864" s="86"/>
      <c r="C864" s="86"/>
      <c r="D864" s="87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>
      <c r="A865" s="86"/>
      <c r="B865" s="86"/>
      <c r="C865" s="86"/>
      <c r="D865" s="87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>
      <c r="A866" s="86"/>
      <c r="B866" s="86"/>
      <c r="C866" s="86"/>
      <c r="D866" s="87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>
      <c r="A867" s="86"/>
      <c r="B867" s="86"/>
      <c r="C867" s="86"/>
      <c r="D867" s="87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>
      <c r="A868" s="86"/>
      <c r="B868" s="86"/>
      <c r="C868" s="86"/>
      <c r="D868" s="87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>
      <c r="A869" s="86"/>
      <c r="B869" s="86"/>
      <c r="C869" s="86"/>
      <c r="D869" s="87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>
      <c r="A870" s="86"/>
      <c r="B870" s="86"/>
      <c r="C870" s="86"/>
      <c r="D870" s="87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>
      <c r="A871" s="86"/>
      <c r="B871" s="86"/>
      <c r="C871" s="86"/>
      <c r="D871" s="87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>
      <c r="A872" s="86"/>
      <c r="B872" s="86"/>
      <c r="C872" s="86"/>
      <c r="D872" s="87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>
      <c r="A873" s="86"/>
      <c r="B873" s="86"/>
      <c r="C873" s="86"/>
      <c r="D873" s="87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>
      <c r="A874" s="86"/>
      <c r="B874" s="86"/>
      <c r="C874" s="86"/>
      <c r="D874" s="87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>
      <c r="A875" s="86"/>
      <c r="B875" s="86"/>
      <c r="C875" s="86"/>
      <c r="D875" s="87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>
      <c r="A876" s="86"/>
      <c r="B876" s="86"/>
      <c r="C876" s="86"/>
      <c r="D876" s="87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>
      <c r="A877" s="86"/>
      <c r="B877" s="86"/>
      <c r="C877" s="86"/>
      <c r="D877" s="87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>
      <c r="A878" s="86"/>
      <c r="B878" s="86"/>
      <c r="C878" s="86"/>
      <c r="D878" s="87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>
      <c r="A879" s="86"/>
      <c r="B879" s="86"/>
      <c r="C879" s="86"/>
      <c r="D879" s="87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>
      <c r="A880" s="86"/>
      <c r="B880" s="86"/>
      <c r="C880" s="86"/>
      <c r="D880" s="87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>
      <c r="A881" s="86"/>
      <c r="B881" s="86"/>
      <c r="C881" s="86"/>
      <c r="D881" s="87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>
      <c r="A882" s="86"/>
      <c r="B882" s="86"/>
      <c r="C882" s="86"/>
      <c r="D882" s="87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>
      <c r="A883" s="86"/>
      <c r="B883" s="86"/>
      <c r="C883" s="86"/>
      <c r="D883" s="87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>
      <c r="A884" s="86"/>
      <c r="B884" s="86"/>
      <c r="C884" s="86"/>
      <c r="D884" s="87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>
      <c r="A885" s="86"/>
      <c r="B885" s="86"/>
      <c r="C885" s="86"/>
      <c r="D885" s="87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>
      <c r="A886" s="86"/>
      <c r="B886" s="86"/>
      <c r="C886" s="86"/>
      <c r="D886" s="87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>
      <c r="A887" s="86"/>
      <c r="B887" s="86"/>
      <c r="C887" s="86"/>
      <c r="D887" s="87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>
      <c r="A888" s="86"/>
      <c r="B888" s="86"/>
      <c r="C888" s="86"/>
      <c r="D888" s="87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>
      <c r="A889" s="86"/>
      <c r="B889" s="86"/>
      <c r="C889" s="86"/>
      <c r="D889" s="87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>
      <c r="A890" s="86"/>
      <c r="B890" s="86"/>
      <c r="C890" s="86"/>
      <c r="D890" s="87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>
      <c r="A891" s="86"/>
      <c r="B891" s="86"/>
      <c r="C891" s="86"/>
      <c r="D891" s="87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>
      <c r="A892" s="86"/>
      <c r="B892" s="86"/>
      <c r="C892" s="86"/>
      <c r="D892" s="87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>
      <c r="A893" s="86"/>
      <c r="B893" s="86"/>
      <c r="C893" s="86"/>
      <c r="D893" s="87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>
      <c r="A894" s="86"/>
      <c r="B894" s="86"/>
      <c r="C894" s="86"/>
      <c r="D894" s="87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>
      <c r="A895" s="86"/>
      <c r="B895" s="86"/>
      <c r="C895" s="86"/>
      <c r="D895" s="87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>
      <c r="A896" s="86"/>
      <c r="B896" s="86"/>
      <c r="C896" s="86"/>
      <c r="D896" s="87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>
      <c r="A897" s="86"/>
      <c r="B897" s="86"/>
      <c r="C897" s="86"/>
      <c r="D897" s="87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>
      <c r="A898" s="86"/>
      <c r="B898" s="86"/>
      <c r="C898" s="86"/>
      <c r="D898" s="87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>
      <c r="A899" s="86"/>
      <c r="B899" s="86"/>
      <c r="C899" s="86"/>
      <c r="D899" s="87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>
      <c r="A900" s="86"/>
      <c r="B900" s="86"/>
      <c r="C900" s="86"/>
      <c r="D900" s="87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>
      <c r="A901" s="86"/>
      <c r="B901" s="86"/>
      <c r="C901" s="86"/>
      <c r="D901" s="87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>
      <c r="A902" s="86"/>
      <c r="B902" s="86"/>
      <c r="C902" s="86"/>
      <c r="D902" s="87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>
      <c r="A903" s="86"/>
      <c r="B903" s="86"/>
      <c r="C903" s="86"/>
      <c r="D903" s="87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>
      <c r="A904" s="86"/>
      <c r="B904" s="86"/>
      <c r="C904" s="86"/>
      <c r="D904" s="87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>
      <c r="A905" s="86"/>
      <c r="B905" s="86"/>
      <c r="C905" s="86"/>
      <c r="D905" s="87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>
      <c r="A906" s="86"/>
      <c r="B906" s="86"/>
      <c r="C906" s="86"/>
      <c r="D906" s="87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>
      <c r="A907" s="86"/>
      <c r="B907" s="86"/>
      <c r="C907" s="86"/>
      <c r="D907" s="87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>
      <c r="A908" s="86"/>
      <c r="B908" s="86"/>
      <c r="C908" s="86"/>
      <c r="D908" s="87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>
      <c r="A909" s="86"/>
      <c r="B909" s="86"/>
      <c r="C909" s="86"/>
      <c r="D909" s="87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>
      <c r="A910" s="86"/>
      <c r="B910" s="86"/>
      <c r="C910" s="86"/>
      <c r="D910" s="87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>
      <c r="A911" s="86"/>
      <c r="B911" s="86"/>
      <c r="C911" s="86"/>
      <c r="D911" s="87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>
      <c r="A912" s="86"/>
      <c r="B912" s="86"/>
      <c r="C912" s="86"/>
      <c r="D912" s="87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>
      <c r="A913" s="86"/>
      <c r="B913" s="86"/>
      <c r="C913" s="86"/>
      <c r="D913" s="87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>
      <c r="A914" s="86"/>
      <c r="B914" s="86"/>
      <c r="C914" s="86"/>
      <c r="D914" s="87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>
      <c r="A915" s="86"/>
      <c r="B915" s="86"/>
      <c r="C915" s="86"/>
      <c r="D915" s="87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>
      <c r="A916" s="86"/>
      <c r="B916" s="86"/>
      <c r="C916" s="86"/>
      <c r="D916" s="87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>
      <c r="A917" s="86"/>
      <c r="B917" s="86"/>
      <c r="C917" s="86"/>
      <c r="D917" s="87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>
      <c r="A918" s="86"/>
      <c r="B918" s="86"/>
      <c r="C918" s="86"/>
      <c r="D918" s="87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>
      <c r="A919" s="86"/>
      <c r="B919" s="86"/>
      <c r="C919" s="86"/>
      <c r="D919" s="87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>
      <c r="A920" s="86"/>
      <c r="B920" s="86"/>
      <c r="C920" s="86"/>
      <c r="D920" s="87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>
      <c r="A921" s="86"/>
      <c r="B921" s="86"/>
      <c r="C921" s="86"/>
      <c r="D921" s="87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>
      <c r="A922" s="86"/>
      <c r="B922" s="86"/>
      <c r="C922" s="86"/>
      <c r="D922" s="87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>
      <c r="A923" s="86"/>
      <c r="B923" s="86"/>
      <c r="C923" s="86"/>
      <c r="D923" s="87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>
      <c r="A924" s="86"/>
      <c r="B924" s="86"/>
      <c r="C924" s="86"/>
      <c r="D924" s="87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>
      <c r="A925" s="86"/>
      <c r="B925" s="86"/>
      <c r="C925" s="86"/>
      <c r="D925" s="87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>
      <c r="A926" s="86"/>
      <c r="B926" s="86"/>
      <c r="C926" s="86"/>
      <c r="D926" s="87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>
      <c r="A927" s="86"/>
      <c r="B927" s="86"/>
      <c r="C927" s="86"/>
      <c r="D927" s="87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>
      <c r="A928" s="86"/>
      <c r="B928" s="86"/>
      <c r="C928" s="86"/>
      <c r="D928" s="87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>
      <c r="A929" s="86"/>
      <c r="B929" s="86"/>
      <c r="C929" s="86"/>
      <c r="D929" s="87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>
      <c r="A930" s="86"/>
      <c r="B930" s="86"/>
      <c r="C930" s="86"/>
      <c r="D930" s="87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>
      <c r="A931" s="86"/>
      <c r="B931" s="86"/>
      <c r="C931" s="86"/>
      <c r="D931" s="87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>
      <c r="A932" s="86"/>
      <c r="B932" s="86"/>
      <c r="C932" s="86"/>
      <c r="D932" s="87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>
      <c r="A933" s="86"/>
      <c r="B933" s="86"/>
      <c r="C933" s="86"/>
      <c r="D933" s="87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>
      <c r="A934" s="86"/>
      <c r="B934" s="86"/>
      <c r="C934" s="86"/>
      <c r="D934" s="87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>
      <c r="A935" s="86"/>
      <c r="B935" s="86"/>
      <c r="C935" s="86"/>
      <c r="D935" s="87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>
      <c r="A936" s="86"/>
      <c r="B936" s="86"/>
      <c r="C936" s="86"/>
      <c r="D936" s="87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>
      <c r="A937" s="86"/>
      <c r="B937" s="86"/>
      <c r="C937" s="86"/>
      <c r="D937" s="87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>
      <c r="A938" s="86"/>
      <c r="B938" s="86"/>
      <c r="C938" s="86"/>
      <c r="D938" s="87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>
      <c r="A939" s="86"/>
      <c r="B939" s="86"/>
      <c r="C939" s="86"/>
      <c r="D939" s="87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>
      <c r="A940" s="86"/>
      <c r="B940" s="86"/>
      <c r="C940" s="86"/>
      <c r="D940" s="87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>
      <c r="A941" s="86"/>
      <c r="B941" s="86"/>
      <c r="C941" s="86"/>
      <c r="D941" s="87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>
      <c r="A942" s="86"/>
      <c r="B942" s="86"/>
      <c r="C942" s="86"/>
      <c r="D942" s="87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>
      <c r="A943" s="86"/>
      <c r="B943" s="86"/>
      <c r="C943" s="86"/>
      <c r="D943" s="87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>
      <c r="A944" s="86"/>
      <c r="B944" s="86"/>
      <c r="C944" s="86"/>
      <c r="D944" s="87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>
      <c r="A945" s="86"/>
      <c r="B945" s="86"/>
      <c r="C945" s="86"/>
      <c r="D945" s="87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>
      <c r="A946" s="86"/>
      <c r="B946" s="86"/>
      <c r="C946" s="86"/>
      <c r="D946" s="87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>
      <c r="A947" s="86"/>
      <c r="B947" s="86"/>
      <c r="C947" s="86"/>
      <c r="D947" s="87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>
      <c r="A948" s="86"/>
      <c r="B948" s="86"/>
      <c r="C948" s="86"/>
      <c r="D948" s="87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>
      <c r="A949" s="86"/>
      <c r="B949" s="86"/>
      <c r="C949" s="86"/>
      <c r="D949" s="87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>
      <c r="A950" s="86"/>
      <c r="B950" s="86"/>
      <c r="C950" s="86"/>
      <c r="D950" s="87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>
      <c r="A951" s="86"/>
      <c r="B951" s="86"/>
      <c r="C951" s="86"/>
      <c r="D951" s="87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>
      <c r="A952" s="86"/>
      <c r="B952" s="86"/>
      <c r="C952" s="86"/>
      <c r="D952" s="87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>
      <c r="A953" s="86"/>
      <c r="B953" s="86"/>
      <c r="C953" s="86"/>
      <c r="D953" s="87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>
      <c r="A954" s="86"/>
      <c r="B954" s="86"/>
      <c r="C954" s="86"/>
      <c r="D954" s="87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>
      <c r="A955" s="86"/>
      <c r="B955" s="86"/>
      <c r="C955" s="86"/>
      <c r="D955" s="87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>
      <c r="A956" s="86"/>
      <c r="B956" s="86"/>
      <c r="C956" s="86"/>
      <c r="D956" s="87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>
      <c r="A957" s="86"/>
      <c r="B957" s="86"/>
      <c r="C957" s="86"/>
      <c r="D957" s="87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>
      <c r="A958" s="86"/>
      <c r="B958" s="86"/>
      <c r="C958" s="86"/>
      <c r="D958" s="87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>
      <c r="A959" s="86"/>
      <c r="B959" s="86"/>
      <c r="C959" s="86"/>
      <c r="D959" s="87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>
      <c r="A960" s="86"/>
      <c r="B960" s="86"/>
      <c r="C960" s="86"/>
      <c r="D960" s="87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  <row r="961">
      <c r="A961" s="86"/>
      <c r="B961" s="86"/>
      <c r="C961" s="86"/>
      <c r="D961" s="87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</row>
    <row r="962">
      <c r="A962" s="86"/>
      <c r="B962" s="86"/>
      <c r="C962" s="86"/>
      <c r="D962" s="87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</row>
    <row r="963">
      <c r="A963" s="86"/>
      <c r="B963" s="86"/>
      <c r="C963" s="86"/>
      <c r="D963" s="87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</row>
    <row r="964">
      <c r="A964" s="86"/>
      <c r="B964" s="86"/>
      <c r="C964" s="86"/>
      <c r="D964" s="87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</row>
    <row r="965">
      <c r="A965" s="86"/>
      <c r="B965" s="86"/>
      <c r="C965" s="86"/>
      <c r="D965" s="87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</row>
    <row r="966">
      <c r="A966" s="86"/>
      <c r="B966" s="86"/>
      <c r="C966" s="86"/>
      <c r="D966" s="87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</row>
    <row r="967">
      <c r="A967" s="86"/>
      <c r="B967" s="86"/>
      <c r="C967" s="86"/>
      <c r="D967" s="87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</row>
    <row r="968">
      <c r="A968" s="86"/>
      <c r="B968" s="86"/>
      <c r="C968" s="86"/>
      <c r="D968" s="87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</row>
    <row r="969">
      <c r="A969" s="86"/>
      <c r="B969" s="86"/>
      <c r="C969" s="86"/>
      <c r="D969" s="87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</row>
    <row r="970">
      <c r="A970" s="86"/>
      <c r="B970" s="86"/>
      <c r="C970" s="86"/>
      <c r="D970" s="87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</row>
    <row r="971">
      <c r="A971" s="86"/>
      <c r="B971" s="86"/>
      <c r="C971" s="86"/>
      <c r="D971" s="87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</row>
    <row r="972">
      <c r="A972" s="86"/>
      <c r="B972" s="86"/>
      <c r="C972" s="86"/>
      <c r="D972" s="87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</row>
    <row r="973">
      <c r="A973" s="86"/>
      <c r="B973" s="86"/>
      <c r="C973" s="86"/>
      <c r="D973" s="87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</row>
    <row r="974">
      <c r="A974" s="86"/>
      <c r="B974" s="86"/>
      <c r="C974" s="86"/>
      <c r="D974" s="87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</row>
    <row r="975">
      <c r="A975" s="86"/>
      <c r="B975" s="86"/>
      <c r="C975" s="86"/>
      <c r="D975" s="87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</row>
    <row r="976">
      <c r="A976" s="86"/>
      <c r="B976" s="86"/>
      <c r="C976" s="86"/>
      <c r="D976" s="87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</row>
    <row r="977">
      <c r="A977" s="86"/>
      <c r="B977" s="86"/>
      <c r="C977" s="86"/>
      <c r="D977" s="87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</row>
    <row r="978">
      <c r="A978" s="86"/>
      <c r="B978" s="86"/>
      <c r="C978" s="86"/>
      <c r="D978" s="87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</row>
    <row r="979">
      <c r="A979" s="86"/>
      <c r="B979" s="86"/>
      <c r="C979" s="86"/>
      <c r="D979" s="87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</row>
    <row r="980">
      <c r="A980" s="86"/>
      <c r="B980" s="86"/>
      <c r="C980" s="86"/>
      <c r="D980" s="87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</row>
    <row r="981">
      <c r="A981" s="86"/>
      <c r="B981" s="86"/>
      <c r="C981" s="86"/>
      <c r="D981" s="87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</row>
    <row r="982">
      <c r="A982" s="86"/>
      <c r="B982" s="86"/>
      <c r="C982" s="86"/>
      <c r="D982" s="87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</row>
    <row r="983">
      <c r="A983" s="86"/>
      <c r="B983" s="86"/>
      <c r="C983" s="86"/>
      <c r="D983" s="87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</row>
    <row r="984">
      <c r="A984" s="86"/>
      <c r="B984" s="86"/>
      <c r="C984" s="86"/>
      <c r="D984" s="87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</row>
    <row r="985">
      <c r="A985" s="86"/>
      <c r="B985" s="86"/>
      <c r="C985" s="86"/>
      <c r="D985" s="87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</row>
    <row r="986">
      <c r="A986" s="86"/>
      <c r="B986" s="86"/>
      <c r="C986" s="86"/>
      <c r="D986" s="87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</row>
    <row r="987">
      <c r="A987" s="86"/>
      <c r="B987" s="86"/>
      <c r="C987" s="86"/>
      <c r="D987" s="87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</row>
    <row r="988">
      <c r="A988" s="86"/>
      <c r="B988" s="86"/>
      <c r="C988" s="86"/>
      <c r="D988" s="87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</row>
    <row r="989">
      <c r="A989" s="86"/>
      <c r="B989" s="86"/>
      <c r="C989" s="86"/>
      <c r="D989" s="87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</row>
    <row r="990">
      <c r="A990" s="86"/>
      <c r="B990" s="86"/>
      <c r="C990" s="86"/>
      <c r="D990" s="87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</row>
    <row r="991">
      <c r="A991" s="86"/>
      <c r="B991" s="86"/>
      <c r="C991" s="86"/>
      <c r="D991" s="87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</row>
    <row r="992">
      <c r="A992" s="86"/>
      <c r="B992" s="86"/>
      <c r="C992" s="86"/>
      <c r="D992" s="87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</row>
    <row r="993">
      <c r="A993" s="86"/>
      <c r="B993" s="86"/>
      <c r="C993" s="86"/>
      <c r="D993" s="87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</row>
    <row r="994">
      <c r="A994" s="86"/>
      <c r="B994" s="86"/>
      <c r="C994" s="86"/>
      <c r="D994" s="87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</row>
    <row r="995">
      <c r="A995" s="86"/>
      <c r="B995" s="86"/>
      <c r="C995" s="86"/>
      <c r="D995" s="87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</row>
    <row r="996">
      <c r="A996" s="86"/>
      <c r="B996" s="86"/>
      <c r="C996" s="86"/>
      <c r="D996" s="87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</row>
    <row r="997">
      <c r="A997" s="86"/>
      <c r="B997" s="86"/>
      <c r="C997" s="86"/>
      <c r="D997" s="87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</row>
    <row r="998">
      <c r="A998" s="86"/>
      <c r="B998" s="86"/>
      <c r="C998" s="86"/>
      <c r="D998" s="87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</row>
    <row r="999">
      <c r="A999" s="86"/>
      <c r="B999" s="86"/>
      <c r="C999" s="86"/>
      <c r="D999" s="87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</row>
    <row r="1000">
      <c r="A1000" s="86"/>
      <c r="B1000" s="86"/>
      <c r="C1000" s="86"/>
      <c r="D1000" s="87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</row>
    <row r="1001">
      <c r="A1001" s="86"/>
      <c r="B1001" s="86"/>
      <c r="C1001" s="86"/>
      <c r="D1001" s="87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</row>
  </sheetData>
  <hyperlinks>
    <hyperlink r:id="rId1" ref="D16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45.75"/>
    <col customWidth="1" min="3" max="3" width="43.0"/>
    <col customWidth="1" min="4" max="12" width="3.88"/>
  </cols>
  <sheetData>
    <row r="1">
      <c r="A1" s="99" t="str">
        <f>Masters!C5</f>
        <v>NOCCodes</v>
      </c>
      <c r="B1" s="100" t="str">
        <f>Masters!D5</f>
        <v>Occupation</v>
      </c>
      <c r="C1" s="100" t="str">
        <f>Masters!E5</f>
        <v>Career</v>
      </c>
      <c r="D1" s="99" t="str">
        <f>Masters!F5</f>
        <v>gla</v>
      </c>
      <c r="E1" s="99" t="str">
        <f>Masters!G5</f>
        <v>va</v>
      </c>
      <c r="F1" s="99" t="str">
        <f>Masters!H5</f>
        <v>na</v>
      </c>
      <c r="G1" s="99" t="str">
        <f>Masters!I5</f>
        <v>sp</v>
      </c>
      <c r="H1" s="99" t="str">
        <f>Masters!J5</f>
        <v>fp</v>
      </c>
      <c r="I1" s="99" t="str">
        <f>Masters!K5</f>
        <v>cp</v>
      </c>
      <c r="J1" s="99" t="str">
        <f>Masters!L5</f>
        <v>mc</v>
      </c>
      <c r="K1" s="99" t="str">
        <f>Masters!M5</f>
        <v>fd</v>
      </c>
      <c r="L1" s="99" t="str">
        <f>Masters!N5</f>
        <v>md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101">
        <f>Masters!C6</f>
        <v>7237</v>
      </c>
      <c r="B2" s="102" t="str">
        <f>Masters!D6</f>
        <v>Welders</v>
      </c>
      <c r="C2" s="102" t="str">
        <f>Masters!E6</f>
        <v>Welders and related machine operators</v>
      </c>
      <c r="D2" s="101">
        <f>Masters!F6</f>
        <v>3</v>
      </c>
      <c r="E2" s="101">
        <f>Masters!G6</f>
        <v>4</v>
      </c>
      <c r="F2" s="101">
        <f>Masters!H6</f>
        <v>3</v>
      </c>
      <c r="G2" s="101">
        <f>Masters!I6</f>
        <v>2</v>
      </c>
      <c r="H2" s="101">
        <f>Masters!J6</f>
        <v>3</v>
      </c>
      <c r="I2" s="101">
        <f>Masters!K6</f>
        <v>4</v>
      </c>
      <c r="J2" s="101">
        <f>Masters!L6</f>
        <v>3</v>
      </c>
      <c r="K2" s="101">
        <f>Masters!M6</f>
        <v>4</v>
      </c>
      <c r="L2" s="101">
        <f>Masters!N6</f>
        <v>3</v>
      </c>
    </row>
    <row r="3">
      <c r="A3" s="101">
        <f>Masters!C7</f>
        <v>5225</v>
      </c>
      <c r="B3" s="102" t="str">
        <f>Masters!D7</f>
        <v>Audio and Video Recording Technicians</v>
      </c>
      <c r="C3" s="102" t="str">
        <f>Masters!E7</f>
        <v>Audio and video recording technicians</v>
      </c>
      <c r="D3" s="101">
        <f>Masters!F7</f>
        <v>3</v>
      </c>
      <c r="E3" s="101">
        <f>Masters!G7</f>
        <v>3</v>
      </c>
      <c r="F3" s="101">
        <f>Masters!H7</f>
        <v>3</v>
      </c>
      <c r="G3" s="101">
        <f>Masters!I7</f>
        <v>3</v>
      </c>
      <c r="H3" s="101">
        <f>Masters!J7</f>
        <v>3</v>
      </c>
      <c r="I3" s="101">
        <f>Masters!K7</f>
        <v>4</v>
      </c>
      <c r="J3" s="101">
        <f>Masters!L7</f>
        <v>3</v>
      </c>
      <c r="K3" s="101">
        <f>Masters!M7</f>
        <v>3</v>
      </c>
      <c r="L3" s="101">
        <f>Masters!N7</f>
        <v>3</v>
      </c>
    </row>
    <row r="4">
      <c r="A4" s="101">
        <f>Masters!C8</f>
        <v>2244</v>
      </c>
      <c r="B4" s="102" t="str">
        <f>Masters!D8</f>
        <v>Avionics Inspectors</v>
      </c>
      <c r="C4" s="102" t="str">
        <f>Masters!E8</f>
        <v>Aircraft instrument, electrical and avionics mechanics, technicians and inspectors</v>
      </c>
      <c r="D4" s="101">
        <f>Masters!F8</f>
        <v>3</v>
      </c>
      <c r="E4" s="101">
        <f>Masters!G8</f>
        <v>3</v>
      </c>
      <c r="F4" s="101">
        <f>Masters!H8</f>
        <v>3</v>
      </c>
      <c r="G4" s="101">
        <f>Masters!I8</f>
        <v>2</v>
      </c>
      <c r="H4" s="101">
        <f>Masters!J8</f>
        <v>2</v>
      </c>
      <c r="I4" s="101">
        <f>Masters!K8</f>
        <v>4</v>
      </c>
      <c r="J4" s="101">
        <f>Masters!L8</f>
        <v>3</v>
      </c>
      <c r="K4" s="101">
        <f>Masters!M8</f>
        <v>2</v>
      </c>
      <c r="L4" s="101">
        <f>Masters!N8</f>
        <v>2</v>
      </c>
    </row>
    <row r="5">
      <c r="A5" s="101">
        <f>Masters!C9</f>
        <v>6332</v>
      </c>
      <c r="B5" s="102" t="str">
        <f>Masters!D9</f>
        <v>Bakers</v>
      </c>
      <c r="C5" s="102" t="str">
        <f>Masters!E9</f>
        <v>Bakers</v>
      </c>
      <c r="D5" s="101">
        <f>Masters!F9</f>
        <v>3</v>
      </c>
      <c r="E5" s="101">
        <f>Masters!G9</f>
        <v>3</v>
      </c>
      <c r="F5" s="101">
        <f>Masters!H9</f>
        <v>3</v>
      </c>
      <c r="G5" s="101">
        <f>Masters!I9</f>
        <v>3</v>
      </c>
      <c r="H5" s="101">
        <f>Masters!J9</f>
        <v>3</v>
      </c>
      <c r="I5" s="101">
        <f>Masters!K9</f>
        <v>4</v>
      </c>
      <c r="J5" s="101">
        <f>Masters!L9</f>
        <v>3</v>
      </c>
      <c r="K5" s="101">
        <f>Masters!M9</f>
        <v>3</v>
      </c>
      <c r="L5" s="101">
        <f>Masters!N9</f>
        <v>3</v>
      </c>
    </row>
    <row r="6">
      <c r="A6" s="101">
        <f>Masters!C10</f>
        <v>6341</v>
      </c>
      <c r="B6" s="102" t="str">
        <f>Masters!D10</f>
        <v>Barbers</v>
      </c>
      <c r="C6" s="102" t="str">
        <f>Masters!E10</f>
        <v>Hairstylists and barbers</v>
      </c>
      <c r="D6" s="101">
        <f>Masters!F10</f>
        <v>3</v>
      </c>
      <c r="E6" s="101">
        <f>Masters!G10</f>
        <v>3</v>
      </c>
      <c r="F6" s="101">
        <f>Masters!H10</f>
        <v>4</v>
      </c>
      <c r="G6" s="101">
        <f>Masters!I10</f>
        <v>4</v>
      </c>
      <c r="H6" s="101">
        <f>Masters!J10</f>
        <v>3</v>
      </c>
      <c r="I6" s="101">
        <f>Masters!K10</f>
        <v>4</v>
      </c>
      <c r="J6" s="101">
        <f>Masters!L10</f>
        <v>3</v>
      </c>
      <c r="K6" s="101">
        <f>Masters!M10</f>
        <v>3</v>
      </c>
      <c r="L6" s="101">
        <f>Masters!N10</f>
        <v>3</v>
      </c>
    </row>
    <row r="7">
      <c r="A7" s="101">
        <f>Masters!C11</f>
        <v>9473</v>
      </c>
      <c r="B7" s="102" t="str">
        <f>Masters!D11</f>
        <v>Binding and Finishing Machine Operators</v>
      </c>
      <c r="C7" s="102" t="str">
        <f>Masters!E11</f>
        <v>Binding and finishing machine operators</v>
      </c>
      <c r="D7" s="101">
        <f>Masters!F11</f>
        <v>3</v>
      </c>
      <c r="E7" s="101">
        <f>Masters!G11</f>
        <v>3</v>
      </c>
      <c r="F7" s="101">
        <f>Masters!H11</f>
        <v>4</v>
      </c>
      <c r="G7" s="101">
        <f>Masters!I11</f>
        <v>3</v>
      </c>
      <c r="H7" s="101">
        <f>Masters!J11</f>
        <v>3</v>
      </c>
      <c r="I7" s="101">
        <f>Masters!K11</f>
        <v>4</v>
      </c>
      <c r="J7" s="101">
        <f>Masters!L11</f>
        <v>3</v>
      </c>
      <c r="K7" s="101">
        <f>Masters!M11</f>
        <v>4</v>
      </c>
      <c r="L7" s="101">
        <f>Masters!N11</f>
        <v>3</v>
      </c>
    </row>
    <row r="8">
      <c r="A8" s="101">
        <f>Masters!C12</f>
        <v>2221</v>
      </c>
      <c r="B8" s="102" t="str">
        <f>Masters!D12</f>
        <v>Biological Technicians</v>
      </c>
      <c r="C8" s="102" t="str">
        <f>Masters!E12</f>
        <v>Biological technologists and technicians</v>
      </c>
      <c r="D8" s="101">
        <f>Masters!F12</f>
        <v>2</v>
      </c>
      <c r="E8" s="101">
        <f>Masters!G12</f>
        <v>3</v>
      </c>
      <c r="F8" s="101">
        <f>Masters!H12</f>
        <v>3</v>
      </c>
      <c r="G8" s="101">
        <f>Masters!I12</f>
        <v>3</v>
      </c>
      <c r="H8" s="101">
        <f>Masters!J12</f>
        <v>2</v>
      </c>
      <c r="I8" s="101">
        <f>Masters!K12</f>
        <v>3</v>
      </c>
      <c r="J8" s="101">
        <f>Masters!L12</f>
        <v>3</v>
      </c>
      <c r="K8" s="101">
        <f>Masters!M12</f>
        <v>2</v>
      </c>
      <c r="L8" s="101">
        <f>Masters!N12</f>
        <v>3</v>
      </c>
    </row>
    <row r="9">
      <c r="A9" s="101">
        <f>Masters!C13</f>
        <v>2222</v>
      </c>
      <c r="B9" s="102" t="str">
        <f>Masters!D13</f>
        <v>Agricultural and Related Service Contractors and Managers</v>
      </c>
      <c r="C9" s="102" t="str">
        <f>Masters!E13</f>
        <v>Agricultural and fish products inspectors</v>
      </c>
      <c r="D9" s="101">
        <f>Masters!F13</f>
        <v>3</v>
      </c>
      <c r="E9" s="101">
        <f>Masters!G13</f>
        <v>4</v>
      </c>
      <c r="F9" s="101">
        <f>Masters!H13</f>
        <v>4</v>
      </c>
      <c r="G9" s="101">
        <f>Masters!I13</f>
        <v>3</v>
      </c>
      <c r="H9" s="101">
        <f>Masters!J13</f>
        <v>4</v>
      </c>
      <c r="I9" s="101">
        <f>Masters!K13</f>
        <v>4</v>
      </c>
      <c r="J9" s="101">
        <f>Masters!L13</f>
        <v>3</v>
      </c>
      <c r="K9" s="101">
        <f>Masters!M13</f>
        <v>4</v>
      </c>
      <c r="L9" s="101">
        <f>Masters!N13</f>
        <v>3</v>
      </c>
    </row>
    <row r="10">
      <c r="A10" s="101">
        <f>Masters!C14</f>
        <v>9524</v>
      </c>
      <c r="B10" s="102" t="str">
        <f>Masters!D14</f>
        <v>Assemblers, Electrical Appliance, Apparatus and Equipment Manufacturing</v>
      </c>
      <c r="C10" s="102" t="str">
        <f>Masters!E14</f>
        <v>Assemblers and inspectors, electrical appliance, apparatus and equipment manufacturing</v>
      </c>
      <c r="D10" s="101">
        <f>Masters!F14</f>
        <v>3</v>
      </c>
      <c r="E10" s="101">
        <f>Masters!G14</f>
        <v>4</v>
      </c>
      <c r="F10" s="101">
        <f>Masters!H14</f>
        <v>4</v>
      </c>
      <c r="G10" s="101">
        <f>Masters!I14</f>
        <v>4</v>
      </c>
      <c r="H10" s="101">
        <f>Masters!J14</f>
        <v>4</v>
      </c>
      <c r="I10" s="101">
        <f>Masters!K14</f>
        <v>4</v>
      </c>
      <c r="J10" s="101">
        <f>Masters!L14</f>
        <v>3</v>
      </c>
      <c r="K10" s="101">
        <f>Masters!M14</f>
        <v>3</v>
      </c>
      <c r="L10" s="101">
        <f>Masters!N14</f>
        <v>3</v>
      </c>
    </row>
    <row r="11">
      <c r="A11" s="101">
        <f>Masters!C15</f>
        <v>9531</v>
      </c>
      <c r="B11" s="102" t="str">
        <f>Masters!D15</f>
        <v>Boat Assemblers</v>
      </c>
      <c r="C11" s="102" t="str">
        <f>Masters!E15</f>
        <v>Boat assemblers and inspectors</v>
      </c>
      <c r="D11" s="101">
        <f>Masters!F15</f>
        <v>3</v>
      </c>
      <c r="E11" s="101">
        <f>Masters!G15</f>
        <v>4</v>
      </c>
      <c r="F11" s="101">
        <f>Masters!H15</f>
        <v>4</v>
      </c>
      <c r="G11" s="101">
        <f>Masters!I15</f>
        <v>3</v>
      </c>
      <c r="H11" s="101">
        <f>Masters!J15</f>
        <v>3</v>
      </c>
      <c r="I11" s="101">
        <f>Masters!K15</f>
        <v>5</v>
      </c>
      <c r="J11" s="101">
        <f>Masters!L15</f>
        <v>3</v>
      </c>
      <c r="K11" s="101">
        <f>Masters!M15</f>
        <v>4</v>
      </c>
      <c r="L11" s="101">
        <f>Masters!N15</f>
        <v>3</v>
      </c>
    </row>
    <row r="12">
      <c r="A12" s="101">
        <f>Masters!C16</f>
        <v>5232</v>
      </c>
      <c r="B12" s="102" t="str">
        <f>Masters!D16</f>
        <v>Buskers</v>
      </c>
      <c r="C12" s="102" t="str">
        <f>Masters!E16</f>
        <v>Other performers, n.e.c.</v>
      </c>
      <c r="D12" s="101">
        <f>Masters!F16</f>
        <v>3</v>
      </c>
      <c r="E12" s="101">
        <f>Masters!G16</f>
        <v>2</v>
      </c>
      <c r="F12" s="101">
        <f>Masters!H16</f>
        <v>4</v>
      </c>
      <c r="G12" s="101">
        <f>Masters!I16</f>
        <v>3</v>
      </c>
      <c r="H12" s="101">
        <f>Masters!J16</f>
        <v>3</v>
      </c>
      <c r="I12" s="101">
        <f>Masters!K16</f>
        <v>4</v>
      </c>
      <c r="J12" s="101">
        <f>Masters!L16</f>
        <v>3</v>
      </c>
      <c r="K12" s="101">
        <f>Masters!M16</f>
        <v>3</v>
      </c>
      <c r="L12" s="101">
        <f>Masters!N16</f>
        <v>3</v>
      </c>
    </row>
    <row r="13">
      <c r="A13" s="101">
        <f>Masters!C17</f>
        <v>7247</v>
      </c>
      <c r="B13" s="102" t="str">
        <f>Masters!D17</f>
        <v>Cable Television Maintenance Technicians</v>
      </c>
      <c r="C13" s="102" t="str">
        <f>Masters!E17</f>
        <v>Cable television service and maintenance technicians</v>
      </c>
      <c r="D13" s="101">
        <f>Masters!F17</f>
        <v>3</v>
      </c>
      <c r="E13" s="101">
        <f>Masters!G17</f>
        <v>3</v>
      </c>
      <c r="F13" s="101">
        <f>Masters!H17</f>
        <v>4</v>
      </c>
      <c r="G13" s="101">
        <f>Masters!I17</f>
        <v>3</v>
      </c>
      <c r="H13" s="101">
        <f>Masters!J17</f>
        <v>4</v>
      </c>
      <c r="I13" s="101">
        <f>Masters!K17</f>
        <v>4</v>
      </c>
      <c r="J13" s="101">
        <f>Masters!L17</f>
        <v>3</v>
      </c>
      <c r="K13" s="101">
        <f>Masters!M17</f>
        <v>3</v>
      </c>
      <c r="L13" s="101">
        <f>Masters!N17</f>
        <v>3</v>
      </c>
    </row>
    <row r="14">
      <c r="A14" s="101">
        <f>Masters!C18</f>
        <v>7247</v>
      </c>
      <c r="B14" s="102" t="str">
        <f>Masters!D18</f>
        <v>Cable Television Service Technicians</v>
      </c>
      <c r="C14" s="102" t="str">
        <f>Masters!E18</f>
        <v>Cable television service and maintenance technicians</v>
      </c>
      <c r="D14" s="101">
        <f>Masters!F18</f>
        <v>3</v>
      </c>
      <c r="E14" s="101">
        <f>Masters!G18</f>
        <v>3</v>
      </c>
      <c r="F14" s="101">
        <f>Masters!H18</f>
        <v>4</v>
      </c>
      <c r="G14" s="101">
        <f>Masters!I18</f>
        <v>3</v>
      </c>
      <c r="H14" s="101">
        <f>Masters!J18</f>
        <v>4</v>
      </c>
      <c r="I14" s="101">
        <f>Masters!K18</f>
        <v>4</v>
      </c>
      <c r="J14" s="101">
        <f>Masters!L18</f>
        <v>3</v>
      </c>
      <c r="K14" s="101">
        <f>Masters!M18</f>
        <v>3</v>
      </c>
      <c r="L14" s="101">
        <f>Masters!N18</f>
        <v>3</v>
      </c>
    </row>
    <row r="15">
      <c r="A15" s="101">
        <f>Masters!C19</f>
        <v>9531</v>
      </c>
      <c r="B15" s="102" t="str">
        <f>Masters!D19</f>
        <v>Boat Inspectors</v>
      </c>
      <c r="C15" s="102" t="str">
        <f>Masters!E19</f>
        <v>Boat assemblers and inspectors</v>
      </c>
      <c r="D15" s="101">
        <f>Masters!F19</f>
        <v>3</v>
      </c>
      <c r="E15" s="101">
        <f>Masters!G19</f>
        <v>4</v>
      </c>
      <c r="F15" s="101">
        <f>Masters!H19</f>
        <v>4</v>
      </c>
      <c r="G15" s="101">
        <f>Masters!I19</f>
        <v>3</v>
      </c>
      <c r="H15" s="101">
        <f>Masters!J19</f>
        <v>3</v>
      </c>
      <c r="I15" s="101">
        <f>Masters!K19</f>
        <v>5</v>
      </c>
      <c r="J15" s="101">
        <f>Masters!L19</f>
        <v>3</v>
      </c>
      <c r="K15" s="101">
        <f>Masters!M19</f>
        <v>4</v>
      </c>
      <c r="L15" s="101">
        <f>Masters!N19</f>
        <v>3</v>
      </c>
    </row>
    <row r="16">
      <c r="A16" s="101">
        <f>Masters!C20</f>
        <v>3214</v>
      </c>
      <c r="B16" s="102" t="str">
        <f>Masters!D20</f>
        <v>Cardiopulmonary Technologists</v>
      </c>
      <c r="C16" s="102" t="str">
        <f>Masters!E20</f>
        <v>Respiratory therapists, clinical perfusionists and cardiopulmonary technologists</v>
      </c>
      <c r="D16" s="101">
        <f>Masters!F20</f>
        <v>3</v>
      </c>
      <c r="E16" s="101">
        <f>Masters!G20</f>
        <v>3</v>
      </c>
      <c r="F16" s="101">
        <f>Masters!H20</f>
        <v>3</v>
      </c>
      <c r="G16" s="101">
        <f>Masters!I20</f>
        <v>3</v>
      </c>
      <c r="H16" s="101">
        <f>Masters!J20</f>
        <v>3</v>
      </c>
      <c r="I16" s="101">
        <f>Masters!K20</f>
        <v>4</v>
      </c>
      <c r="J16" s="101">
        <f>Masters!L20</f>
        <v>3</v>
      </c>
      <c r="K16" s="101">
        <f>Masters!M20</f>
        <v>3</v>
      </c>
      <c r="L16" s="101">
        <f>Masters!N20</f>
        <v>3</v>
      </c>
    </row>
    <row r="17">
      <c r="A17" s="101">
        <f>Masters!C21</f>
        <v>7271</v>
      </c>
      <c r="B17" s="102" t="str">
        <f>Masters!D21</f>
        <v>Carpenters</v>
      </c>
      <c r="C17" s="102" t="str">
        <f>Masters!E21</f>
        <v>Carpenters</v>
      </c>
      <c r="D17" s="101">
        <f>Masters!F21</f>
        <v>3</v>
      </c>
      <c r="E17" s="101">
        <f>Masters!G21</f>
        <v>3</v>
      </c>
      <c r="F17" s="101">
        <f>Masters!H21</f>
        <v>3</v>
      </c>
      <c r="G17" s="101">
        <f>Masters!I21</f>
        <v>3</v>
      </c>
      <c r="H17" s="101">
        <f>Masters!J21</f>
        <v>3</v>
      </c>
      <c r="I17" s="101">
        <f>Masters!K21</f>
        <v>4</v>
      </c>
      <c r="J17" s="101">
        <f>Masters!L21</f>
        <v>3</v>
      </c>
      <c r="K17" s="101">
        <f>Masters!M21</f>
        <v>3</v>
      </c>
      <c r="L17" s="101">
        <f>Masters!N21</f>
        <v>3</v>
      </c>
    </row>
    <row r="18">
      <c r="A18" s="101">
        <f>Masters!C22</f>
        <v>3122</v>
      </c>
      <c r="B18" s="102" t="str">
        <f>Masters!D22</f>
        <v>Chiropodists and Podiatrists</v>
      </c>
      <c r="C18" s="102" t="str">
        <f>Masters!E22</f>
        <v>Chiropractors</v>
      </c>
      <c r="D18" s="101">
        <f>Masters!F22</f>
        <v>2</v>
      </c>
      <c r="E18" s="101">
        <f>Masters!G22</f>
        <v>2</v>
      </c>
      <c r="F18" s="101">
        <f>Masters!H22</f>
        <v>3</v>
      </c>
      <c r="G18" s="101">
        <f>Masters!I22</f>
        <v>2</v>
      </c>
      <c r="H18" s="101">
        <f>Masters!J22</f>
        <v>2</v>
      </c>
      <c r="I18" s="101">
        <f>Masters!K22</f>
        <v>4</v>
      </c>
      <c r="J18" s="101">
        <f>Masters!L22</f>
        <v>3</v>
      </c>
      <c r="K18" s="101">
        <f>Masters!M22</f>
        <v>3</v>
      </c>
      <c r="L18" s="101">
        <f>Masters!N22</f>
        <v>3</v>
      </c>
    </row>
    <row r="19">
      <c r="A19" s="101">
        <f>Masters!C23</f>
        <v>5232</v>
      </c>
      <c r="B19" s="102" t="str">
        <f>Masters!D23</f>
        <v>Circus Performers</v>
      </c>
      <c r="C19" s="102" t="str">
        <f>Masters!E23</f>
        <v>Other performers, n.e.c.</v>
      </c>
      <c r="D19" s="101">
        <f>Masters!F23</f>
        <v>3</v>
      </c>
      <c r="E19" s="101">
        <f>Masters!G23</f>
        <v>3</v>
      </c>
      <c r="F19" s="101">
        <f>Masters!H23</f>
        <v>4</v>
      </c>
      <c r="G19" s="101">
        <f>Masters!I23</f>
        <v>3</v>
      </c>
      <c r="H19" s="101">
        <f>Masters!J23</f>
        <v>3</v>
      </c>
      <c r="I19" s="101">
        <f>Masters!K23</f>
        <v>5</v>
      </c>
      <c r="J19" s="101">
        <f>Masters!L23</f>
        <v>3</v>
      </c>
      <c r="K19" s="101">
        <f>Masters!M23</f>
        <v>3</v>
      </c>
      <c r="L19" s="101">
        <f>Masters!N23</f>
        <v>3</v>
      </c>
    </row>
    <row r="20">
      <c r="A20" s="101">
        <f>Masters!C24</f>
        <v>3214</v>
      </c>
      <c r="B20" s="102" t="str">
        <f>Masters!D24</f>
        <v>Clinical Perfusionists</v>
      </c>
      <c r="C20" s="102" t="str">
        <f>Masters!E24</f>
        <v>Respiratory therapists, clinical perfusionists and cardiopulmonary technologists</v>
      </c>
      <c r="D20" s="101">
        <f>Masters!F24</f>
        <v>3</v>
      </c>
      <c r="E20" s="101">
        <f>Masters!G24</f>
        <v>3</v>
      </c>
      <c r="F20" s="101">
        <f>Masters!H24</f>
        <v>3</v>
      </c>
      <c r="G20" s="101">
        <f>Masters!I24</f>
        <v>3</v>
      </c>
      <c r="H20" s="101">
        <f>Masters!J24</f>
        <v>3</v>
      </c>
      <c r="I20" s="101">
        <f>Masters!K24</f>
        <v>4</v>
      </c>
      <c r="J20" s="101">
        <f>Masters!L24</f>
        <v>3</v>
      </c>
      <c r="K20" s="101">
        <f>Masters!M24</f>
        <v>3</v>
      </c>
      <c r="L20" s="101">
        <f>Masters!N24</f>
        <v>3</v>
      </c>
    </row>
    <row r="21">
      <c r="A21" s="101">
        <f>Masters!C25</f>
        <v>7384</v>
      </c>
      <c r="B21" s="102" t="str">
        <f>Masters!D25</f>
        <v>Commercial Divers</v>
      </c>
      <c r="C21" s="102" t="str">
        <f>Masters!E25</f>
        <v>Other trades and related occupations, n.e.c.</v>
      </c>
      <c r="D21" s="101">
        <f>Masters!F25</f>
        <v>3</v>
      </c>
      <c r="E21" s="101">
        <f>Masters!G25</f>
        <v>3</v>
      </c>
      <c r="F21" s="101">
        <f>Masters!H25</f>
        <v>4</v>
      </c>
      <c r="G21" s="101">
        <f>Masters!I25</f>
        <v>3</v>
      </c>
      <c r="H21" s="101">
        <f>Masters!J25</f>
        <v>3</v>
      </c>
      <c r="I21" s="101">
        <f>Masters!K25</f>
        <v>5</v>
      </c>
      <c r="J21" s="101">
        <f>Masters!L25</f>
        <v>3</v>
      </c>
      <c r="K21" s="101">
        <f>Masters!M25</f>
        <v>3</v>
      </c>
      <c r="L21" s="101">
        <f>Masters!N25</f>
        <v>3</v>
      </c>
    </row>
    <row r="22">
      <c r="A22" s="101">
        <f>Masters!C26</f>
        <v>5132</v>
      </c>
      <c r="B22" s="102" t="str">
        <f>Masters!D26</f>
        <v>Conductors</v>
      </c>
      <c r="C22" s="102" t="str">
        <f>Masters!E26</f>
        <v>Conductors, composers and arrangers</v>
      </c>
      <c r="D22" s="101">
        <f>Masters!F26</f>
        <v>1</v>
      </c>
      <c r="E22" s="101">
        <f>Masters!G26</f>
        <v>2</v>
      </c>
      <c r="F22" s="101">
        <f>Masters!H26</f>
        <v>3</v>
      </c>
      <c r="G22" s="101">
        <f>Masters!I26</f>
        <v>3</v>
      </c>
      <c r="H22" s="101">
        <f>Masters!J26</f>
        <v>3</v>
      </c>
      <c r="I22" s="101">
        <f>Masters!K26</f>
        <v>2</v>
      </c>
      <c r="J22" s="101">
        <f>Masters!L26</f>
        <v>2</v>
      </c>
      <c r="K22" s="101">
        <f>Masters!M26</f>
        <v>3</v>
      </c>
      <c r="L22" s="101">
        <f>Masters!N26</f>
        <v>3</v>
      </c>
    </row>
    <row r="23">
      <c r="A23" s="101">
        <f>Masters!C27</f>
        <v>5212</v>
      </c>
      <c r="B23" s="102" t="str">
        <f>Masters!D27</f>
        <v>Conservation and Restoration Technicians</v>
      </c>
      <c r="C23" s="102" t="str">
        <f>Masters!E27</f>
        <v>Technical occupations related to museums and art galleries</v>
      </c>
      <c r="D23" s="101">
        <f>Masters!F27</f>
        <v>3</v>
      </c>
      <c r="E23" s="101">
        <f>Masters!G27</f>
        <v>3</v>
      </c>
      <c r="F23" s="101">
        <f>Masters!H27</f>
        <v>4</v>
      </c>
      <c r="G23" s="101">
        <f>Masters!I27</f>
        <v>3</v>
      </c>
      <c r="H23" s="101">
        <f>Masters!J27</f>
        <v>3</v>
      </c>
      <c r="I23" s="101">
        <f>Masters!K27</f>
        <v>4</v>
      </c>
      <c r="J23" s="101">
        <f>Masters!L27</f>
        <v>3</v>
      </c>
      <c r="K23" s="101">
        <f>Masters!M27</f>
        <v>2</v>
      </c>
      <c r="L23" s="101">
        <f>Masters!N27</f>
        <v>3</v>
      </c>
    </row>
    <row r="24">
      <c r="A24" s="101">
        <f>Masters!C28</f>
        <v>5112</v>
      </c>
      <c r="B24" s="102" t="str">
        <f>Masters!D28</f>
        <v>Conservators</v>
      </c>
      <c r="C24" s="102" t="str">
        <f>Masters!E28</f>
        <v>Conservators and curators</v>
      </c>
      <c r="D24" s="101">
        <f>Masters!F28</f>
        <v>2</v>
      </c>
      <c r="E24" s="101">
        <f>Masters!G28</f>
        <v>2</v>
      </c>
      <c r="F24" s="101">
        <f>Masters!H28</f>
        <v>3</v>
      </c>
      <c r="G24" s="101">
        <f>Masters!I28</f>
        <v>2</v>
      </c>
      <c r="H24" s="101">
        <f>Masters!J28</f>
        <v>2</v>
      </c>
      <c r="I24" s="101">
        <f>Masters!K28</f>
        <v>4</v>
      </c>
      <c r="J24" s="101">
        <f>Masters!L28</f>
        <v>3</v>
      </c>
      <c r="K24" s="101">
        <f>Masters!M28</f>
        <v>3</v>
      </c>
      <c r="L24" s="101">
        <f>Masters!N28</f>
        <v>3</v>
      </c>
    </row>
    <row r="25">
      <c r="A25" s="101">
        <f>Masters!C29</f>
        <v>7204</v>
      </c>
      <c r="B25" s="102" t="str">
        <f>Masters!D29</f>
        <v>Contractors and Supervisors, Carpentry Trades</v>
      </c>
      <c r="C25" s="102" t="str">
        <f>Masters!E29</f>
        <v>Contractors and supervisors, carpentry trades</v>
      </c>
      <c r="D25" s="101">
        <f>Masters!F29</f>
        <v>3</v>
      </c>
      <c r="E25" s="101">
        <f>Masters!G29</f>
        <v>3</v>
      </c>
      <c r="F25" s="101">
        <f>Masters!H29</f>
        <v>3</v>
      </c>
      <c r="G25" s="101">
        <f>Masters!I29</f>
        <v>3</v>
      </c>
      <c r="H25" s="101">
        <f>Masters!J29</f>
        <v>3</v>
      </c>
      <c r="I25" s="101">
        <f>Masters!K29</f>
        <v>3</v>
      </c>
      <c r="J25" s="101">
        <f>Masters!L29</f>
        <v>3</v>
      </c>
      <c r="K25" s="101">
        <f>Masters!M29</f>
        <v>4</v>
      </c>
      <c r="L25" s="101">
        <f>Masters!N29</f>
        <v>3</v>
      </c>
    </row>
    <row r="26">
      <c r="A26" s="101">
        <f>Masters!C30</f>
        <v>7202</v>
      </c>
      <c r="B26" s="102" t="str">
        <f>Masters!D30</f>
        <v>Contractors and Supervisors, Electrical Trades and Telecommunications Occupations</v>
      </c>
      <c r="C26" s="102" t="str">
        <f>Masters!E30</f>
        <v>Contractors and supervisors, electrical trades and telecommunications occupations</v>
      </c>
      <c r="D26" s="101">
        <f>Masters!F30</f>
        <v>3</v>
      </c>
      <c r="E26" s="101">
        <f>Masters!G30</f>
        <v>3</v>
      </c>
      <c r="F26" s="101">
        <f>Masters!H30</f>
        <v>3</v>
      </c>
      <c r="G26" s="101">
        <f>Masters!I30</f>
        <v>3</v>
      </c>
      <c r="H26" s="101">
        <f>Masters!J30</f>
        <v>3</v>
      </c>
      <c r="I26" s="101">
        <f>Masters!K30</f>
        <v>3</v>
      </c>
      <c r="J26" s="101">
        <f>Masters!L30</f>
        <v>3</v>
      </c>
      <c r="K26" s="101">
        <f>Masters!M30</f>
        <v>4</v>
      </c>
      <c r="L26" s="101">
        <f>Masters!N30</f>
        <v>3</v>
      </c>
    </row>
    <row r="27">
      <c r="A27" s="101">
        <f>Masters!C31</f>
        <v>7302</v>
      </c>
      <c r="B27" s="102" t="str">
        <f>Masters!D31</f>
        <v>Contractors and Supervisors, Heavy Construction Equipment Crews</v>
      </c>
      <c r="C27" s="102" t="str">
        <f>Masters!E31</f>
        <v>Contractors and supervisors, heavy equipment operator crews</v>
      </c>
      <c r="D27" s="101">
        <f>Masters!F31</f>
        <v>3</v>
      </c>
      <c r="E27" s="101">
        <f>Masters!G31</f>
        <v>3</v>
      </c>
      <c r="F27" s="101">
        <f>Masters!H31</f>
        <v>3</v>
      </c>
      <c r="G27" s="101">
        <f>Masters!I31</f>
        <v>3</v>
      </c>
      <c r="H27" s="101">
        <f>Masters!J31</f>
        <v>3</v>
      </c>
      <c r="I27" s="101">
        <f>Masters!K31</f>
        <v>3</v>
      </c>
      <c r="J27" s="101">
        <f>Masters!L31</f>
        <v>3</v>
      </c>
      <c r="K27" s="101">
        <f>Masters!M31</f>
        <v>4</v>
      </c>
      <c r="L27" s="101">
        <f>Masters!N31</f>
        <v>3</v>
      </c>
    </row>
    <row r="28">
      <c r="A28" s="101">
        <f>Masters!C32</f>
        <v>7301</v>
      </c>
      <c r="B28" s="102" t="str">
        <f>Masters!D32</f>
        <v>Contractors and Supervisors, Mechanic Trades</v>
      </c>
      <c r="C28" s="102" t="str">
        <f>Masters!E32</f>
        <v>Contractors and supervisors, mechanic trades</v>
      </c>
      <c r="D28" s="101">
        <f>Masters!F32</f>
        <v>3</v>
      </c>
      <c r="E28" s="101">
        <f>Masters!G32</f>
        <v>3</v>
      </c>
      <c r="F28" s="101">
        <f>Masters!H32</f>
        <v>3</v>
      </c>
      <c r="G28" s="101">
        <f>Masters!I32</f>
        <v>3</v>
      </c>
      <c r="H28" s="101">
        <f>Masters!J32</f>
        <v>3</v>
      </c>
      <c r="I28" s="101">
        <f>Masters!K32</f>
        <v>3</v>
      </c>
      <c r="J28" s="101">
        <f>Masters!L32</f>
        <v>3</v>
      </c>
      <c r="K28" s="101">
        <f>Masters!M32</f>
        <v>4</v>
      </c>
      <c r="L28" s="101">
        <f>Masters!N32</f>
        <v>3</v>
      </c>
    </row>
    <row r="29">
      <c r="A29" s="101">
        <f>Masters!C33</f>
        <v>7201</v>
      </c>
      <c r="B29" s="102" t="str">
        <f>Masters!D33</f>
        <v>Contractors and Supervisors, Metal Forming, Shaping and Erecting Trades</v>
      </c>
      <c r="C29" s="102" t="str">
        <f>Masters!E33</f>
        <v>Contractors and supervisors, machining, metal forming, shaping and erecting trades and related occupations</v>
      </c>
      <c r="D29" s="101">
        <f>Masters!F33</f>
        <v>3</v>
      </c>
      <c r="E29" s="101">
        <f>Masters!G33</f>
        <v>3</v>
      </c>
      <c r="F29" s="101">
        <f>Masters!H33</f>
        <v>3</v>
      </c>
      <c r="G29" s="101">
        <f>Masters!I33</f>
        <v>3</v>
      </c>
      <c r="H29" s="101">
        <f>Masters!J33</f>
        <v>3</v>
      </c>
      <c r="I29" s="101">
        <f>Masters!K33</f>
        <v>3</v>
      </c>
      <c r="J29" s="101">
        <f>Masters!L33</f>
        <v>3</v>
      </c>
      <c r="K29" s="101">
        <f>Masters!M33</f>
        <v>4</v>
      </c>
      <c r="L29" s="101">
        <f>Masters!N33</f>
        <v>3</v>
      </c>
    </row>
    <row r="30">
      <c r="A30" s="101">
        <f>Masters!C34</f>
        <v>7205</v>
      </c>
      <c r="B30" s="102" t="str">
        <f>Masters!D34</f>
        <v>Contractors and Supervisors, Other Construction Trades, Installers, Repairers and Servicers</v>
      </c>
      <c r="C30" s="102" t="str">
        <f>Masters!E34</f>
        <v>Contractors and supervisors, other construction trades, installers, repairers and servicers</v>
      </c>
      <c r="D30" s="101">
        <f>Masters!F34</f>
        <v>3</v>
      </c>
      <c r="E30" s="101">
        <f>Masters!G34</f>
        <v>3</v>
      </c>
      <c r="F30" s="101">
        <f>Masters!H34</f>
        <v>3</v>
      </c>
      <c r="G30" s="101">
        <f>Masters!I34</f>
        <v>3</v>
      </c>
      <c r="H30" s="101">
        <f>Masters!J34</f>
        <v>3</v>
      </c>
      <c r="I30" s="101">
        <f>Masters!K34</f>
        <v>3</v>
      </c>
      <c r="J30" s="101">
        <f>Masters!L34</f>
        <v>3</v>
      </c>
      <c r="K30" s="101">
        <f>Masters!M34</f>
        <v>4</v>
      </c>
      <c r="L30" s="101">
        <f>Masters!N34</f>
        <v>3</v>
      </c>
    </row>
    <row r="31">
      <c r="A31" s="101">
        <f>Masters!C35</f>
        <v>7203</v>
      </c>
      <c r="B31" s="102" t="str">
        <f>Masters!D35</f>
        <v>Contractors and Supervisors, Pipefitting Trades</v>
      </c>
      <c r="C31" s="102" t="str">
        <f>Masters!E35</f>
        <v>Contractors and supervisors, pipefitting trades</v>
      </c>
      <c r="D31" s="101">
        <f>Masters!F35</f>
        <v>3</v>
      </c>
      <c r="E31" s="101">
        <f>Masters!G35</f>
        <v>3</v>
      </c>
      <c r="F31" s="101">
        <f>Masters!H35</f>
        <v>3</v>
      </c>
      <c r="G31" s="101">
        <f>Masters!I35</f>
        <v>3</v>
      </c>
      <c r="H31" s="101">
        <f>Masters!J35</f>
        <v>3</v>
      </c>
      <c r="I31" s="101">
        <f>Masters!K35</f>
        <v>3</v>
      </c>
      <c r="J31" s="101">
        <f>Masters!L35</f>
        <v>3</v>
      </c>
      <c r="K31" s="101">
        <f>Masters!M35</f>
        <v>4</v>
      </c>
      <c r="L31" s="101">
        <f>Masters!N35</f>
        <v>3</v>
      </c>
    </row>
    <row r="32">
      <c r="A32" s="101">
        <f>Masters!C36</f>
        <v>1422</v>
      </c>
      <c r="B32" s="102" t="str">
        <f>Masters!D36</f>
        <v>Data Entry Clerks</v>
      </c>
      <c r="C32" s="102" t="str">
        <f>Masters!E36</f>
        <v>Data entry clerks</v>
      </c>
      <c r="D32" s="101">
        <f>Masters!F36</f>
        <v>3</v>
      </c>
      <c r="E32" s="101">
        <f>Masters!G36</f>
        <v>3</v>
      </c>
      <c r="F32" s="101">
        <f>Masters!H36</f>
        <v>4</v>
      </c>
      <c r="G32" s="101">
        <f>Masters!I36</f>
        <v>4</v>
      </c>
      <c r="H32" s="101">
        <f>Masters!J36</f>
        <v>4</v>
      </c>
      <c r="I32" s="101">
        <f>Masters!K36</f>
        <v>3</v>
      </c>
      <c r="J32" s="101">
        <f>Masters!L36</f>
        <v>3</v>
      </c>
      <c r="K32" s="101">
        <f>Masters!M36</f>
        <v>3</v>
      </c>
      <c r="L32" s="101">
        <f>Masters!N36</f>
        <v>3</v>
      </c>
    </row>
    <row r="33">
      <c r="A33" s="101">
        <f>Masters!C37</f>
        <v>3222</v>
      </c>
      <c r="B33" s="102" t="str">
        <f>Masters!D37</f>
        <v>Dental Hygienists</v>
      </c>
      <c r="C33" s="102" t="str">
        <f>Masters!E37</f>
        <v>Dental hygienists and dental therapists</v>
      </c>
      <c r="D33" s="101">
        <f>Masters!F37</f>
        <v>3</v>
      </c>
      <c r="E33" s="101">
        <f>Masters!G37</f>
        <v>3</v>
      </c>
      <c r="F33" s="101">
        <f>Masters!H37</f>
        <v>3</v>
      </c>
      <c r="G33" s="101">
        <f>Masters!I37</f>
        <v>3</v>
      </c>
      <c r="H33" s="101">
        <f>Masters!J37</f>
        <v>3</v>
      </c>
      <c r="I33" s="101">
        <f>Masters!K37</f>
        <v>4</v>
      </c>
      <c r="J33" s="101">
        <f>Masters!L37</f>
        <v>3</v>
      </c>
      <c r="K33" s="101">
        <f>Masters!M37</f>
        <v>3</v>
      </c>
      <c r="L33" s="101">
        <f>Masters!N37</f>
        <v>3</v>
      </c>
    </row>
    <row r="34">
      <c r="A34" s="101">
        <f>Masters!C38</f>
        <v>3222</v>
      </c>
      <c r="B34" s="102" t="str">
        <f>Masters!D38</f>
        <v>Dental Therapists</v>
      </c>
      <c r="C34" s="102" t="str">
        <f>Masters!E38</f>
        <v>Dental hygienists and dental therapists</v>
      </c>
      <c r="D34" s="101">
        <f>Masters!F38</f>
        <v>3</v>
      </c>
      <c r="E34" s="101">
        <f>Masters!G38</f>
        <v>3</v>
      </c>
      <c r="F34" s="101">
        <f>Masters!H38</f>
        <v>3</v>
      </c>
      <c r="G34" s="101">
        <f>Masters!I38</f>
        <v>3</v>
      </c>
      <c r="H34" s="101">
        <f>Masters!J38</f>
        <v>3</v>
      </c>
      <c r="I34" s="101">
        <f>Masters!K38</f>
        <v>4</v>
      </c>
      <c r="J34" s="101">
        <f>Masters!L38</f>
        <v>3</v>
      </c>
      <c r="K34" s="101">
        <f>Masters!M38</f>
        <v>3</v>
      </c>
      <c r="L34" s="101">
        <f>Masters!N38</f>
        <v>3</v>
      </c>
    </row>
    <row r="35">
      <c r="A35" s="101">
        <f>Masters!C39</f>
        <v>3221</v>
      </c>
      <c r="B35" s="102" t="str">
        <f>Masters!D39</f>
        <v>Denturists</v>
      </c>
      <c r="C35" s="102" t="str">
        <f>Masters!E39</f>
        <v>Denturists</v>
      </c>
      <c r="D35" s="101">
        <f>Masters!F39</f>
        <v>3</v>
      </c>
      <c r="E35" s="101">
        <f>Masters!G39</f>
        <v>3</v>
      </c>
      <c r="F35" s="101">
        <f>Masters!H39</f>
        <v>3</v>
      </c>
      <c r="G35" s="101">
        <f>Masters!I39</f>
        <v>2</v>
      </c>
      <c r="H35" s="101">
        <f>Masters!J39</f>
        <v>2</v>
      </c>
      <c r="I35" s="101">
        <f>Masters!K39</f>
        <v>4</v>
      </c>
      <c r="J35" s="101">
        <f>Masters!L39</f>
        <v>3</v>
      </c>
      <c r="K35" s="101">
        <f>Masters!M39</f>
        <v>2</v>
      </c>
      <c r="L35" s="101">
        <f>Masters!N39</f>
        <v>2</v>
      </c>
    </row>
    <row r="36">
      <c r="A36" s="101">
        <f>Masters!C40</f>
        <v>3125</v>
      </c>
      <c r="B36" s="102" t="str">
        <f>Masters!D40</f>
        <v>Doctors of Podiatric Medicine</v>
      </c>
      <c r="C36" s="102" t="str">
        <f>Masters!E40</f>
        <v>Other professional occupations in health diagnosing and treating</v>
      </c>
      <c r="D36" s="101">
        <f>Masters!F40</f>
        <v>2</v>
      </c>
      <c r="E36" s="101">
        <f>Masters!G40</f>
        <v>2</v>
      </c>
      <c r="F36" s="101">
        <f>Masters!H40</f>
        <v>3</v>
      </c>
      <c r="G36" s="101">
        <f>Masters!I40</f>
        <v>2</v>
      </c>
      <c r="H36" s="101">
        <f>Masters!J40</f>
        <v>2</v>
      </c>
      <c r="I36" s="101">
        <f>Masters!K40</f>
        <v>4</v>
      </c>
      <c r="J36" s="101">
        <f>Masters!L40</f>
        <v>3</v>
      </c>
      <c r="K36" s="101">
        <f>Masters!M40</f>
        <v>2</v>
      </c>
      <c r="L36" s="101">
        <f>Masters!N40</f>
        <v>2</v>
      </c>
    </row>
    <row r="37">
      <c r="A37" s="101">
        <f>Masters!C41</f>
        <v>2253</v>
      </c>
      <c r="B37" s="102" t="str">
        <f>Masters!D41</f>
        <v>Drafting Technologists</v>
      </c>
      <c r="C37" s="102" t="str">
        <f>Masters!E41</f>
        <v>Drafting technologists and technicians</v>
      </c>
      <c r="D37" s="101">
        <f>Masters!F41</f>
        <v>2</v>
      </c>
      <c r="E37" s="101">
        <f>Masters!G41</f>
        <v>2</v>
      </c>
      <c r="F37" s="101">
        <f>Masters!H41</f>
        <v>2</v>
      </c>
      <c r="G37" s="101">
        <f>Masters!I41</f>
        <v>2</v>
      </c>
      <c r="H37" s="101">
        <f>Masters!J41</f>
        <v>2</v>
      </c>
      <c r="I37" s="101">
        <f>Masters!K41</f>
        <v>3</v>
      </c>
      <c r="J37" s="101">
        <f>Masters!L41</f>
        <v>2</v>
      </c>
      <c r="K37" s="101">
        <f>Masters!M41</f>
        <v>2</v>
      </c>
      <c r="L37" s="101">
        <f>Masters!N41</f>
        <v>3</v>
      </c>
    </row>
    <row r="38">
      <c r="A38" s="101">
        <f>Masters!C42</f>
        <v>7512</v>
      </c>
      <c r="B38" s="102" t="str">
        <f>Masters!D42</f>
        <v>Bus and Streetcar Drivers</v>
      </c>
      <c r="C38" s="102" t="str">
        <f>Masters!E42</f>
        <v>Bus drivers, subway operators and other transit operators</v>
      </c>
      <c r="D38" s="101">
        <f>Masters!F42</f>
        <v>3</v>
      </c>
      <c r="E38" s="101">
        <f>Masters!G42</f>
        <v>4</v>
      </c>
      <c r="F38" s="101">
        <f>Masters!H42</f>
        <v>4</v>
      </c>
      <c r="G38" s="101">
        <f>Masters!I42</f>
        <v>3</v>
      </c>
      <c r="H38" s="101">
        <f>Masters!J42</f>
        <v>4</v>
      </c>
      <c r="I38" s="101">
        <f>Masters!K42</f>
        <v>4</v>
      </c>
      <c r="J38" s="101">
        <f>Masters!L42</f>
        <v>3</v>
      </c>
      <c r="K38" s="101">
        <f>Masters!M42</f>
        <v>4</v>
      </c>
      <c r="L38" s="101">
        <f>Masters!N42</f>
        <v>3</v>
      </c>
    </row>
    <row r="39">
      <c r="A39" s="101">
        <f>Masters!C43</f>
        <v>6342</v>
      </c>
      <c r="B39" s="102" t="str">
        <f>Masters!D43</f>
        <v>Dressmakers</v>
      </c>
      <c r="C39" s="102" t="str">
        <f>Masters!E43</f>
        <v>Tailors, dressmakers, furriers and milliners</v>
      </c>
      <c r="D39" s="101">
        <f>Masters!F43</f>
        <v>3</v>
      </c>
      <c r="E39" s="101">
        <f>Masters!G43</f>
        <v>3</v>
      </c>
      <c r="F39" s="101">
        <f>Masters!H43</f>
        <v>4</v>
      </c>
      <c r="G39" s="101">
        <f>Masters!I43</f>
        <v>3</v>
      </c>
      <c r="H39" s="101">
        <f>Masters!J43</f>
        <v>3</v>
      </c>
      <c r="I39" s="101">
        <f>Masters!K43</f>
        <v>4</v>
      </c>
      <c r="J39" s="101">
        <f>Masters!L43</f>
        <v>3</v>
      </c>
      <c r="K39" s="101">
        <f>Masters!M43</f>
        <v>2</v>
      </c>
      <c r="L39" s="101">
        <f>Masters!N43</f>
        <v>3</v>
      </c>
    </row>
    <row r="40">
      <c r="A40" s="101">
        <f>Masters!C44</f>
        <v>9422</v>
      </c>
      <c r="B40" s="102" t="str">
        <f>Masters!D44</f>
        <v>Calendering Process Operators - Plastics Processing</v>
      </c>
      <c r="C40" s="102" t="str">
        <f>Masters!E44</f>
        <v>Plastics processing machine operators</v>
      </c>
      <c r="D40" s="101">
        <f>Masters!F44</f>
        <v>3</v>
      </c>
      <c r="E40" s="101">
        <f>Masters!G44</f>
        <v>4</v>
      </c>
      <c r="F40" s="101">
        <f>Masters!H44</f>
        <v>4</v>
      </c>
      <c r="G40" s="101">
        <f>Masters!I44</f>
        <v>3</v>
      </c>
      <c r="H40" s="101">
        <f>Masters!J44</f>
        <v>3</v>
      </c>
      <c r="I40" s="101">
        <f>Masters!K44</f>
        <v>4</v>
      </c>
      <c r="J40" s="101">
        <f>Masters!L44</f>
        <v>4</v>
      </c>
      <c r="K40" s="101">
        <f>Masters!M44</f>
        <v>4</v>
      </c>
      <c r="L40" s="101">
        <f>Masters!N44</f>
        <v>3</v>
      </c>
    </row>
    <row r="41">
      <c r="A41" s="101">
        <f>Masters!C45</f>
        <v>2241</v>
      </c>
      <c r="B41" s="102" t="str">
        <f>Masters!D45</f>
        <v>Electrical and Electronics Engineering Technologists</v>
      </c>
      <c r="C41" s="102" t="str">
        <f>Masters!E45</f>
        <v>Electrical and electronics engineering technologists and technicians</v>
      </c>
      <c r="D41" s="101">
        <f>Masters!F45</f>
        <v>2</v>
      </c>
      <c r="E41" s="101">
        <f>Masters!G45</f>
        <v>2</v>
      </c>
      <c r="F41" s="101">
        <f>Masters!H45</f>
        <v>2</v>
      </c>
      <c r="G41" s="101">
        <f>Masters!I45</f>
        <v>2</v>
      </c>
      <c r="H41" s="101">
        <f>Masters!J45</f>
        <v>2</v>
      </c>
      <c r="I41" s="101">
        <f>Masters!K45</f>
        <v>3</v>
      </c>
      <c r="J41" s="101">
        <f>Masters!L45</f>
        <v>3</v>
      </c>
      <c r="K41" s="101">
        <f>Masters!M45</f>
        <v>3</v>
      </c>
      <c r="L41" s="101">
        <f>Masters!N45</f>
        <v>3</v>
      </c>
    </row>
    <row r="42">
      <c r="A42" s="101">
        <f>Masters!C46</f>
        <v>7241</v>
      </c>
      <c r="B42" s="102" t="str">
        <f>Masters!D46</f>
        <v>Electricians (Except Industrial and Power System)</v>
      </c>
      <c r="C42" s="102" t="str">
        <f>Masters!E46</f>
        <v>Electricians (except industrial and power system)</v>
      </c>
      <c r="D42" s="101">
        <f>Masters!F46</f>
        <v>3</v>
      </c>
      <c r="E42" s="101">
        <f>Masters!G46</f>
        <v>3</v>
      </c>
      <c r="F42" s="101">
        <f>Masters!H46</f>
        <v>3</v>
      </c>
      <c r="G42" s="101">
        <f>Masters!I46</f>
        <v>3</v>
      </c>
      <c r="H42" s="101">
        <f>Masters!J46</f>
        <v>3</v>
      </c>
      <c r="I42" s="101">
        <f>Masters!K46</f>
        <v>4</v>
      </c>
      <c r="J42" s="101">
        <f>Masters!L46</f>
        <v>3</v>
      </c>
      <c r="K42" s="101">
        <f>Masters!M46</f>
        <v>3</v>
      </c>
      <c r="L42" s="101">
        <f>Masters!N46</f>
        <v>3</v>
      </c>
    </row>
    <row r="43">
      <c r="A43" s="101">
        <f>Masters!C47</f>
        <v>4413</v>
      </c>
      <c r="B43" s="102" t="str">
        <f>Masters!D47</f>
        <v>Elementary and Secondary School Teacher Assistants</v>
      </c>
      <c r="C43" s="102" t="str">
        <f>Masters!E47</f>
        <v>Elementary and secondary school teacher assistants</v>
      </c>
      <c r="D43" s="101">
        <f>Masters!F47</f>
        <v>3</v>
      </c>
      <c r="E43" s="101">
        <f>Masters!G47</f>
        <v>3</v>
      </c>
      <c r="F43" s="101">
        <f>Masters!H47</f>
        <v>3</v>
      </c>
      <c r="G43" s="101">
        <f>Masters!I47</f>
        <v>3</v>
      </c>
      <c r="H43" s="101">
        <f>Masters!J47</f>
        <v>3</v>
      </c>
      <c r="I43" s="101">
        <f>Masters!K47</f>
        <v>3</v>
      </c>
      <c r="J43" s="101">
        <f>Masters!L47</f>
        <v>4</v>
      </c>
      <c r="K43" s="101">
        <f>Masters!M47</f>
        <v>3</v>
      </c>
      <c r="L43" s="101">
        <f>Masters!N47</f>
        <v>3</v>
      </c>
    </row>
    <row r="44">
      <c r="A44" s="101">
        <f>Masters!C48</f>
        <v>6562</v>
      </c>
      <c r="B44" s="102" t="str">
        <f>Masters!D48</f>
        <v>Estheticians</v>
      </c>
      <c r="C44" s="102" t="str">
        <f>Masters!E48</f>
        <v>Estheticians, electrologists and related occupations</v>
      </c>
      <c r="D44" s="101">
        <f>Masters!F48</f>
        <v>3</v>
      </c>
      <c r="E44" s="101">
        <f>Masters!G48</f>
        <v>3</v>
      </c>
      <c r="F44" s="101">
        <f>Masters!H48</f>
        <v>4</v>
      </c>
      <c r="G44" s="101">
        <f>Masters!I48</f>
        <v>4</v>
      </c>
      <c r="H44" s="101">
        <f>Masters!J48</f>
        <v>3</v>
      </c>
      <c r="I44" s="101">
        <f>Masters!K48</f>
        <v>4</v>
      </c>
      <c r="J44" s="101">
        <f>Masters!L48</f>
        <v>3</v>
      </c>
      <c r="K44" s="101">
        <f>Masters!M48</f>
        <v>3</v>
      </c>
      <c r="L44" s="101">
        <f>Masters!N48</f>
        <v>3</v>
      </c>
    </row>
    <row r="45">
      <c r="A45" s="101">
        <f>Masters!C49</f>
        <v>5227</v>
      </c>
      <c r="B45" s="102" t="str">
        <f>Masters!D49</f>
        <v>Dressers</v>
      </c>
      <c r="C45" s="102" t="str">
        <f>Masters!E49</f>
        <v>Support occupations in motion pictures, broadcasting, photography and the performing arts</v>
      </c>
      <c r="D45" s="101">
        <f>Masters!F49</f>
        <v>4</v>
      </c>
      <c r="E45" s="101">
        <f>Masters!G49</f>
        <v>4</v>
      </c>
      <c r="F45" s="101">
        <f>Masters!H49</f>
        <v>4</v>
      </c>
      <c r="G45" s="101">
        <f>Masters!I49</f>
        <v>4</v>
      </c>
      <c r="H45" s="101">
        <f>Masters!J49</f>
        <v>3</v>
      </c>
      <c r="I45" s="101">
        <f>Masters!K49</f>
        <v>4</v>
      </c>
      <c r="J45" s="101">
        <f>Masters!L49</f>
        <v>3</v>
      </c>
      <c r="K45" s="101">
        <f>Masters!M49</f>
        <v>3</v>
      </c>
      <c r="L45" s="101">
        <f>Masters!N49</f>
        <v>3</v>
      </c>
    </row>
    <row r="46">
      <c r="A46" s="101">
        <f>Masters!C50</f>
        <v>8261</v>
      </c>
      <c r="B46" s="102" t="str">
        <f>Masters!D50</f>
        <v>Fishing Masters and Officers</v>
      </c>
      <c r="C46" s="102" t="str">
        <f>Masters!E50</f>
        <v>Fishing masters and officers</v>
      </c>
      <c r="D46" s="101">
        <f>Masters!F50</f>
        <v>3</v>
      </c>
      <c r="E46" s="101">
        <f>Masters!G50</f>
        <v>3</v>
      </c>
      <c r="F46" s="101">
        <f>Masters!H50</f>
        <v>3</v>
      </c>
      <c r="G46" s="101">
        <f>Masters!I50</f>
        <v>2</v>
      </c>
      <c r="H46" s="101">
        <f>Masters!J50</f>
        <v>3</v>
      </c>
      <c r="I46" s="101">
        <f>Masters!K50</f>
        <v>4</v>
      </c>
      <c r="J46" s="101">
        <f>Masters!L50</f>
        <v>3</v>
      </c>
      <c r="K46" s="101">
        <f>Masters!M50</f>
        <v>4</v>
      </c>
      <c r="L46" s="101">
        <f>Masters!N50</f>
        <v>3</v>
      </c>
    </row>
    <row r="47">
      <c r="A47" s="101">
        <f>Masters!C51</f>
        <v>7372</v>
      </c>
      <c r="B47" s="102" t="str">
        <f>Masters!D51</f>
        <v>Drillers - Surface Mining, Quarrying and Construction</v>
      </c>
      <c r="C47" s="102" t="str">
        <f>Masters!E51</f>
        <v>Drillers and blasters - surface mining, quarrying and construction</v>
      </c>
      <c r="D47" s="101">
        <f>Masters!F51</f>
        <v>3</v>
      </c>
      <c r="E47" s="101">
        <f>Masters!G51</f>
        <v>4</v>
      </c>
      <c r="F47" s="101">
        <f>Masters!H51</f>
        <v>4</v>
      </c>
      <c r="G47" s="101">
        <f>Masters!I51</f>
        <v>3</v>
      </c>
      <c r="H47" s="101">
        <f>Masters!J51</f>
        <v>4</v>
      </c>
      <c r="I47" s="101">
        <f>Masters!K51</f>
        <v>4</v>
      </c>
      <c r="J47" s="101">
        <f>Masters!L51</f>
        <v>3</v>
      </c>
      <c r="K47" s="101">
        <f>Masters!M51</f>
        <v>4</v>
      </c>
      <c r="L47" s="101">
        <f>Masters!N51</f>
        <v>3</v>
      </c>
    </row>
    <row r="48">
      <c r="A48" s="101">
        <f>Masters!C52</f>
        <v>621</v>
      </c>
      <c r="B48" s="102" t="str">
        <f>Masters!D52</f>
        <v>Floor Managers</v>
      </c>
      <c r="C48" s="102" t="str">
        <f>Masters!E52</f>
        <v>Retail and wholesale trade managers</v>
      </c>
      <c r="D48" s="101">
        <f>Masters!F52</f>
        <v>3</v>
      </c>
      <c r="E48" s="101">
        <f>Masters!G52</f>
        <v>3</v>
      </c>
      <c r="F48" s="101">
        <f>Masters!H52</f>
        <v>4</v>
      </c>
      <c r="G48" s="101">
        <f>Masters!I52</f>
        <v>3</v>
      </c>
      <c r="H48" s="101">
        <f>Masters!J52</f>
        <v>3</v>
      </c>
      <c r="I48" s="101">
        <f>Masters!K52</f>
        <v>3</v>
      </c>
      <c r="J48" s="101">
        <f>Masters!L52</f>
        <v>3</v>
      </c>
      <c r="K48" s="101">
        <f>Masters!M52</f>
        <v>4</v>
      </c>
      <c r="L48" s="101">
        <f>Masters!N52</f>
        <v>4</v>
      </c>
    </row>
    <row r="49">
      <c r="A49" s="101">
        <f>Masters!C53</f>
        <v>9422</v>
      </c>
      <c r="B49" s="102" t="str">
        <f>Masters!D53</f>
        <v>Extruding Process Operators - Plastics Processing</v>
      </c>
      <c r="C49" s="102" t="str">
        <f>Masters!E53</f>
        <v>Plastics processing machine operators</v>
      </c>
      <c r="D49" s="101">
        <f>Masters!F53</f>
        <v>3</v>
      </c>
      <c r="E49" s="101">
        <f>Masters!G53</f>
        <v>4</v>
      </c>
      <c r="F49" s="101">
        <f>Masters!H53</f>
        <v>4</v>
      </c>
      <c r="G49" s="101">
        <f>Masters!I53</f>
        <v>3</v>
      </c>
      <c r="H49" s="101">
        <f>Masters!J53</f>
        <v>3</v>
      </c>
      <c r="I49" s="101">
        <f>Masters!K53</f>
        <v>4</v>
      </c>
      <c r="J49" s="101">
        <f>Masters!L53</f>
        <v>4</v>
      </c>
      <c r="K49" s="101">
        <f>Masters!M53</f>
        <v>4</v>
      </c>
      <c r="L49" s="101">
        <f>Masters!N53</f>
        <v>3</v>
      </c>
    </row>
    <row r="50">
      <c r="A50" s="101">
        <f>Masters!C54</f>
        <v>6342</v>
      </c>
      <c r="B50" s="102" t="str">
        <f>Masters!D54</f>
        <v>Furriers</v>
      </c>
      <c r="C50" s="102" t="str">
        <f>Masters!E54</f>
        <v>Tailors, dressmakers, furriers and milliners</v>
      </c>
      <c r="D50" s="101">
        <f>Masters!F54</f>
        <v>3</v>
      </c>
      <c r="E50" s="101">
        <f>Masters!G54</f>
        <v>3</v>
      </c>
      <c r="F50" s="101">
        <f>Masters!H54</f>
        <v>4</v>
      </c>
      <c r="G50" s="101">
        <f>Masters!I54</f>
        <v>2</v>
      </c>
      <c r="H50" s="101">
        <f>Masters!J54</f>
        <v>2</v>
      </c>
      <c r="I50" s="101">
        <f>Masters!K54</f>
        <v>4</v>
      </c>
      <c r="J50" s="101">
        <f>Masters!L54</f>
        <v>3</v>
      </c>
      <c r="K50" s="101">
        <f>Masters!M54</f>
        <v>2</v>
      </c>
      <c r="L50" s="101">
        <f>Masters!N54</f>
        <v>3</v>
      </c>
    </row>
    <row r="51">
      <c r="A51" s="101">
        <f>Masters!C55</f>
        <v>5226</v>
      </c>
      <c r="B51" s="102" t="str">
        <f>Masters!D55</f>
        <v>Gaffers and Lighting Technicians</v>
      </c>
      <c r="C51" s="102" t="str">
        <f>Masters!E55</f>
        <v>Other technical and co-ordinating occupations in motion pictures, broadcasting and the performing arts</v>
      </c>
      <c r="D51" s="101">
        <f>Masters!F55</f>
        <v>3</v>
      </c>
      <c r="E51" s="101">
        <f>Masters!G55</f>
        <v>3</v>
      </c>
      <c r="F51" s="101">
        <f>Masters!H55</f>
        <v>4</v>
      </c>
      <c r="G51" s="101">
        <f>Masters!I55</f>
        <v>3</v>
      </c>
      <c r="H51" s="101">
        <f>Masters!J55</f>
        <v>3</v>
      </c>
      <c r="I51" s="101">
        <f>Masters!K55</f>
        <v>4</v>
      </c>
      <c r="J51" s="101">
        <f>Masters!L55</f>
        <v>3</v>
      </c>
      <c r="K51" s="101">
        <f>Masters!M55</f>
        <v>4</v>
      </c>
      <c r="L51" s="101">
        <f>Masters!N55</f>
        <v>3</v>
      </c>
    </row>
    <row r="52">
      <c r="A52" s="101">
        <f>Masters!C56</f>
        <v>7295</v>
      </c>
      <c r="B52" s="102" t="str">
        <f>Masters!D56</f>
        <v>Floor Covering Installers</v>
      </c>
      <c r="C52" s="102" t="str">
        <f>Masters!E56</f>
        <v>Floor covering installers</v>
      </c>
      <c r="D52" s="101">
        <f>Masters!F56</f>
        <v>3</v>
      </c>
      <c r="E52" s="101">
        <f>Masters!G56</f>
        <v>4</v>
      </c>
      <c r="F52" s="101">
        <f>Masters!H56</f>
        <v>3</v>
      </c>
      <c r="G52" s="101">
        <f>Masters!I56</f>
        <v>3</v>
      </c>
      <c r="H52" s="101">
        <f>Masters!J56</f>
        <v>3</v>
      </c>
      <c r="I52" s="101">
        <f>Masters!K56</f>
        <v>4</v>
      </c>
      <c r="J52" s="101">
        <f>Masters!L56</f>
        <v>3</v>
      </c>
      <c r="K52" s="101">
        <f>Masters!M56</f>
        <v>4</v>
      </c>
      <c r="L52" s="101">
        <f>Masters!N56</f>
        <v>3</v>
      </c>
    </row>
    <row r="53">
      <c r="A53" s="101">
        <f>Masters!C57</f>
        <v>2212</v>
      </c>
      <c r="B53" s="102" t="str">
        <f>Masters!D57</f>
        <v>Geological and Mineral Technologists</v>
      </c>
      <c r="C53" s="102" t="str">
        <f>Masters!E57</f>
        <v>Geological and mineral technologists and technicians</v>
      </c>
      <c r="D53" s="101">
        <f>Masters!F57</f>
        <v>2</v>
      </c>
      <c r="E53" s="101">
        <f>Masters!G57</f>
        <v>2</v>
      </c>
      <c r="F53" s="101">
        <f>Masters!H57</f>
        <v>2</v>
      </c>
      <c r="G53" s="101">
        <f>Masters!I57</f>
        <v>2</v>
      </c>
      <c r="H53" s="101">
        <f>Masters!J57</f>
        <v>2</v>
      </c>
      <c r="I53" s="101">
        <f>Masters!K57</f>
        <v>3</v>
      </c>
      <c r="J53" s="101">
        <f>Masters!L57</f>
        <v>3</v>
      </c>
      <c r="K53" s="101">
        <f>Masters!M57</f>
        <v>3</v>
      </c>
      <c r="L53" s="101">
        <f>Masters!N57</f>
        <v>3</v>
      </c>
    </row>
    <row r="54">
      <c r="A54" s="101">
        <f>Masters!C58</f>
        <v>9532</v>
      </c>
      <c r="B54" s="102" t="str">
        <f>Masters!D58</f>
        <v>Furniture and Fixture Assemblers</v>
      </c>
      <c r="C54" s="102" t="str">
        <f>Masters!E58</f>
        <v>Furniture and fixture assemblers and inspectors</v>
      </c>
      <c r="D54" s="101">
        <f>Masters!F58</f>
        <v>4</v>
      </c>
      <c r="E54" s="101">
        <f>Masters!G58</f>
        <v>4</v>
      </c>
      <c r="F54" s="101">
        <f>Masters!H58</f>
        <v>4</v>
      </c>
      <c r="G54" s="101">
        <f>Masters!I58</f>
        <v>3</v>
      </c>
      <c r="H54" s="101">
        <f>Masters!J58</f>
        <v>4</v>
      </c>
      <c r="I54" s="101">
        <f>Masters!K58</f>
        <v>4</v>
      </c>
      <c r="J54" s="101">
        <f>Masters!L58</f>
        <v>3</v>
      </c>
      <c r="K54" s="101">
        <f>Masters!M58</f>
        <v>3</v>
      </c>
      <c r="L54" s="101">
        <f>Masters!N58</f>
        <v>3</v>
      </c>
    </row>
    <row r="55">
      <c r="A55" s="101">
        <f>Masters!C59</f>
        <v>7442</v>
      </c>
      <c r="B55" s="102" t="str">
        <f>Masters!D59</f>
        <v>Gas Maintenance Workers</v>
      </c>
      <c r="C55" s="102" t="str">
        <f>Masters!E59</f>
        <v>Waterworks and gas maintenance workers</v>
      </c>
      <c r="D55" s="101">
        <f>Masters!F59</f>
        <v>3</v>
      </c>
      <c r="E55" s="101">
        <f>Masters!G59</f>
        <v>4</v>
      </c>
      <c r="F55" s="101">
        <f>Masters!H59</f>
        <v>4</v>
      </c>
      <c r="G55" s="101">
        <f>Masters!I59</f>
        <v>4</v>
      </c>
      <c r="H55" s="101">
        <f>Masters!J59</f>
        <v>4</v>
      </c>
      <c r="I55" s="101">
        <f>Masters!K59</f>
        <v>3</v>
      </c>
      <c r="J55" s="101">
        <f>Masters!L59</f>
        <v>3</v>
      </c>
      <c r="K55" s="101">
        <f>Masters!M59</f>
        <v>4</v>
      </c>
      <c r="L55" s="101">
        <f>Masters!N59</f>
        <v>3</v>
      </c>
    </row>
    <row r="56">
      <c r="A56" s="101">
        <f>Masters!C60</f>
        <v>2225</v>
      </c>
      <c r="B56" s="102" t="str">
        <f>Masters!D60</f>
        <v>Golf Course Superintendents</v>
      </c>
      <c r="C56" s="102" t="str">
        <f>Masters!E60</f>
        <v>Landscape and horticulture technicians and specialists</v>
      </c>
      <c r="D56" s="101">
        <f>Masters!F60</f>
        <v>3</v>
      </c>
      <c r="E56" s="101">
        <f>Masters!G60</f>
        <v>3</v>
      </c>
      <c r="F56" s="101">
        <f>Masters!H60</f>
        <v>3</v>
      </c>
      <c r="G56" s="101">
        <f>Masters!I60</f>
        <v>3</v>
      </c>
      <c r="H56" s="101">
        <f>Masters!J60</f>
        <v>3</v>
      </c>
      <c r="I56" s="101">
        <f>Masters!K60</f>
        <v>3</v>
      </c>
      <c r="J56" s="101">
        <f>Masters!L60</f>
        <v>3</v>
      </c>
      <c r="K56" s="101">
        <f>Masters!M60</f>
        <v>4</v>
      </c>
      <c r="L56" s="101">
        <f>Masters!N60</f>
        <v>3</v>
      </c>
    </row>
    <row r="57">
      <c r="A57" s="101">
        <f>Masters!C61</f>
        <v>9413</v>
      </c>
      <c r="B57" s="102" t="str">
        <f>Masters!D61</f>
        <v>Glass Finishing Machine Operators</v>
      </c>
      <c r="C57" s="102" t="str">
        <f>Masters!E61</f>
        <v>Glass forming and finishing machine operators and glass cutters</v>
      </c>
      <c r="D57" s="101">
        <f>Masters!F61</f>
        <v>3</v>
      </c>
      <c r="E57" s="101">
        <f>Masters!G61</f>
        <v>4</v>
      </c>
      <c r="F57" s="101">
        <f>Masters!H61</f>
        <v>4</v>
      </c>
      <c r="G57" s="101">
        <f>Masters!I61</f>
        <v>4</v>
      </c>
      <c r="H57" s="101">
        <f>Masters!J61</f>
        <v>3</v>
      </c>
      <c r="I57" s="101">
        <f>Masters!K61</f>
        <v>4</v>
      </c>
      <c r="J57" s="101">
        <f>Masters!L61</f>
        <v>3</v>
      </c>
      <c r="K57" s="101">
        <f>Masters!M61</f>
        <v>4</v>
      </c>
      <c r="L57" s="101">
        <f>Masters!N61</f>
        <v>3</v>
      </c>
    </row>
    <row r="58">
      <c r="A58" s="101">
        <f>Masters!C62</f>
        <v>822</v>
      </c>
      <c r="B58" s="102" t="str">
        <f>Masters!D62</f>
        <v>Horticulturists</v>
      </c>
      <c r="C58" s="102" t="str">
        <f>Masters!E62</f>
        <v>Managers in horticulture</v>
      </c>
      <c r="D58" s="101">
        <f>Masters!F62</f>
        <v>2</v>
      </c>
      <c r="E58" s="101">
        <f>Masters!G62</f>
        <v>3</v>
      </c>
      <c r="F58" s="101">
        <f>Masters!H62</f>
        <v>3</v>
      </c>
      <c r="G58" s="101">
        <f>Masters!I62</f>
        <v>3</v>
      </c>
      <c r="H58" s="101">
        <f>Masters!J62</f>
        <v>3</v>
      </c>
      <c r="I58" s="101">
        <f>Masters!K62</f>
        <v>4</v>
      </c>
      <c r="J58" s="101">
        <f>Masters!L62</f>
        <v>4</v>
      </c>
      <c r="K58" s="101">
        <f>Masters!M62</f>
        <v>3</v>
      </c>
      <c r="L58" s="101">
        <f>Masters!N62</f>
        <v>3</v>
      </c>
    </row>
    <row r="59">
      <c r="A59" s="101">
        <f>Masters!C63</f>
        <v>2252</v>
      </c>
      <c r="B59" s="102" t="str">
        <f>Masters!D63</f>
        <v>Industrial Designers</v>
      </c>
      <c r="C59" s="102" t="str">
        <f>Masters!E63</f>
        <v>Industrial designers</v>
      </c>
      <c r="D59" s="101">
        <f>Masters!F63</f>
        <v>2</v>
      </c>
      <c r="E59" s="101">
        <f>Masters!G63</f>
        <v>2</v>
      </c>
      <c r="F59" s="101">
        <f>Masters!H63</f>
        <v>3</v>
      </c>
      <c r="G59" s="101">
        <f>Masters!I63</f>
        <v>2</v>
      </c>
      <c r="H59" s="101">
        <f>Masters!J63</f>
        <v>2</v>
      </c>
      <c r="I59" s="101">
        <f>Masters!K63</f>
        <v>4</v>
      </c>
      <c r="J59" s="101">
        <f>Masters!L63</f>
        <v>2</v>
      </c>
      <c r="K59" s="101">
        <f>Masters!M63</f>
        <v>2</v>
      </c>
      <c r="L59" s="101">
        <f>Masters!N63</f>
        <v>3</v>
      </c>
    </row>
    <row r="60">
      <c r="A60" s="101">
        <f>Masters!C64</f>
        <v>7242</v>
      </c>
      <c r="B60" s="102" t="str">
        <f>Masters!D64</f>
        <v>Industrial Electricians</v>
      </c>
      <c r="C60" s="102" t="str">
        <f>Masters!E64</f>
        <v>Industrial electricians</v>
      </c>
      <c r="D60" s="101">
        <f>Masters!F64</f>
        <v>3</v>
      </c>
      <c r="E60" s="101">
        <f>Masters!G64</f>
        <v>3</v>
      </c>
      <c r="F60" s="101">
        <f>Masters!H64</f>
        <v>3</v>
      </c>
      <c r="G60" s="101">
        <f>Masters!I64</f>
        <v>3</v>
      </c>
      <c r="H60" s="101">
        <f>Masters!J64</f>
        <v>3</v>
      </c>
      <c r="I60" s="101">
        <f>Masters!K64</f>
        <v>4</v>
      </c>
      <c r="J60" s="101">
        <f>Masters!L64</f>
        <v>3</v>
      </c>
      <c r="K60" s="101">
        <f>Masters!M64</f>
        <v>3</v>
      </c>
      <c r="L60" s="101">
        <f>Masters!N64</f>
        <v>3</v>
      </c>
    </row>
    <row r="61">
      <c r="A61" s="101">
        <f>Masters!C65</f>
        <v>9524</v>
      </c>
      <c r="B61" s="102" t="str">
        <f>Masters!D65</f>
        <v>Inspectors and Testers, Electrical Appliance, Apparatus and Equipment Manufacturing</v>
      </c>
      <c r="C61" s="102" t="str">
        <f>Masters!E65</f>
        <v>Assemblers and inspectors, electrical appliance, apparatus and equipment manufacturing</v>
      </c>
      <c r="D61" s="101">
        <f>Masters!F65</f>
        <v>3</v>
      </c>
      <c r="E61" s="101">
        <f>Masters!G65</f>
        <v>3</v>
      </c>
      <c r="F61" s="101">
        <f>Masters!H65</f>
        <v>3</v>
      </c>
      <c r="G61" s="101">
        <f>Masters!I65</f>
        <v>4</v>
      </c>
      <c r="H61" s="101">
        <f>Masters!J65</f>
        <v>3</v>
      </c>
      <c r="I61" s="101">
        <f>Masters!K65</f>
        <v>3</v>
      </c>
      <c r="J61" s="101">
        <f>Masters!L65</f>
        <v>3</v>
      </c>
      <c r="K61" s="101">
        <f>Masters!M65</f>
        <v>3</v>
      </c>
      <c r="L61" s="101">
        <f>Masters!N65</f>
        <v>3</v>
      </c>
    </row>
    <row r="62">
      <c r="A62" s="101">
        <f>Masters!C66</f>
        <v>7292</v>
      </c>
      <c r="B62" s="102" t="str">
        <f>Masters!D66</f>
        <v>Glaziers</v>
      </c>
      <c r="C62" s="102" t="str">
        <f>Masters!E66</f>
        <v>Glaziers</v>
      </c>
      <c r="D62" s="101">
        <f>Masters!F66</f>
        <v>3</v>
      </c>
      <c r="E62" s="101">
        <f>Masters!G66</f>
        <v>4</v>
      </c>
      <c r="F62" s="101">
        <f>Masters!H66</f>
        <v>3</v>
      </c>
      <c r="G62" s="101">
        <f>Masters!I66</f>
        <v>3</v>
      </c>
      <c r="H62" s="101">
        <f>Masters!J66</f>
        <v>3</v>
      </c>
      <c r="I62" s="101">
        <f>Masters!K66</f>
        <v>4</v>
      </c>
      <c r="J62" s="101">
        <f>Masters!L66</f>
        <v>3</v>
      </c>
      <c r="K62" s="101">
        <f>Masters!M66</f>
        <v>4</v>
      </c>
      <c r="L62" s="101">
        <f>Masters!N66</f>
        <v>3</v>
      </c>
    </row>
    <row r="63">
      <c r="A63" s="101">
        <f>Masters!C67</f>
        <v>2154</v>
      </c>
      <c r="B63" s="102" t="str">
        <f>Masters!D67</f>
        <v>Land Surveyors</v>
      </c>
      <c r="C63" s="102" t="str">
        <f>Masters!E67</f>
        <v>Land surveyors</v>
      </c>
      <c r="D63" s="101">
        <f>Masters!F67</f>
        <v>2</v>
      </c>
      <c r="E63" s="101">
        <f>Masters!G67</f>
        <v>2</v>
      </c>
      <c r="F63" s="101">
        <f>Masters!H67</f>
        <v>2</v>
      </c>
      <c r="G63" s="101">
        <f>Masters!I67</f>
        <v>2</v>
      </c>
      <c r="H63" s="101">
        <f>Masters!J67</f>
        <v>2</v>
      </c>
      <c r="I63" s="101">
        <f>Masters!K67</f>
        <v>3</v>
      </c>
      <c r="J63" s="101">
        <f>Masters!L67</f>
        <v>3</v>
      </c>
      <c r="K63" s="101">
        <f>Masters!M67</f>
        <v>3</v>
      </c>
      <c r="L63" s="101">
        <f>Masters!N67</f>
        <v>3</v>
      </c>
    </row>
    <row r="64">
      <c r="A64" s="101">
        <f>Masters!C68</f>
        <v>2152</v>
      </c>
      <c r="B64" s="102" t="str">
        <f>Masters!D68</f>
        <v>Landscape Architects</v>
      </c>
      <c r="C64" s="102" t="str">
        <f>Masters!E68</f>
        <v>Landscape architects</v>
      </c>
      <c r="D64" s="101">
        <f>Masters!F68</f>
        <v>2</v>
      </c>
      <c r="E64" s="101">
        <f>Masters!G68</f>
        <v>2</v>
      </c>
      <c r="F64" s="101">
        <f>Masters!H68</f>
        <v>2</v>
      </c>
      <c r="G64" s="101">
        <f>Masters!I68</f>
        <v>1</v>
      </c>
      <c r="H64" s="101">
        <f>Masters!J68</f>
        <v>1</v>
      </c>
      <c r="I64" s="101">
        <f>Masters!K68</f>
        <v>3</v>
      </c>
      <c r="J64" s="101">
        <f>Masters!L68</f>
        <v>3</v>
      </c>
      <c r="K64" s="101">
        <f>Masters!M68</f>
        <v>3</v>
      </c>
      <c r="L64" s="101">
        <f>Masters!N68</f>
        <v>3</v>
      </c>
    </row>
    <row r="65">
      <c r="A65" s="101">
        <f>Masters!C69</f>
        <v>8612</v>
      </c>
      <c r="B65" s="102" t="str">
        <f>Masters!D69</f>
        <v>Landscapers</v>
      </c>
      <c r="C65" s="102" t="str">
        <f>Masters!E69</f>
        <v>Landscaping and grounds maintenance labourers</v>
      </c>
      <c r="D65" s="101">
        <f>Masters!F69</f>
        <v>3</v>
      </c>
      <c r="E65" s="101">
        <f>Masters!G69</f>
        <v>3</v>
      </c>
      <c r="F65" s="101">
        <f>Masters!H69</f>
        <v>3</v>
      </c>
      <c r="G65" s="101">
        <f>Masters!I69</f>
        <v>2</v>
      </c>
      <c r="H65" s="101">
        <f>Masters!J69</f>
        <v>3</v>
      </c>
      <c r="I65" s="101">
        <f>Masters!K69</f>
        <v>4</v>
      </c>
      <c r="J65" s="101">
        <f>Masters!L69</f>
        <v>3</v>
      </c>
      <c r="K65" s="101">
        <f>Masters!M69</f>
        <v>4</v>
      </c>
      <c r="L65" s="101">
        <f>Masters!N69</f>
        <v>3</v>
      </c>
    </row>
    <row r="66">
      <c r="A66" s="101">
        <f>Masters!C70</f>
        <v>9447</v>
      </c>
      <c r="B66" s="102" t="str">
        <f>Masters!D70</f>
        <v>Inspectors and Testers, Fabric, Fur and Leather Products Manufacturing</v>
      </c>
      <c r="C66" s="102" t="str">
        <f>Masters!E70</f>
        <v>Inspectors and graders, textile, fabric, fur and leather products manufacturing</v>
      </c>
      <c r="D66" s="101">
        <f>Masters!F70</f>
        <v>4</v>
      </c>
      <c r="E66" s="101">
        <f>Masters!G70</f>
        <v>4</v>
      </c>
      <c r="F66" s="101">
        <f>Masters!H70</f>
        <v>4</v>
      </c>
      <c r="G66" s="101">
        <f>Masters!I70</f>
        <v>3</v>
      </c>
      <c r="H66" s="101">
        <f>Masters!J70</f>
        <v>3</v>
      </c>
      <c r="I66" s="101">
        <f>Masters!K70</f>
        <v>4</v>
      </c>
      <c r="J66" s="101">
        <f>Masters!L70</f>
        <v>3</v>
      </c>
      <c r="K66" s="101">
        <f>Masters!M70</f>
        <v>3</v>
      </c>
      <c r="L66" s="101">
        <f>Masters!N70</f>
        <v>4</v>
      </c>
    </row>
    <row r="67">
      <c r="A67" s="101">
        <f>Masters!C71</f>
        <v>3233</v>
      </c>
      <c r="B67" s="102" t="str">
        <f>Masters!D71</f>
        <v>Licensed Practical Nurses</v>
      </c>
      <c r="C67" s="102" t="str">
        <f>Masters!E71</f>
        <v>Licensed practical nurses</v>
      </c>
      <c r="D67" s="101">
        <f>Masters!F71</f>
        <v>3</v>
      </c>
      <c r="E67" s="101">
        <f>Masters!G71</f>
        <v>3</v>
      </c>
      <c r="F67" s="101">
        <f>Masters!H71</f>
        <v>4</v>
      </c>
      <c r="G67" s="101">
        <f>Masters!I71</f>
        <v>4</v>
      </c>
      <c r="H67" s="101">
        <f>Masters!J71</f>
        <v>4</v>
      </c>
      <c r="I67" s="101">
        <f>Masters!K71</f>
        <v>3</v>
      </c>
      <c r="J67" s="101">
        <f>Masters!L71</f>
        <v>3</v>
      </c>
      <c r="K67" s="101">
        <f>Masters!M71</f>
        <v>3</v>
      </c>
      <c r="L67" s="101">
        <f>Masters!N71</f>
        <v>3</v>
      </c>
    </row>
    <row r="68">
      <c r="A68" s="101">
        <f>Masters!C72</f>
        <v>7284</v>
      </c>
      <c r="B68" s="102" t="str">
        <f>Masters!D72</f>
        <v>Lathers</v>
      </c>
      <c r="C68" s="102" t="str">
        <f>Masters!E72</f>
        <v>Plasterers, drywall installers and finishers and lathers</v>
      </c>
      <c r="D68" s="101">
        <f>Masters!F72</f>
        <v>3</v>
      </c>
      <c r="E68" s="101">
        <f>Masters!G72</f>
        <v>4</v>
      </c>
      <c r="F68" s="101">
        <f>Masters!H72</f>
        <v>4</v>
      </c>
      <c r="G68" s="101">
        <f>Masters!I72</f>
        <v>3</v>
      </c>
      <c r="H68" s="101">
        <f>Masters!J72</f>
        <v>4</v>
      </c>
      <c r="I68" s="101">
        <f>Masters!K72</f>
        <v>4</v>
      </c>
      <c r="J68" s="101">
        <f>Masters!L72</f>
        <v>3</v>
      </c>
      <c r="K68" s="101">
        <f>Masters!M72</f>
        <v>4</v>
      </c>
      <c r="L68" s="101">
        <f>Masters!N72</f>
        <v>3</v>
      </c>
    </row>
    <row r="69">
      <c r="A69" s="101">
        <f>Masters!C73</f>
        <v>7511</v>
      </c>
      <c r="B69" s="102" t="str">
        <f>Masters!D73</f>
        <v>Line-Haul and Local Truck Drivers</v>
      </c>
      <c r="C69" s="102" t="str">
        <f>Masters!E73</f>
        <v>Transport truck drivers</v>
      </c>
      <c r="D69" s="101">
        <f>Masters!F73</f>
        <v>3</v>
      </c>
      <c r="E69" s="101">
        <f>Masters!G73</f>
        <v>4</v>
      </c>
      <c r="F69" s="101">
        <f>Masters!H73</f>
        <v>4</v>
      </c>
      <c r="G69" s="101">
        <f>Masters!I73</f>
        <v>3</v>
      </c>
      <c r="H69" s="101">
        <f>Masters!J73</f>
        <v>4</v>
      </c>
      <c r="I69" s="101">
        <f>Masters!K73</f>
        <v>4</v>
      </c>
      <c r="J69" s="101">
        <f>Masters!L73</f>
        <v>3</v>
      </c>
      <c r="K69" s="101">
        <f>Masters!M73</f>
        <v>4</v>
      </c>
      <c r="L69" s="101">
        <f>Masters!N73</f>
        <v>3</v>
      </c>
    </row>
    <row r="70">
      <c r="A70" s="101">
        <f>Masters!C74</f>
        <v>7511</v>
      </c>
      <c r="B70" s="102" t="str">
        <f>Masters!D74</f>
        <v>Long-Haul Truck Drivers</v>
      </c>
      <c r="C70" s="102" t="str">
        <f>Masters!E74</f>
        <v>Transport truck drivers</v>
      </c>
      <c r="D70" s="101">
        <f>Masters!F74</f>
        <v>3</v>
      </c>
      <c r="E70" s="101">
        <f>Masters!G74</f>
        <v>4</v>
      </c>
      <c r="F70" s="101">
        <f>Masters!H74</f>
        <v>4</v>
      </c>
      <c r="G70" s="101">
        <f>Masters!I74</f>
        <v>3</v>
      </c>
      <c r="H70" s="101">
        <f>Masters!J74</f>
        <v>4</v>
      </c>
      <c r="I70" s="101">
        <f>Masters!K74</f>
        <v>4</v>
      </c>
      <c r="J70" s="101">
        <f>Masters!L74</f>
        <v>3</v>
      </c>
      <c r="K70" s="101">
        <f>Masters!M74</f>
        <v>4</v>
      </c>
      <c r="L70" s="101">
        <f>Masters!N74</f>
        <v>3</v>
      </c>
    </row>
    <row r="71">
      <c r="A71" s="101">
        <f>Masters!C75</f>
        <v>7316</v>
      </c>
      <c r="B71" s="102" t="str">
        <f>Masters!D75</f>
        <v>Machine Fitters</v>
      </c>
      <c r="C71" s="102" t="str">
        <f>Masters!E75</f>
        <v>Machine fitters</v>
      </c>
      <c r="D71" s="101">
        <f>Masters!F75</f>
        <v>3</v>
      </c>
      <c r="E71" s="101">
        <f>Masters!G75</f>
        <v>3</v>
      </c>
      <c r="F71" s="101">
        <f>Masters!H75</f>
        <v>3</v>
      </c>
      <c r="G71" s="101">
        <f>Masters!I75</f>
        <v>3</v>
      </c>
      <c r="H71" s="101">
        <f>Masters!J75</f>
        <v>3</v>
      </c>
      <c r="I71" s="101">
        <f>Masters!K75</f>
        <v>4</v>
      </c>
      <c r="J71" s="101">
        <f>Masters!L75</f>
        <v>3</v>
      </c>
      <c r="K71" s="101">
        <f>Masters!M75</f>
        <v>3</v>
      </c>
      <c r="L71" s="101">
        <f>Masters!N75</f>
        <v>3</v>
      </c>
    </row>
    <row r="72">
      <c r="A72" s="101">
        <f>Masters!C76</f>
        <v>7451</v>
      </c>
      <c r="B72" s="102" t="str">
        <f>Masters!D76</f>
        <v>Longshore Workers</v>
      </c>
      <c r="C72" s="102" t="str">
        <f>Masters!E76</f>
        <v>Longshore workers</v>
      </c>
      <c r="D72" s="101">
        <f>Masters!F76</f>
        <v>3</v>
      </c>
      <c r="E72" s="101">
        <f>Masters!G76</f>
        <v>4</v>
      </c>
      <c r="F72" s="101">
        <f>Masters!H76</f>
        <v>4</v>
      </c>
      <c r="G72" s="101">
        <f>Masters!I76</f>
        <v>3</v>
      </c>
      <c r="H72" s="101">
        <f>Masters!J76</f>
        <v>4</v>
      </c>
      <c r="I72" s="101">
        <f>Masters!K76</f>
        <v>4</v>
      </c>
      <c r="J72" s="101">
        <f>Masters!L76</f>
        <v>3</v>
      </c>
      <c r="K72" s="101">
        <f>Masters!M76</f>
        <v>4</v>
      </c>
      <c r="L72" s="101">
        <f>Masters!N76</f>
        <v>3</v>
      </c>
    </row>
    <row r="73">
      <c r="A73" s="101">
        <f>Masters!C77</f>
        <v>7231</v>
      </c>
      <c r="B73" s="102" t="str">
        <f>Masters!D77</f>
        <v>Machining and Tooling Inspectors</v>
      </c>
      <c r="C73" s="102" t="str">
        <f>Masters!E77</f>
        <v>Machinists and machining and tooling inspectors</v>
      </c>
      <c r="D73" s="101">
        <f>Masters!F77</f>
        <v>3</v>
      </c>
      <c r="E73" s="101">
        <f>Masters!G77</f>
        <v>3</v>
      </c>
      <c r="F73" s="101">
        <f>Masters!H77</f>
        <v>3</v>
      </c>
      <c r="G73" s="101">
        <f>Masters!I77</f>
        <v>3</v>
      </c>
      <c r="H73" s="101">
        <f>Masters!J77</f>
        <v>2</v>
      </c>
      <c r="I73" s="101">
        <f>Masters!K77</f>
        <v>3</v>
      </c>
      <c r="J73" s="101">
        <f>Masters!L77</f>
        <v>3</v>
      </c>
      <c r="K73" s="101">
        <f>Masters!M77</f>
        <v>3</v>
      </c>
      <c r="L73" s="101">
        <f>Masters!N77</f>
        <v>3</v>
      </c>
    </row>
    <row r="74">
      <c r="A74" s="101">
        <f>Masters!C78</f>
        <v>9417</v>
      </c>
      <c r="B74" s="102" t="str">
        <f>Masters!D78</f>
        <v>Machining Tool Operators</v>
      </c>
      <c r="C74" s="102" t="str">
        <f>Masters!E78</f>
        <v>Machining tool operators</v>
      </c>
      <c r="D74" s="101">
        <f>Masters!F78</f>
        <v>3</v>
      </c>
      <c r="E74" s="101">
        <f>Masters!G78</f>
        <v>3</v>
      </c>
      <c r="F74" s="101">
        <f>Masters!H78</f>
        <v>3</v>
      </c>
      <c r="G74" s="101">
        <f>Masters!I78</f>
        <v>3</v>
      </c>
      <c r="H74" s="101">
        <f>Masters!J78</f>
        <v>3</v>
      </c>
      <c r="I74" s="101">
        <f>Masters!K78</f>
        <v>4</v>
      </c>
      <c r="J74" s="101">
        <f>Masters!L78</f>
        <v>3</v>
      </c>
      <c r="K74" s="101">
        <f>Masters!M78</f>
        <v>3</v>
      </c>
      <c r="L74" s="101">
        <f>Masters!N78</f>
        <v>3</v>
      </c>
    </row>
    <row r="75">
      <c r="A75" s="101">
        <f>Masters!C79</f>
        <v>7231</v>
      </c>
      <c r="B75" s="102" t="str">
        <f>Masters!D79</f>
        <v>Machinists</v>
      </c>
      <c r="C75" s="102" t="str">
        <f>Masters!E79</f>
        <v>Machinists and machining and tooling inspectors</v>
      </c>
      <c r="D75" s="101">
        <f>Masters!F79</f>
        <v>3</v>
      </c>
      <c r="E75" s="101">
        <f>Masters!G79</f>
        <v>3</v>
      </c>
      <c r="F75" s="101">
        <f>Masters!H79</f>
        <v>3</v>
      </c>
      <c r="G75" s="101">
        <f>Masters!I79</f>
        <v>2</v>
      </c>
      <c r="H75" s="101">
        <f>Masters!J79</f>
        <v>2</v>
      </c>
      <c r="I75" s="101">
        <f>Masters!K79</f>
        <v>4</v>
      </c>
      <c r="J75" s="101">
        <f>Masters!L79</f>
        <v>3</v>
      </c>
      <c r="K75" s="101">
        <f>Masters!M79</f>
        <v>2</v>
      </c>
      <c r="L75" s="101">
        <f>Masters!N79</f>
        <v>2</v>
      </c>
    </row>
    <row r="76">
      <c r="A76" s="101">
        <f>Masters!C80</f>
        <v>7332</v>
      </c>
      <c r="B76" s="102" t="str">
        <f>Masters!D80</f>
        <v>Major Appliance Repairers/Technicians</v>
      </c>
      <c r="C76" s="102" t="str">
        <f>Masters!E80</f>
        <v>Appliance servicers and repairers</v>
      </c>
      <c r="D76" s="101">
        <f>Masters!F80</f>
        <v>3</v>
      </c>
      <c r="E76" s="101">
        <f>Masters!G80</f>
        <v>3</v>
      </c>
      <c r="F76" s="101">
        <f>Masters!H80</f>
        <v>3</v>
      </c>
      <c r="G76" s="101">
        <f>Masters!I80</f>
        <v>3</v>
      </c>
      <c r="H76" s="101">
        <f>Masters!J80</f>
        <v>3</v>
      </c>
      <c r="I76" s="101">
        <f>Masters!K80</f>
        <v>4</v>
      </c>
      <c r="J76" s="101">
        <f>Masters!L80</f>
        <v>3</v>
      </c>
      <c r="K76" s="101">
        <f>Masters!M80</f>
        <v>3</v>
      </c>
      <c r="L76" s="101">
        <f>Masters!N80</f>
        <v>3</v>
      </c>
    </row>
    <row r="77">
      <c r="A77" s="101">
        <f>Masters!C81</f>
        <v>5226</v>
      </c>
      <c r="B77" s="102" t="str">
        <f>Masters!D81</f>
        <v>Make-Up Artists</v>
      </c>
      <c r="C77" s="102" t="str">
        <f>Masters!E81</f>
        <v>Other technical and co-ordinating occupations in motion pictures, broadcasting and the performing arts</v>
      </c>
      <c r="D77" s="101">
        <f>Masters!F81</f>
        <v>3</v>
      </c>
      <c r="E77" s="101">
        <f>Masters!G81</f>
        <v>3</v>
      </c>
      <c r="F77" s="101">
        <f>Masters!H81</f>
        <v>4</v>
      </c>
      <c r="G77" s="101">
        <f>Masters!I81</f>
        <v>3</v>
      </c>
      <c r="H77" s="101">
        <f>Masters!J81</f>
        <v>2</v>
      </c>
      <c r="I77" s="101">
        <f>Masters!K81</f>
        <v>4</v>
      </c>
      <c r="J77" s="101">
        <f>Masters!L81</f>
        <v>3</v>
      </c>
      <c r="K77" s="101">
        <f>Masters!M81</f>
        <v>3</v>
      </c>
      <c r="L77" s="101">
        <f>Masters!N81</f>
        <v>3</v>
      </c>
    </row>
    <row r="78">
      <c r="A78" s="101">
        <f>Masters!C82</f>
        <v>2232</v>
      </c>
      <c r="B78" s="102" t="str">
        <f>Masters!D82</f>
        <v>Mechanical Engineering Technologists</v>
      </c>
      <c r="C78" s="102" t="str">
        <f>Masters!E82</f>
        <v>Mechanical engineering technologists and technicians</v>
      </c>
      <c r="D78" s="101">
        <f>Masters!F82</f>
        <v>2</v>
      </c>
      <c r="E78" s="101">
        <f>Masters!G82</f>
        <v>2</v>
      </c>
      <c r="F78" s="101">
        <f>Masters!H82</f>
        <v>2</v>
      </c>
      <c r="G78" s="101">
        <f>Masters!I82</f>
        <v>2</v>
      </c>
      <c r="H78" s="101">
        <f>Masters!J82</f>
        <v>2</v>
      </c>
      <c r="I78" s="101">
        <f>Masters!K82</f>
        <v>3</v>
      </c>
      <c r="J78" s="101">
        <f>Masters!L82</f>
        <v>3</v>
      </c>
      <c r="K78" s="101">
        <f>Masters!M82</f>
        <v>3</v>
      </c>
      <c r="L78" s="101">
        <f>Masters!N82</f>
        <v>3</v>
      </c>
    </row>
    <row r="79">
      <c r="A79" s="101">
        <f>Masters!C83</f>
        <v>9461</v>
      </c>
      <c r="B79" s="102" t="str">
        <f>Masters!D83</f>
        <v>Machine Operators, Food and Beverage Processing</v>
      </c>
      <c r="C79" s="102" t="str">
        <f>Masters!E83</f>
        <v>Process control and machine operators, food, beverage and associated products processing</v>
      </c>
      <c r="D79" s="101">
        <f>Masters!F83</f>
        <v>3</v>
      </c>
      <c r="E79" s="101">
        <f>Masters!G83</f>
        <v>4</v>
      </c>
      <c r="F79" s="101">
        <f>Masters!H83</f>
        <v>4</v>
      </c>
      <c r="G79" s="101">
        <f>Masters!I83</f>
        <v>4</v>
      </c>
      <c r="H79" s="101">
        <f>Masters!J83</f>
        <v>3</v>
      </c>
      <c r="I79" s="101">
        <f>Masters!K83</f>
        <v>4</v>
      </c>
      <c r="J79" s="101">
        <f>Masters!L83</f>
        <v>3</v>
      </c>
      <c r="K79" s="101">
        <f>Masters!M83</f>
        <v>4</v>
      </c>
      <c r="L79" s="101">
        <f>Masters!N83</f>
        <v>3</v>
      </c>
    </row>
    <row r="80">
      <c r="A80" s="101">
        <f>Masters!C84</f>
        <v>3212</v>
      </c>
      <c r="B80" s="102" t="str">
        <f>Masters!D84</f>
        <v>Medical Laboratory Technicians</v>
      </c>
      <c r="C80" s="102" t="str">
        <f>Masters!E84</f>
        <v>Medical laboratory technicians and pathologists' assistants</v>
      </c>
      <c r="D80" s="101">
        <f>Masters!F84</f>
        <v>3</v>
      </c>
      <c r="E80" s="101">
        <f>Masters!G84</f>
        <v>3</v>
      </c>
      <c r="F80" s="101">
        <f>Masters!H84</f>
        <v>3</v>
      </c>
      <c r="G80" s="101">
        <f>Masters!I84</f>
        <v>4</v>
      </c>
      <c r="H80" s="101">
        <f>Masters!J84</f>
        <v>3</v>
      </c>
      <c r="I80" s="101">
        <f>Masters!K84</f>
        <v>3</v>
      </c>
      <c r="J80" s="101">
        <f>Masters!L84</f>
        <v>3</v>
      </c>
      <c r="K80" s="101">
        <f>Masters!M84</f>
        <v>3</v>
      </c>
      <c r="L80" s="101">
        <f>Masters!N84</f>
        <v>3</v>
      </c>
    </row>
    <row r="81">
      <c r="A81" s="101">
        <f>Masters!C85</f>
        <v>3216</v>
      </c>
      <c r="B81" s="102" t="str">
        <f>Masters!D85</f>
        <v>Medical Sonographers</v>
      </c>
      <c r="C81" s="102" t="str">
        <f>Masters!E85</f>
        <v>Medical sonographers</v>
      </c>
      <c r="D81" s="101">
        <f>Masters!F85</f>
        <v>3</v>
      </c>
      <c r="E81" s="101">
        <f>Masters!G85</f>
        <v>3</v>
      </c>
      <c r="F81" s="101">
        <f>Masters!H85</f>
        <v>3</v>
      </c>
      <c r="G81" s="101">
        <f>Masters!I85</f>
        <v>3</v>
      </c>
      <c r="H81" s="101">
        <f>Masters!J85</f>
        <v>3</v>
      </c>
      <c r="I81" s="101">
        <f>Masters!K85</f>
        <v>4</v>
      </c>
      <c r="J81" s="101">
        <f>Masters!L85</f>
        <v>3</v>
      </c>
      <c r="K81" s="101">
        <f>Masters!M85</f>
        <v>3</v>
      </c>
      <c r="L81" s="101">
        <f>Masters!N85</f>
        <v>3</v>
      </c>
    </row>
    <row r="82">
      <c r="A82" s="101">
        <f>Masters!C86</f>
        <v>9412</v>
      </c>
      <c r="B82" s="102" t="str">
        <f>Masters!D86</f>
        <v>Metal Mould Makers</v>
      </c>
      <c r="C82" s="102" t="str">
        <f>Masters!E86</f>
        <v>Foundry workers</v>
      </c>
      <c r="D82" s="101">
        <f>Masters!F86</f>
        <v>3</v>
      </c>
      <c r="E82" s="101">
        <f>Masters!G86</f>
        <v>3</v>
      </c>
      <c r="F82" s="101">
        <f>Masters!H86</f>
        <v>3</v>
      </c>
      <c r="G82" s="101">
        <f>Masters!I86</f>
        <v>2</v>
      </c>
      <c r="H82" s="101">
        <f>Masters!J86</f>
        <v>2</v>
      </c>
      <c r="I82" s="101">
        <f>Masters!K86</f>
        <v>4</v>
      </c>
      <c r="J82" s="101">
        <f>Masters!L86</f>
        <v>3</v>
      </c>
      <c r="K82" s="101">
        <f>Masters!M86</f>
        <v>2</v>
      </c>
      <c r="L82" s="101">
        <f>Masters!N86</f>
        <v>2</v>
      </c>
    </row>
    <row r="83">
      <c r="A83" s="101">
        <f>Masters!C87</f>
        <v>7232</v>
      </c>
      <c r="B83" s="102" t="str">
        <f>Masters!D87</f>
        <v>Metal Patternmakers</v>
      </c>
      <c r="C83" s="102" t="str">
        <f>Masters!E87</f>
        <v>Tool and die makers</v>
      </c>
      <c r="D83" s="101">
        <f>Masters!F87</f>
        <v>3</v>
      </c>
      <c r="E83" s="101">
        <f>Masters!G87</f>
        <v>3</v>
      </c>
      <c r="F83" s="101">
        <f>Masters!H87</f>
        <v>3</v>
      </c>
      <c r="G83" s="101">
        <f>Masters!I87</f>
        <v>2</v>
      </c>
      <c r="H83" s="101">
        <f>Masters!J87</f>
        <v>2</v>
      </c>
      <c r="I83" s="101">
        <f>Masters!K87</f>
        <v>4</v>
      </c>
      <c r="J83" s="101">
        <f>Masters!L87</f>
        <v>3</v>
      </c>
      <c r="K83" s="101">
        <f>Masters!M87</f>
        <v>2</v>
      </c>
      <c r="L83" s="101">
        <f>Masters!N87</f>
        <v>2</v>
      </c>
    </row>
    <row r="84">
      <c r="A84" s="101">
        <f>Masters!C88</f>
        <v>2255</v>
      </c>
      <c r="B84" s="102" t="str">
        <f>Masters!D88</f>
        <v>Meteorological Technicians</v>
      </c>
      <c r="C84" s="102" t="str">
        <f>Masters!E88</f>
        <v>Technical occupations in geomatics and meteorology</v>
      </c>
      <c r="D84" s="101">
        <f>Masters!F88</f>
        <v>3</v>
      </c>
      <c r="E84" s="101">
        <f>Masters!G88</f>
        <v>3</v>
      </c>
      <c r="F84" s="101">
        <f>Masters!H88</f>
        <v>3</v>
      </c>
      <c r="G84" s="101">
        <f>Masters!I88</f>
        <v>3</v>
      </c>
      <c r="H84" s="101">
        <f>Masters!J88</f>
        <v>3</v>
      </c>
      <c r="I84" s="101">
        <f>Masters!K88</f>
        <v>2</v>
      </c>
      <c r="J84" s="101">
        <f>Masters!L88</f>
        <v>3</v>
      </c>
      <c r="K84" s="101">
        <f>Masters!M88</f>
        <v>3</v>
      </c>
      <c r="L84" s="101">
        <f>Masters!N88</f>
        <v>3</v>
      </c>
    </row>
    <row r="85">
      <c r="A85" s="101">
        <f>Masters!C89</f>
        <v>6342</v>
      </c>
      <c r="B85" s="102" t="str">
        <f>Masters!D89</f>
        <v>Milliners</v>
      </c>
      <c r="C85" s="102" t="str">
        <f>Masters!E89</f>
        <v>Tailors, dressmakers, furriers and milliners</v>
      </c>
      <c r="D85" s="101">
        <f>Masters!F89</f>
        <v>3</v>
      </c>
      <c r="E85" s="101">
        <f>Masters!G89</f>
        <v>3</v>
      </c>
      <c r="F85" s="101">
        <f>Masters!H89</f>
        <v>4</v>
      </c>
      <c r="G85" s="101">
        <f>Masters!I89</f>
        <v>3</v>
      </c>
      <c r="H85" s="101">
        <f>Masters!J89</f>
        <v>3</v>
      </c>
      <c r="I85" s="101">
        <f>Masters!K89</f>
        <v>4</v>
      </c>
      <c r="J85" s="101">
        <f>Masters!L89</f>
        <v>3</v>
      </c>
      <c r="K85" s="101">
        <f>Masters!M89</f>
        <v>2</v>
      </c>
      <c r="L85" s="101">
        <f>Masters!N89</f>
        <v>3</v>
      </c>
    </row>
    <row r="86">
      <c r="A86" s="101">
        <f>Masters!C90</f>
        <v>9526</v>
      </c>
      <c r="B86" s="102" t="str">
        <f>Masters!D90</f>
        <v>Mechanical Inspectors</v>
      </c>
      <c r="C86" s="102" t="str">
        <f>Masters!E90</f>
        <v>Mechanical assemblers and inspectors</v>
      </c>
      <c r="D86" s="101">
        <f>Masters!F90</f>
        <v>3</v>
      </c>
      <c r="E86" s="101">
        <f>Masters!G90</f>
        <v>4</v>
      </c>
      <c r="F86" s="101">
        <f>Masters!H90</f>
        <v>4</v>
      </c>
      <c r="G86" s="101">
        <f>Masters!I90</f>
        <v>4</v>
      </c>
      <c r="H86" s="101">
        <f>Masters!J90</f>
        <v>3</v>
      </c>
      <c r="I86" s="101">
        <f>Masters!K90</f>
        <v>4</v>
      </c>
      <c r="J86" s="101">
        <f>Masters!L90</f>
        <v>3</v>
      </c>
      <c r="K86" s="101">
        <f>Masters!M90</f>
        <v>4</v>
      </c>
      <c r="L86" s="101">
        <f>Masters!N90</f>
        <v>3</v>
      </c>
    </row>
    <row r="87">
      <c r="A87" s="101">
        <f>Masters!C91</f>
        <v>7334</v>
      </c>
      <c r="B87" s="102" t="str">
        <f>Masters!D91</f>
        <v>Motorcycle and Other Related Mechanics</v>
      </c>
      <c r="C87" s="102" t="str">
        <f>Masters!E91</f>
        <v>Motorcycle, all-terrain vehicle and other related mechanics</v>
      </c>
      <c r="D87" s="101">
        <f>Masters!F91</f>
        <v>3</v>
      </c>
      <c r="E87" s="101">
        <f>Masters!G91</f>
        <v>3</v>
      </c>
      <c r="F87" s="101">
        <f>Masters!H91</f>
        <v>3</v>
      </c>
      <c r="G87" s="101">
        <f>Masters!I91</f>
        <v>3</v>
      </c>
      <c r="H87" s="101">
        <f>Masters!J91</f>
        <v>3</v>
      </c>
      <c r="I87" s="101">
        <f>Masters!K91</f>
        <v>4</v>
      </c>
      <c r="J87" s="101">
        <f>Masters!L91</f>
        <v>3</v>
      </c>
      <c r="K87" s="101">
        <f>Masters!M91</f>
        <v>3</v>
      </c>
      <c r="L87" s="101">
        <f>Masters!N91</f>
        <v>3</v>
      </c>
    </row>
    <row r="88">
      <c r="A88" s="101">
        <f>Masters!C92</f>
        <v>9422</v>
      </c>
      <c r="B88" s="102" t="str">
        <f>Masters!D92</f>
        <v>Mixing Machine Operators - Plastics Processing</v>
      </c>
      <c r="C88" s="102" t="str">
        <f>Masters!E92</f>
        <v>Plastics processing machine operators</v>
      </c>
      <c r="D88" s="101">
        <f>Masters!F92</f>
        <v>3</v>
      </c>
      <c r="E88" s="101">
        <f>Masters!G92</f>
        <v>4</v>
      </c>
      <c r="F88" s="101">
        <f>Masters!H92</f>
        <v>4</v>
      </c>
      <c r="G88" s="101">
        <f>Masters!I92</f>
        <v>3</v>
      </c>
      <c r="H88" s="101">
        <f>Masters!J92</f>
        <v>3</v>
      </c>
      <c r="I88" s="101">
        <f>Masters!K92</f>
        <v>4</v>
      </c>
      <c r="J88" s="101">
        <f>Masters!L92</f>
        <v>4</v>
      </c>
      <c r="K88" s="101">
        <f>Masters!M92</f>
        <v>4</v>
      </c>
      <c r="L88" s="101">
        <f>Masters!N92</f>
        <v>3</v>
      </c>
    </row>
    <row r="89">
      <c r="A89" s="101">
        <f>Masters!C93</f>
        <v>5133</v>
      </c>
      <c r="B89" s="102" t="str">
        <f>Masters!D93</f>
        <v>Musicians</v>
      </c>
      <c r="C89" s="102" t="str">
        <f>Masters!E93</f>
        <v>Musicians and singers</v>
      </c>
      <c r="D89" s="101">
        <f>Masters!F93</f>
        <v>2</v>
      </c>
      <c r="E89" s="101">
        <f>Masters!G93</f>
        <v>2</v>
      </c>
      <c r="F89" s="101">
        <f>Masters!H93</f>
        <v>3</v>
      </c>
      <c r="G89" s="101">
        <f>Masters!I93</f>
        <v>4</v>
      </c>
      <c r="H89" s="101">
        <f>Masters!J93</f>
        <v>3</v>
      </c>
      <c r="I89" s="101">
        <f>Masters!K93</f>
        <v>3</v>
      </c>
      <c r="J89" s="101">
        <f>Masters!L93</f>
        <v>2</v>
      </c>
      <c r="K89" s="101">
        <f>Masters!M93</f>
        <v>1</v>
      </c>
      <c r="L89" s="101">
        <f>Masters!N93</f>
        <v>2</v>
      </c>
    </row>
    <row r="90">
      <c r="A90" s="101">
        <f>Masters!C94</f>
        <v>3125</v>
      </c>
      <c r="B90" s="102" t="str">
        <f>Masters!D94</f>
        <v>Naturopaths</v>
      </c>
      <c r="C90" s="102" t="str">
        <f>Masters!E94</f>
        <v>Other professional occupations in health diagnosing and treating</v>
      </c>
      <c r="D90" s="101">
        <f>Masters!F94</f>
        <v>2</v>
      </c>
      <c r="E90" s="101">
        <f>Masters!G94</f>
        <v>2</v>
      </c>
      <c r="F90" s="101">
        <f>Masters!H94</f>
        <v>3</v>
      </c>
      <c r="G90" s="101">
        <f>Masters!I94</f>
        <v>3</v>
      </c>
      <c r="H90" s="101">
        <f>Masters!J94</f>
        <v>3</v>
      </c>
      <c r="I90" s="101">
        <f>Masters!K94</f>
        <v>4</v>
      </c>
      <c r="J90" s="101">
        <f>Masters!L94</f>
        <v>3</v>
      </c>
      <c r="K90" s="101">
        <f>Masters!M94</f>
        <v>3</v>
      </c>
      <c r="L90" s="101">
        <f>Masters!N94</f>
        <v>3</v>
      </c>
    </row>
    <row r="91">
      <c r="A91" s="101">
        <f>Masters!C95</f>
        <v>3012</v>
      </c>
      <c r="B91" s="102" t="str">
        <f>Masters!D95</f>
        <v>Occupational Health Nurses</v>
      </c>
      <c r="C91" s="102" t="str">
        <f>Masters!E95</f>
        <v>Registered nurses and registered psychiatric nurses</v>
      </c>
      <c r="D91" s="101">
        <f>Masters!F95</f>
        <v>2</v>
      </c>
      <c r="E91" s="101">
        <f>Masters!G95</f>
        <v>2</v>
      </c>
      <c r="F91" s="101">
        <f>Masters!H95</f>
        <v>3</v>
      </c>
      <c r="G91" s="101">
        <f>Masters!I95</f>
        <v>3</v>
      </c>
      <c r="H91" s="101">
        <f>Masters!J95</f>
        <v>3</v>
      </c>
      <c r="I91" s="101">
        <f>Masters!K95</f>
        <v>4</v>
      </c>
      <c r="J91" s="101">
        <f>Masters!L95</f>
        <v>3</v>
      </c>
      <c r="K91" s="101">
        <f>Masters!M95</f>
        <v>3</v>
      </c>
      <c r="L91" s="101">
        <f>Masters!N95</f>
        <v>3</v>
      </c>
    </row>
    <row r="92">
      <c r="A92" s="101">
        <f>Masters!C96</f>
        <v>3143</v>
      </c>
      <c r="B92" s="102" t="str">
        <f>Masters!D96</f>
        <v>Occupational Therapists</v>
      </c>
      <c r="C92" s="102" t="str">
        <f>Masters!E96</f>
        <v>Occupational therapists</v>
      </c>
      <c r="D92" s="101">
        <f>Masters!F96</f>
        <v>2</v>
      </c>
      <c r="E92" s="101">
        <f>Masters!G96</f>
        <v>2</v>
      </c>
      <c r="F92" s="101">
        <f>Masters!H96</f>
        <v>3</v>
      </c>
      <c r="G92" s="101">
        <f>Masters!I96</f>
        <v>3</v>
      </c>
      <c r="H92" s="101">
        <f>Masters!J96</f>
        <v>3</v>
      </c>
      <c r="I92" s="101">
        <f>Masters!K96</f>
        <v>3</v>
      </c>
      <c r="J92" s="101">
        <f>Masters!L96</f>
        <v>4</v>
      </c>
      <c r="K92" s="101">
        <f>Masters!M96</f>
        <v>3</v>
      </c>
      <c r="L92" s="101">
        <f>Masters!N96</f>
        <v>3</v>
      </c>
    </row>
    <row r="93">
      <c r="A93" s="101">
        <f>Masters!C97</f>
        <v>3219</v>
      </c>
      <c r="B93" s="102" t="str">
        <f>Masters!D97</f>
        <v>Ocularists</v>
      </c>
      <c r="C93" s="102" t="str">
        <f>Masters!E97</f>
        <v>Other medical technologists and technicians (except dental health)</v>
      </c>
      <c r="D93" s="101">
        <f>Masters!F97</f>
        <v>2</v>
      </c>
      <c r="E93" s="101">
        <f>Masters!G97</f>
        <v>3</v>
      </c>
      <c r="F93" s="101">
        <f>Masters!H97</f>
        <v>3</v>
      </c>
      <c r="G93" s="101">
        <f>Masters!I97</f>
        <v>2</v>
      </c>
      <c r="H93" s="101">
        <f>Masters!J97</f>
        <v>2</v>
      </c>
      <c r="I93" s="101">
        <f>Masters!K97</f>
        <v>4</v>
      </c>
      <c r="J93" s="101">
        <f>Masters!L97</f>
        <v>3</v>
      </c>
      <c r="K93" s="101">
        <f>Masters!M97</f>
        <v>2</v>
      </c>
      <c r="L93" s="101">
        <f>Masters!N97</f>
        <v>3</v>
      </c>
    </row>
    <row r="94">
      <c r="A94" s="101">
        <f>Masters!C98</f>
        <v>3237</v>
      </c>
      <c r="B94" s="102" t="str">
        <f>Masters!D98</f>
        <v>Ophthalmic Medical Assistants</v>
      </c>
      <c r="C94" s="102" t="str">
        <f>Masters!E98</f>
        <v>Other technical occupations in therapy and assessment</v>
      </c>
      <c r="D94" s="101">
        <f>Masters!F98</f>
        <v>3</v>
      </c>
      <c r="E94" s="101">
        <f>Masters!G98</f>
        <v>3</v>
      </c>
      <c r="F94" s="101">
        <f>Masters!H98</f>
        <v>3</v>
      </c>
      <c r="G94" s="101">
        <f>Masters!I98</f>
        <v>3</v>
      </c>
      <c r="H94" s="101">
        <f>Masters!J98</f>
        <v>3</v>
      </c>
      <c r="I94" s="101">
        <f>Masters!K98</f>
        <v>3</v>
      </c>
      <c r="J94" s="101">
        <f>Masters!L98</f>
        <v>4</v>
      </c>
      <c r="K94" s="101">
        <f>Masters!M98</f>
        <v>3</v>
      </c>
      <c r="L94" s="101">
        <f>Masters!N98</f>
        <v>3</v>
      </c>
    </row>
    <row r="95">
      <c r="A95" s="101">
        <f>Masters!C99</f>
        <v>3121</v>
      </c>
      <c r="B95" s="102" t="str">
        <f>Masters!D99</f>
        <v>Optometrists</v>
      </c>
      <c r="C95" s="102" t="str">
        <f>Masters!E99</f>
        <v>Optometrists</v>
      </c>
      <c r="D95" s="101">
        <f>Masters!F99</f>
        <v>2</v>
      </c>
      <c r="E95" s="101">
        <f>Masters!G99</f>
        <v>2</v>
      </c>
      <c r="F95" s="101">
        <f>Masters!H99</f>
        <v>2</v>
      </c>
      <c r="G95" s="101">
        <f>Masters!I99</f>
        <v>2</v>
      </c>
      <c r="H95" s="101">
        <f>Masters!J99</f>
        <v>2</v>
      </c>
      <c r="I95" s="101">
        <f>Masters!K99</f>
        <v>3</v>
      </c>
      <c r="J95" s="101">
        <f>Masters!L99</f>
        <v>3</v>
      </c>
      <c r="K95" s="101">
        <f>Masters!M99</f>
        <v>3</v>
      </c>
      <c r="L95" s="101">
        <f>Masters!N99</f>
        <v>3</v>
      </c>
    </row>
    <row r="96">
      <c r="A96" s="101">
        <f>Masters!C100</f>
        <v>6532</v>
      </c>
      <c r="B96" s="102" t="str">
        <f>Masters!D100</f>
        <v>Outdoor Sport and Recreational Guides</v>
      </c>
      <c r="C96" s="102" t="str">
        <f>Masters!E100</f>
        <v>Outdoor sport and recreational guides</v>
      </c>
      <c r="D96" s="101">
        <f>Masters!F100</f>
        <v>3</v>
      </c>
      <c r="E96" s="101">
        <f>Masters!G100</f>
        <v>3</v>
      </c>
      <c r="F96" s="101">
        <f>Masters!H100</f>
        <v>4</v>
      </c>
      <c r="G96" s="101">
        <f>Masters!I100</f>
        <v>3</v>
      </c>
      <c r="H96" s="101">
        <f>Masters!J100</f>
        <v>3</v>
      </c>
      <c r="I96" s="101">
        <f>Masters!K100</f>
        <v>4</v>
      </c>
      <c r="J96" s="101">
        <f>Masters!L100</f>
        <v>3</v>
      </c>
      <c r="K96" s="101">
        <f>Masters!M100</f>
        <v>4</v>
      </c>
      <c r="L96" s="101">
        <f>Masters!N100</f>
        <v>3</v>
      </c>
    </row>
    <row r="97">
      <c r="A97" s="101">
        <f>Masters!C101</f>
        <v>9422</v>
      </c>
      <c r="B97" s="102" t="str">
        <f>Masters!D101</f>
        <v>Moulding Process Operators - Plastics Processing</v>
      </c>
      <c r="C97" s="102" t="str">
        <f>Masters!E101</f>
        <v>Plastics processing machine operators</v>
      </c>
      <c r="D97" s="101">
        <f>Masters!F101</f>
        <v>3</v>
      </c>
      <c r="E97" s="101">
        <f>Masters!G101</f>
        <v>4</v>
      </c>
      <c r="F97" s="101">
        <f>Masters!H101</f>
        <v>4</v>
      </c>
      <c r="G97" s="101">
        <f>Masters!I101</f>
        <v>3</v>
      </c>
      <c r="H97" s="101">
        <f>Masters!J101</f>
        <v>3</v>
      </c>
      <c r="I97" s="101">
        <f>Masters!K101</f>
        <v>4</v>
      </c>
      <c r="J97" s="101">
        <f>Masters!L101</f>
        <v>4</v>
      </c>
      <c r="K97" s="101">
        <f>Masters!M101</f>
        <v>4</v>
      </c>
      <c r="L97" s="101">
        <f>Masters!N101</f>
        <v>3</v>
      </c>
    </row>
    <row r="98">
      <c r="A98" s="101">
        <f>Masters!C102</f>
        <v>9536</v>
      </c>
      <c r="B98" s="102" t="str">
        <f>Masters!D102</f>
        <v>Painters and Coaters - Industrial</v>
      </c>
      <c r="C98" s="102" t="str">
        <f>Masters!E102</f>
        <v>Industrial painters, coaters and metal finishing process operators</v>
      </c>
      <c r="D98" s="101">
        <f>Masters!F102</f>
        <v>4</v>
      </c>
      <c r="E98" s="101">
        <f>Masters!G102</f>
        <v>4</v>
      </c>
      <c r="F98" s="101">
        <f>Masters!H102</f>
        <v>4</v>
      </c>
      <c r="G98" s="101">
        <f>Masters!I102</f>
        <v>4</v>
      </c>
      <c r="H98" s="101">
        <f>Masters!J102</f>
        <v>3</v>
      </c>
      <c r="I98" s="101">
        <f>Masters!K102</f>
        <v>4</v>
      </c>
      <c r="J98" s="101">
        <f>Masters!L102</f>
        <v>3</v>
      </c>
      <c r="K98" s="101">
        <f>Masters!M102</f>
        <v>3</v>
      </c>
      <c r="L98" s="101">
        <f>Masters!N102</f>
        <v>3</v>
      </c>
    </row>
    <row r="99">
      <c r="A99" s="101">
        <f>Masters!C103</f>
        <v>9433</v>
      </c>
      <c r="B99" s="102" t="str">
        <f>Masters!D103</f>
        <v>Papermaking and Finishing Machine Operators</v>
      </c>
      <c r="C99" s="102" t="str">
        <f>Masters!E103</f>
        <v>Papermaking and finishing machine operators</v>
      </c>
      <c r="D99" s="101">
        <f>Masters!F103</f>
        <v>4</v>
      </c>
      <c r="E99" s="101">
        <f>Masters!G103</f>
        <v>4</v>
      </c>
      <c r="F99" s="101">
        <f>Masters!H103</f>
        <v>4</v>
      </c>
      <c r="G99" s="101">
        <f>Masters!I103</f>
        <v>3</v>
      </c>
      <c r="H99" s="101">
        <f>Masters!J103</f>
        <v>3</v>
      </c>
      <c r="I99" s="101">
        <f>Masters!K103</f>
        <v>4</v>
      </c>
      <c r="J99" s="101">
        <f>Masters!L103</f>
        <v>3</v>
      </c>
      <c r="K99" s="101">
        <f>Masters!M103</f>
        <v>4</v>
      </c>
      <c r="L99" s="101">
        <f>Masters!N103</f>
        <v>3</v>
      </c>
    </row>
    <row r="100">
      <c r="A100" s="101">
        <f>Masters!C104</f>
        <v>5221</v>
      </c>
      <c r="B100" s="102" t="str">
        <f>Masters!D104</f>
        <v>Photographers</v>
      </c>
      <c r="C100" s="102" t="str">
        <f>Masters!E104</f>
        <v>Photographers</v>
      </c>
      <c r="D100" s="101">
        <f>Masters!F104</f>
        <v>3</v>
      </c>
      <c r="E100" s="101">
        <f>Masters!G104</f>
        <v>3</v>
      </c>
      <c r="F100" s="101">
        <f>Masters!H104</f>
        <v>3</v>
      </c>
      <c r="G100" s="101">
        <f>Masters!I104</f>
        <v>2</v>
      </c>
      <c r="H100" s="101">
        <f>Masters!J104</f>
        <v>2</v>
      </c>
      <c r="I100" s="101">
        <f>Masters!K104</f>
        <v>4</v>
      </c>
      <c r="J100" s="101">
        <f>Masters!L104</f>
        <v>3</v>
      </c>
      <c r="K100" s="101">
        <f>Masters!M104</f>
        <v>3</v>
      </c>
      <c r="L100" s="101">
        <f>Masters!N104</f>
        <v>3</v>
      </c>
    </row>
    <row r="101">
      <c r="A101" s="101">
        <f>Masters!C105</f>
        <v>3142</v>
      </c>
      <c r="B101" s="102" t="str">
        <f>Masters!D105</f>
        <v>Physiotherapists</v>
      </c>
      <c r="C101" s="102" t="str">
        <f>Masters!E105</f>
        <v>Physiotherapists</v>
      </c>
      <c r="D101" s="101">
        <f>Masters!F105</f>
        <v>2</v>
      </c>
      <c r="E101" s="101">
        <f>Masters!G105</f>
        <v>2</v>
      </c>
      <c r="F101" s="101">
        <f>Masters!H105</f>
        <v>3</v>
      </c>
      <c r="G101" s="101">
        <f>Masters!I105</f>
        <v>3</v>
      </c>
      <c r="H101" s="101">
        <f>Masters!J105</f>
        <v>3</v>
      </c>
      <c r="I101" s="101">
        <f>Masters!K105</f>
        <v>3</v>
      </c>
      <c r="J101" s="101">
        <f>Masters!L105</f>
        <v>4</v>
      </c>
      <c r="K101" s="101">
        <f>Masters!M105</f>
        <v>3</v>
      </c>
      <c r="L101" s="101">
        <f>Masters!N105</f>
        <v>3</v>
      </c>
    </row>
    <row r="102">
      <c r="A102" s="101">
        <f>Masters!C106</f>
        <v>3414</v>
      </c>
      <c r="B102" s="102" t="str">
        <f>Masters!D106</f>
        <v>Pharmacy Assistants</v>
      </c>
      <c r="C102" s="102" t="str">
        <f>Masters!E106</f>
        <v>Other assisting occupations in support of health services</v>
      </c>
      <c r="D102" s="101">
        <f>Masters!F106</f>
        <v>3</v>
      </c>
      <c r="E102" s="101">
        <f>Masters!G106</f>
        <v>4</v>
      </c>
      <c r="F102" s="101">
        <f>Masters!H106</f>
        <v>4</v>
      </c>
      <c r="G102" s="101">
        <f>Masters!I106</f>
        <v>4</v>
      </c>
      <c r="H102" s="101">
        <f>Masters!J106</f>
        <v>4</v>
      </c>
      <c r="I102" s="101">
        <f>Masters!K106</f>
        <v>3</v>
      </c>
      <c r="J102" s="101">
        <f>Masters!L106</f>
        <v>4</v>
      </c>
      <c r="K102" s="101">
        <f>Masters!M106</f>
        <v>3</v>
      </c>
      <c r="L102" s="101">
        <f>Masters!N106</f>
        <v>3</v>
      </c>
    </row>
    <row r="103">
      <c r="A103" s="101">
        <f>Masters!C107</f>
        <v>7243</v>
      </c>
      <c r="B103" s="102" t="str">
        <f>Masters!D107</f>
        <v>Power System Electricians</v>
      </c>
      <c r="C103" s="102" t="str">
        <f>Masters!E107</f>
        <v>Power system electricians</v>
      </c>
      <c r="D103" s="101">
        <f>Masters!F107</f>
        <v>3</v>
      </c>
      <c r="E103" s="101">
        <f>Masters!G107</f>
        <v>3</v>
      </c>
      <c r="F103" s="101">
        <f>Masters!H107</f>
        <v>3</v>
      </c>
      <c r="G103" s="101">
        <f>Masters!I107</f>
        <v>3</v>
      </c>
      <c r="H103" s="101">
        <f>Masters!J107</f>
        <v>3</v>
      </c>
      <c r="I103" s="101">
        <f>Masters!K107</f>
        <v>4</v>
      </c>
      <c r="J103" s="101">
        <f>Masters!L107</f>
        <v>3</v>
      </c>
      <c r="K103" s="101">
        <f>Masters!M107</f>
        <v>3</v>
      </c>
      <c r="L103" s="101">
        <f>Masters!N107</f>
        <v>3</v>
      </c>
    </row>
    <row r="104">
      <c r="A104" s="101">
        <f>Masters!C108</f>
        <v>9536</v>
      </c>
      <c r="B104" s="102" t="str">
        <f>Masters!D108</f>
        <v>Plating, Metal Spraying and Related Operators</v>
      </c>
      <c r="C104" s="102" t="str">
        <f>Masters!E108</f>
        <v>Industrial painters, coaters and metal finishing process operators</v>
      </c>
      <c r="D104" s="101">
        <f>Masters!F108</f>
        <v>3</v>
      </c>
      <c r="E104" s="101">
        <f>Masters!G108</f>
        <v>4</v>
      </c>
      <c r="F104" s="101">
        <f>Masters!H108</f>
        <v>4</v>
      </c>
      <c r="G104" s="101">
        <f>Masters!I108</f>
        <v>4</v>
      </c>
      <c r="H104" s="101">
        <f>Masters!J108</f>
        <v>3</v>
      </c>
      <c r="I104" s="101">
        <f>Masters!K108</f>
        <v>4</v>
      </c>
      <c r="J104" s="101">
        <f>Masters!L108</f>
        <v>3</v>
      </c>
      <c r="K104" s="101">
        <f>Masters!M108</f>
        <v>4</v>
      </c>
      <c r="L104" s="101">
        <f>Masters!N108</f>
        <v>3</v>
      </c>
    </row>
    <row r="105">
      <c r="A105" s="101">
        <f>Masters!C109</f>
        <v>9472</v>
      </c>
      <c r="B105" s="102" t="str">
        <f>Masters!D109</f>
        <v>Proofmakers</v>
      </c>
      <c r="C105" s="102" t="str">
        <f>Masters!E109</f>
        <v>Camera, platemaking and other prepress occupations</v>
      </c>
      <c r="D105" s="101">
        <f>Masters!F109</f>
        <v>3</v>
      </c>
      <c r="E105" s="101">
        <f>Masters!G109</f>
        <v>3</v>
      </c>
      <c r="F105" s="101">
        <f>Masters!H109</f>
        <v>4</v>
      </c>
      <c r="G105" s="101">
        <f>Masters!I109</f>
        <v>4</v>
      </c>
      <c r="H105" s="101">
        <f>Masters!J109</f>
        <v>3</v>
      </c>
      <c r="I105" s="101">
        <f>Masters!K109</f>
        <v>4</v>
      </c>
      <c r="J105" s="101">
        <f>Masters!L109</f>
        <v>3</v>
      </c>
      <c r="K105" s="101">
        <f>Masters!M109</f>
        <v>3</v>
      </c>
      <c r="L105" s="101">
        <f>Masters!N109</f>
        <v>3</v>
      </c>
    </row>
    <row r="106">
      <c r="A106" s="101">
        <f>Masters!C110</f>
        <v>3012</v>
      </c>
      <c r="B106" s="102" t="str">
        <f>Masters!D110</f>
        <v>Psychiatric Nurses</v>
      </c>
      <c r="C106" s="102" t="str">
        <f>Masters!E110</f>
        <v>Registered nurses and registered psychiatric nurses</v>
      </c>
      <c r="D106" s="101">
        <f>Masters!F110</f>
        <v>2</v>
      </c>
      <c r="E106" s="101">
        <f>Masters!G110</f>
        <v>2</v>
      </c>
      <c r="F106" s="101">
        <f>Masters!H110</f>
        <v>3</v>
      </c>
      <c r="G106" s="101">
        <f>Masters!I110</f>
        <v>3</v>
      </c>
      <c r="H106" s="101">
        <f>Masters!J110</f>
        <v>3</v>
      </c>
      <c r="I106" s="101">
        <f>Masters!K110</f>
        <v>4</v>
      </c>
      <c r="J106" s="101">
        <f>Masters!L110</f>
        <v>3</v>
      </c>
      <c r="K106" s="101">
        <f>Masters!M110</f>
        <v>3</v>
      </c>
      <c r="L106" s="101">
        <f>Masters!N110</f>
        <v>3</v>
      </c>
    </row>
    <row r="107">
      <c r="A107" s="101">
        <f>Masters!C111</f>
        <v>3215</v>
      </c>
      <c r="B107" s="102" t="str">
        <f>Masters!D111</f>
        <v>Radiation Therapists</v>
      </c>
      <c r="C107" s="102" t="str">
        <f>Masters!E111</f>
        <v>Medical radiation technologists</v>
      </c>
      <c r="D107" s="101">
        <f>Masters!F111</f>
        <v>3</v>
      </c>
      <c r="E107" s="101">
        <f>Masters!G111</f>
        <v>3</v>
      </c>
      <c r="F107" s="101">
        <f>Masters!H111</f>
        <v>3</v>
      </c>
      <c r="G107" s="101">
        <f>Masters!I111</f>
        <v>3</v>
      </c>
      <c r="H107" s="101">
        <f>Masters!J111</f>
        <v>3</v>
      </c>
      <c r="I107" s="101">
        <f>Masters!K111</f>
        <v>4</v>
      </c>
      <c r="J107" s="101">
        <f>Masters!L111</f>
        <v>3</v>
      </c>
      <c r="K107" s="101">
        <f>Masters!M111</f>
        <v>3</v>
      </c>
      <c r="L107" s="101">
        <f>Masters!N111</f>
        <v>3</v>
      </c>
    </row>
    <row r="108">
      <c r="A108" s="101">
        <f>Masters!C112</f>
        <v>3215</v>
      </c>
      <c r="B108" s="102" t="str">
        <f>Masters!D112</f>
        <v>Radiological Technologists</v>
      </c>
      <c r="C108" s="102" t="str">
        <f>Masters!E112</f>
        <v>Medical radiation technologists</v>
      </c>
      <c r="D108" s="101">
        <f>Masters!F112</f>
        <v>3</v>
      </c>
      <c r="E108" s="101">
        <f>Masters!G112</f>
        <v>3</v>
      </c>
      <c r="F108" s="101">
        <f>Masters!H112</f>
        <v>3</v>
      </c>
      <c r="G108" s="101">
        <f>Masters!I112</f>
        <v>3</v>
      </c>
      <c r="H108" s="101">
        <f>Masters!J112</f>
        <v>3</v>
      </c>
      <c r="I108" s="101">
        <f>Masters!K112</f>
        <v>4</v>
      </c>
      <c r="J108" s="101">
        <f>Masters!L112</f>
        <v>3</v>
      </c>
      <c r="K108" s="101">
        <f>Masters!M112</f>
        <v>3</v>
      </c>
      <c r="L108" s="101">
        <f>Masters!N112</f>
        <v>3</v>
      </c>
    </row>
    <row r="109">
      <c r="A109" s="101">
        <f>Masters!C113</f>
        <v>7313</v>
      </c>
      <c r="B109" s="102" t="str">
        <f>Masters!D113</f>
        <v>Refrigeration and Air Conditioning Mechanics</v>
      </c>
      <c r="C109" s="102" t="str">
        <f>Masters!E113</f>
        <v>Refrigeration and air conditioning mechanics</v>
      </c>
      <c r="D109" s="101">
        <f>Masters!F113</f>
        <v>3</v>
      </c>
      <c r="E109" s="101">
        <f>Masters!G113</f>
        <v>3</v>
      </c>
      <c r="F109" s="101">
        <f>Masters!H113</f>
        <v>3</v>
      </c>
      <c r="G109" s="101">
        <f>Masters!I113</f>
        <v>3</v>
      </c>
      <c r="H109" s="101">
        <f>Masters!J113</f>
        <v>3</v>
      </c>
      <c r="I109" s="101">
        <f>Masters!K113</f>
        <v>4</v>
      </c>
      <c r="J109" s="101">
        <f>Masters!L113</f>
        <v>3</v>
      </c>
      <c r="K109" s="101">
        <f>Masters!M113</f>
        <v>3</v>
      </c>
      <c r="L109" s="101">
        <f>Masters!N113</f>
        <v>3</v>
      </c>
    </row>
    <row r="110">
      <c r="A110" s="101">
        <f>Masters!C114</f>
        <v>3214</v>
      </c>
      <c r="B110" s="102" t="str">
        <f>Masters!D114</f>
        <v>Respiratory Therapists</v>
      </c>
      <c r="C110" s="102" t="str">
        <f>Masters!E114</f>
        <v>Respiratory therapists, clinical perfusionists and cardiopulmonary technologists</v>
      </c>
      <c r="D110" s="101">
        <f>Masters!F114</f>
        <v>3</v>
      </c>
      <c r="E110" s="101">
        <f>Masters!G114</f>
        <v>3</v>
      </c>
      <c r="F110" s="101">
        <f>Masters!H114</f>
        <v>3</v>
      </c>
      <c r="G110" s="101">
        <f>Masters!I114</f>
        <v>3</v>
      </c>
      <c r="H110" s="101">
        <f>Masters!J114</f>
        <v>3</v>
      </c>
      <c r="I110" s="101">
        <f>Masters!K114</f>
        <v>4</v>
      </c>
      <c r="J110" s="101">
        <f>Masters!L114</f>
        <v>3</v>
      </c>
      <c r="K110" s="101">
        <f>Masters!M114</f>
        <v>3</v>
      </c>
      <c r="L110" s="101">
        <f>Masters!N114</f>
        <v>3</v>
      </c>
    </row>
    <row r="111">
      <c r="A111" s="101">
        <f>Masters!C115</f>
        <v>9472</v>
      </c>
      <c r="B111" s="102" t="str">
        <f>Masters!D115</f>
        <v>Pre-Press Technicians</v>
      </c>
      <c r="C111" s="102" t="str">
        <f>Masters!E115</f>
        <v>Camera, platemaking and other prepress occupations</v>
      </c>
      <c r="D111" s="101">
        <f>Masters!F115</f>
        <v>3</v>
      </c>
      <c r="E111" s="101">
        <f>Masters!G115</f>
        <v>4</v>
      </c>
      <c r="F111" s="101">
        <f>Masters!H115</f>
        <v>3</v>
      </c>
      <c r="G111" s="101">
        <f>Masters!I115</f>
        <v>3</v>
      </c>
      <c r="H111" s="101">
        <f>Masters!J115</f>
        <v>2</v>
      </c>
      <c r="I111" s="101">
        <f>Masters!K115</f>
        <v>4</v>
      </c>
      <c r="J111" s="101">
        <f>Masters!L115</f>
        <v>3</v>
      </c>
      <c r="K111" s="101">
        <f>Masters!M115</f>
        <v>4</v>
      </c>
      <c r="L111" s="101">
        <f>Masters!N115</f>
        <v>4</v>
      </c>
    </row>
    <row r="112">
      <c r="A112" s="101">
        <f>Masters!C116</f>
        <v>6562</v>
      </c>
      <c r="B112" s="102" t="str">
        <f>Masters!D116</f>
        <v>Scalp Treatment Specialists</v>
      </c>
      <c r="C112" s="102" t="str">
        <f>Masters!E116</f>
        <v>Estheticians, electrologists and related occupations</v>
      </c>
      <c r="D112" s="101">
        <f>Masters!F116</f>
        <v>3</v>
      </c>
      <c r="E112" s="101">
        <f>Masters!G116</f>
        <v>3</v>
      </c>
      <c r="F112" s="101">
        <f>Masters!H116</f>
        <v>4</v>
      </c>
      <c r="G112" s="101">
        <f>Masters!I116</f>
        <v>4</v>
      </c>
      <c r="H112" s="101">
        <f>Masters!J116</f>
        <v>3</v>
      </c>
      <c r="I112" s="101">
        <f>Masters!K116</f>
        <v>4</v>
      </c>
      <c r="J112" s="101">
        <f>Masters!L116</f>
        <v>3</v>
      </c>
      <c r="K112" s="101">
        <f>Masters!M116</f>
        <v>3</v>
      </c>
      <c r="L112" s="101">
        <f>Masters!N116</f>
        <v>3</v>
      </c>
    </row>
    <row r="113">
      <c r="A113" s="101">
        <f>Masters!C117</f>
        <v>9461</v>
      </c>
      <c r="B113" s="102" t="str">
        <f>Masters!D117</f>
        <v>Process Control Operators, Food and Beverage Processing</v>
      </c>
      <c r="C113" s="102" t="str">
        <f>Masters!E117</f>
        <v>Process control and machine operators, food, beverage and associated products processing</v>
      </c>
      <c r="D113" s="101">
        <f>Masters!F117</f>
        <v>3</v>
      </c>
      <c r="E113" s="101">
        <f>Masters!G117</f>
        <v>4</v>
      </c>
      <c r="F113" s="101">
        <f>Masters!H117</f>
        <v>4</v>
      </c>
      <c r="G113" s="101">
        <f>Masters!I117</f>
        <v>4</v>
      </c>
      <c r="H113" s="101">
        <f>Masters!J117</f>
        <v>3</v>
      </c>
      <c r="I113" s="101">
        <f>Masters!K117</f>
        <v>4</v>
      </c>
      <c r="J113" s="101">
        <f>Masters!L117</f>
        <v>3</v>
      </c>
      <c r="K113" s="101">
        <f>Masters!M117</f>
        <v>4</v>
      </c>
      <c r="L113" s="101">
        <f>Masters!N117</f>
        <v>3</v>
      </c>
    </row>
    <row r="114">
      <c r="A114" s="101">
        <f>Masters!C118</f>
        <v>9431</v>
      </c>
      <c r="B114" s="102" t="str">
        <f>Masters!D118</f>
        <v>Sawmill Machine Operators</v>
      </c>
      <c r="C114" s="102" t="str">
        <f>Masters!E118</f>
        <v>Sawmill machine operators</v>
      </c>
      <c r="D114" s="101">
        <f>Masters!F118</f>
        <v>3</v>
      </c>
      <c r="E114" s="101">
        <f>Masters!G118</f>
        <v>4</v>
      </c>
      <c r="F114" s="101">
        <f>Masters!H118</f>
        <v>4</v>
      </c>
      <c r="G114" s="101">
        <f>Masters!I118</f>
        <v>3</v>
      </c>
      <c r="H114" s="101">
        <f>Masters!J118</f>
        <v>3</v>
      </c>
      <c r="I114" s="101">
        <f>Masters!K118</f>
        <v>5</v>
      </c>
      <c r="J114" s="101">
        <f>Masters!L118</f>
        <v>3</v>
      </c>
      <c r="K114" s="101">
        <f>Masters!M118</f>
        <v>4</v>
      </c>
      <c r="L114" s="101">
        <f>Masters!N118</f>
        <v>3</v>
      </c>
    </row>
    <row r="115">
      <c r="A115" s="101">
        <f>Masters!C119</f>
        <v>1423</v>
      </c>
      <c r="B115" s="102" t="str">
        <f>Masters!D119</f>
        <v>Scanner Operators</v>
      </c>
      <c r="C115" s="102" t="str">
        <f>Masters!E119</f>
        <v>Desktop publishing operators and related occupations</v>
      </c>
      <c r="D115" s="101">
        <f>Masters!F119</f>
        <v>3</v>
      </c>
      <c r="E115" s="101">
        <f>Masters!G119</f>
        <v>4</v>
      </c>
      <c r="F115" s="101">
        <f>Masters!H119</f>
        <v>3</v>
      </c>
      <c r="G115" s="101">
        <f>Masters!I119</f>
        <v>3</v>
      </c>
      <c r="H115" s="101">
        <f>Masters!J119</f>
        <v>2</v>
      </c>
      <c r="I115" s="101">
        <f>Masters!K119</f>
        <v>4</v>
      </c>
      <c r="J115" s="101">
        <f>Masters!L119</f>
        <v>3</v>
      </c>
      <c r="K115" s="101">
        <f>Masters!M119</f>
        <v>4</v>
      </c>
      <c r="L115" s="101">
        <f>Masters!N119</f>
        <v>4</v>
      </c>
    </row>
    <row r="116">
      <c r="A116" s="101">
        <f>Masters!C120</f>
        <v>6343</v>
      </c>
      <c r="B116" s="102" t="str">
        <f>Masters!D120</f>
        <v>Shoe Repairers</v>
      </c>
      <c r="C116" s="102" t="str">
        <f>Masters!E120</f>
        <v>Shoe repairers and shoemakers</v>
      </c>
      <c r="D116" s="101">
        <f>Masters!F120</f>
        <v>3</v>
      </c>
      <c r="E116" s="101">
        <f>Masters!G120</f>
        <v>3</v>
      </c>
      <c r="F116" s="101">
        <f>Masters!H120</f>
        <v>4</v>
      </c>
      <c r="G116" s="101">
        <f>Masters!I120</f>
        <v>3</v>
      </c>
      <c r="H116" s="101">
        <f>Masters!J120</f>
        <v>3</v>
      </c>
      <c r="I116" s="101">
        <f>Masters!K120</f>
        <v>5</v>
      </c>
      <c r="J116" s="101">
        <f>Masters!L120</f>
        <v>3</v>
      </c>
      <c r="K116" s="101">
        <f>Masters!M120</f>
        <v>3</v>
      </c>
      <c r="L116" s="101">
        <f>Masters!N120</f>
        <v>3</v>
      </c>
    </row>
    <row r="117">
      <c r="A117" s="101">
        <f>Masters!C121</f>
        <v>6343</v>
      </c>
      <c r="B117" s="102" t="str">
        <f>Masters!D121</f>
        <v>Shoemakers</v>
      </c>
      <c r="C117" s="102" t="str">
        <f>Masters!E121</f>
        <v>Shoe repairers and shoemakers</v>
      </c>
      <c r="D117" s="101">
        <f>Masters!F121</f>
        <v>3</v>
      </c>
      <c r="E117" s="101">
        <f>Masters!G121</f>
        <v>3</v>
      </c>
      <c r="F117" s="101">
        <f>Masters!H121</f>
        <v>4</v>
      </c>
      <c r="G117" s="101">
        <f>Masters!I121</f>
        <v>3</v>
      </c>
      <c r="H117" s="101">
        <f>Masters!J121</f>
        <v>3</v>
      </c>
      <c r="I117" s="101">
        <f>Masters!K121</f>
        <v>4</v>
      </c>
      <c r="J117" s="101">
        <f>Masters!L121</f>
        <v>3</v>
      </c>
      <c r="K117" s="101">
        <f>Masters!M121</f>
        <v>2</v>
      </c>
      <c r="L117" s="101">
        <f>Masters!N121</f>
        <v>3</v>
      </c>
    </row>
    <row r="118">
      <c r="A118" s="101">
        <f>Masters!C122</f>
        <v>7332</v>
      </c>
      <c r="B118" s="102" t="str">
        <f>Masters!D122</f>
        <v>Small Appliance Servicers and Repairers</v>
      </c>
      <c r="C118" s="102" t="str">
        <f>Masters!E122</f>
        <v>Appliance servicers and repairers</v>
      </c>
      <c r="D118" s="101">
        <f>Masters!F122</f>
        <v>3</v>
      </c>
      <c r="E118" s="101">
        <f>Masters!G122</f>
        <v>3</v>
      </c>
      <c r="F118" s="101">
        <f>Masters!H122</f>
        <v>3</v>
      </c>
      <c r="G118" s="101">
        <f>Masters!I122</f>
        <v>3</v>
      </c>
      <c r="H118" s="101">
        <f>Masters!J122</f>
        <v>3</v>
      </c>
      <c r="I118" s="101">
        <f>Masters!K122</f>
        <v>4</v>
      </c>
      <c r="J118" s="101">
        <f>Masters!L122</f>
        <v>3</v>
      </c>
      <c r="K118" s="101">
        <f>Masters!M122</f>
        <v>3</v>
      </c>
      <c r="L118" s="101">
        <f>Masters!N122</f>
        <v>3</v>
      </c>
    </row>
    <row r="119">
      <c r="A119" s="101">
        <f>Masters!C123</f>
        <v>9473</v>
      </c>
      <c r="B119" s="102" t="str">
        <f>Masters!D123</f>
        <v>Specialty Finishing Equipment Operators</v>
      </c>
      <c r="C119" s="102" t="str">
        <f>Masters!E123</f>
        <v>Binding and finishing machine operators</v>
      </c>
      <c r="D119" s="101">
        <f>Masters!F123</f>
        <v>3</v>
      </c>
      <c r="E119" s="101">
        <f>Masters!G123</f>
        <v>3</v>
      </c>
      <c r="F119" s="101">
        <f>Masters!H123</f>
        <v>4</v>
      </c>
      <c r="G119" s="101">
        <f>Masters!I123</f>
        <v>3</v>
      </c>
      <c r="H119" s="101">
        <f>Masters!J123</f>
        <v>3</v>
      </c>
      <c r="I119" s="101">
        <f>Masters!K123</f>
        <v>4</v>
      </c>
      <c r="J119" s="101">
        <f>Masters!L123</f>
        <v>3</v>
      </c>
      <c r="K119" s="101">
        <f>Masters!M123</f>
        <v>4</v>
      </c>
      <c r="L119" s="101">
        <f>Masters!N123</f>
        <v>3</v>
      </c>
    </row>
    <row r="120">
      <c r="A120" s="101">
        <f>Masters!C124</f>
        <v>7252</v>
      </c>
      <c r="B120" s="102" t="str">
        <f>Masters!D124</f>
        <v>Sprinkler System Installers</v>
      </c>
      <c r="C120" s="102" t="str">
        <f>Masters!E124</f>
        <v>Steamfitters, pipefitters and sprinkler system installers</v>
      </c>
      <c r="D120" s="101">
        <f>Masters!F124</f>
        <v>3</v>
      </c>
      <c r="E120" s="101">
        <f>Masters!G124</f>
        <v>3</v>
      </c>
      <c r="F120" s="101">
        <f>Masters!H124</f>
        <v>3</v>
      </c>
      <c r="G120" s="101">
        <f>Masters!I124</f>
        <v>3</v>
      </c>
      <c r="H120" s="101">
        <f>Masters!J124</f>
        <v>3</v>
      </c>
      <c r="I120" s="101">
        <f>Masters!K124</f>
        <v>4</v>
      </c>
      <c r="J120" s="101">
        <f>Masters!L124</f>
        <v>3</v>
      </c>
      <c r="K120" s="101">
        <f>Masters!M124</f>
        <v>3</v>
      </c>
      <c r="L120" s="101">
        <f>Masters!N124</f>
        <v>3</v>
      </c>
    </row>
    <row r="121">
      <c r="A121" s="101">
        <f>Masters!C125</f>
        <v>7252</v>
      </c>
      <c r="B121" s="102" t="str">
        <f>Masters!D125</f>
        <v>Steamfitters and Pipefitters</v>
      </c>
      <c r="C121" s="102" t="str">
        <f>Masters!E125</f>
        <v>Steamfitters, pipefitters and sprinkler system installers</v>
      </c>
      <c r="D121" s="101">
        <f>Masters!F125</f>
        <v>3</v>
      </c>
      <c r="E121" s="101">
        <f>Masters!G125</f>
        <v>3</v>
      </c>
      <c r="F121" s="101">
        <f>Masters!H125</f>
        <v>3</v>
      </c>
      <c r="G121" s="101">
        <f>Masters!I125</f>
        <v>3</v>
      </c>
      <c r="H121" s="101">
        <f>Masters!J125</f>
        <v>3</v>
      </c>
      <c r="I121" s="101">
        <f>Masters!K125</f>
        <v>4</v>
      </c>
      <c r="J121" s="101">
        <f>Masters!L125</f>
        <v>3</v>
      </c>
      <c r="K121" s="101">
        <f>Masters!M125</f>
        <v>3</v>
      </c>
      <c r="L121" s="101">
        <f>Masters!N125</f>
        <v>3</v>
      </c>
    </row>
    <row r="122">
      <c r="A122" s="101">
        <f>Masters!C126</f>
        <v>5226</v>
      </c>
      <c r="B122" s="102" t="str">
        <f>Masters!D126</f>
        <v>Stunt Co-ordinators and Special Effects Technicians</v>
      </c>
      <c r="C122" s="102" t="str">
        <f>Masters!E126</f>
        <v>Other technical and co-ordinating occupations in motion pictures, broadcasting and the performing arts</v>
      </c>
      <c r="D122" s="101">
        <f>Masters!F126</f>
        <v>3</v>
      </c>
      <c r="E122" s="101">
        <f>Masters!G126</f>
        <v>3</v>
      </c>
      <c r="F122" s="101">
        <f>Masters!H126</f>
        <v>3</v>
      </c>
      <c r="G122" s="101">
        <f>Masters!I126</f>
        <v>2</v>
      </c>
      <c r="H122" s="101">
        <f>Masters!J126</f>
        <v>3</v>
      </c>
      <c r="I122" s="101">
        <f>Masters!K126</f>
        <v>4</v>
      </c>
      <c r="J122" s="101">
        <f>Masters!L126</f>
        <v>3</v>
      </c>
      <c r="K122" s="101">
        <f>Masters!M126</f>
        <v>4</v>
      </c>
      <c r="L122" s="101">
        <f>Masters!N126</f>
        <v>3</v>
      </c>
    </row>
    <row r="123">
      <c r="A123" s="101">
        <f>Masters!C127</f>
        <v>7304</v>
      </c>
      <c r="B123" s="102" t="str">
        <f>Masters!D127</f>
        <v>Supervisors, Railway Transport Operations</v>
      </c>
      <c r="C123" s="102" t="str">
        <f>Masters!E127</f>
        <v>Supervisors, railway transport operations</v>
      </c>
      <c r="D123" s="101">
        <f>Masters!F127</f>
        <v>3</v>
      </c>
      <c r="E123" s="101">
        <f>Masters!G127</f>
        <v>3</v>
      </c>
      <c r="F123" s="101">
        <f>Masters!H127</f>
        <v>4</v>
      </c>
      <c r="G123" s="101">
        <f>Masters!I127</f>
        <v>3</v>
      </c>
      <c r="H123" s="101">
        <f>Masters!J127</f>
        <v>3</v>
      </c>
      <c r="I123" s="101">
        <f>Masters!K127</f>
        <v>3</v>
      </c>
      <c r="J123" s="101">
        <f>Masters!L127</f>
        <v>4</v>
      </c>
      <c r="K123" s="101">
        <f>Masters!M127</f>
        <v>4</v>
      </c>
      <c r="L123" s="101">
        <f>Masters!N127</f>
        <v>3</v>
      </c>
    </row>
    <row r="124">
      <c r="A124" s="101">
        <f>Masters!C128</f>
        <v>6342</v>
      </c>
      <c r="B124" s="102" t="str">
        <f>Masters!D128</f>
        <v>Tailors</v>
      </c>
      <c r="C124" s="102" t="str">
        <f>Masters!E128</f>
        <v>Tailors, dressmakers, furriers and milliners</v>
      </c>
      <c r="D124" s="101">
        <f>Masters!F128</f>
        <v>3</v>
      </c>
      <c r="E124" s="101">
        <f>Masters!G128</f>
        <v>3</v>
      </c>
      <c r="F124" s="101">
        <f>Masters!H128</f>
        <v>4</v>
      </c>
      <c r="G124" s="101">
        <f>Masters!I128</f>
        <v>3</v>
      </c>
      <c r="H124" s="101">
        <f>Masters!J128</f>
        <v>3</v>
      </c>
      <c r="I124" s="101">
        <f>Masters!K128</f>
        <v>4</v>
      </c>
      <c r="J124" s="101">
        <f>Masters!L128</f>
        <v>3</v>
      </c>
      <c r="K124" s="101">
        <f>Masters!M128</f>
        <v>2</v>
      </c>
      <c r="L124" s="101">
        <f>Masters!N128</f>
        <v>3</v>
      </c>
    </row>
    <row r="125">
      <c r="A125" s="101">
        <f>Masters!C129</f>
        <v>7512</v>
      </c>
      <c r="B125" s="102" t="str">
        <f>Masters!D129</f>
        <v>School Bus Drivers</v>
      </c>
      <c r="C125" s="102" t="str">
        <f>Masters!E129</f>
        <v>Bus drivers, subway operators and other transit operators</v>
      </c>
      <c r="D125" s="101">
        <f>Masters!F129</f>
        <v>3</v>
      </c>
      <c r="E125" s="101">
        <f>Masters!G129</f>
        <v>4</v>
      </c>
      <c r="F125" s="101">
        <f>Masters!H129</f>
        <v>4</v>
      </c>
      <c r="G125" s="101">
        <f>Masters!I129</f>
        <v>3</v>
      </c>
      <c r="H125" s="101">
        <f>Masters!J129</f>
        <v>4</v>
      </c>
      <c r="I125" s="101">
        <f>Masters!K129</f>
        <v>4</v>
      </c>
      <c r="J125" s="101">
        <f>Masters!L129</f>
        <v>3</v>
      </c>
      <c r="K125" s="101">
        <f>Masters!M129</f>
        <v>4</v>
      </c>
      <c r="L125" s="101">
        <f>Masters!N129</f>
        <v>3</v>
      </c>
    </row>
    <row r="126">
      <c r="A126" s="101">
        <f>Masters!C130</f>
        <v>5212</v>
      </c>
      <c r="B126" s="102" t="str">
        <f>Masters!D130</f>
        <v>Taxidermists</v>
      </c>
      <c r="C126" s="102" t="str">
        <f>Masters!E130</f>
        <v>Technical occupations related to museums and art galleries</v>
      </c>
      <c r="D126" s="101">
        <f>Masters!F130</f>
        <v>3</v>
      </c>
      <c r="E126" s="101">
        <f>Masters!G130</f>
        <v>3</v>
      </c>
      <c r="F126" s="101">
        <f>Masters!H130</f>
        <v>3</v>
      </c>
      <c r="G126" s="101">
        <f>Masters!I130</f>
        <v>2</v>
      </c>
      <c r="H126" s="101">
        <f>Masters!J130</f>
        <v>2</v>
      </c>
      <c r="I126" s="101">
        <f>Masters!K130</f>
        <v>4</v>
      </c>
      <c r="J126" s="101">
        <f>Masters!L130</f>
        <v>3</v>
      </c>
      <c r="K126" s="101">
        <f>Masters!M130</f>
        <v>3</v>
      </c>
      <c r="L126" s="101">
        <f>Masters!N130</f>
        <v>3</v>
      </c>
    </row>
    <row r="127">
      <c r="A127" s="101">
        <f>Masters!C131</f>
        <v>7245</v>
      </c>
      <c r="B127" s="102" t="str">
        <f>Masters!D131</f>
        <v>Telecommunications Line and Cable Workers</v>
      </c>
      <c r="C127" s="102" t="str">
        <f>Masters!E131</f>
        <v>Telecommunications line and cable workers</v>
      </c>
      <c r="D127" s="101">
        <f>Masters!F131</f>
        <v>3</v>
      </c>
      <c r="E127" s="101">
        <f>Masters!G131</f>
        <v>3</v>
      </c>
      <c r="F127" s="101">
        <f>Masters!H131</f>
        <v>4</v>
      </c>
      <c r="G127" s="101">
        <f>Masters!I131</f>
        <v>3</v>
      </c>
      <c r="H127" s="101">
        <f>Masters!J131</f>
        <v>4</v>
      </c>
      <c r="I127" s="101">
        <f>Masters!K131</f>
        <v>4</v>
      </c>
      <c r="J127" s="101">
        <f>Masters!L131</f>
        <v>3</v>
      </c>
      <c r="K127" s="101">
        <f>Masters!M131</f>
        <v>3</v>
      </c>
      <c r="L127" s="101">
        <f>Masters!N131</f>
        <v>3</v>
      </c>
    </row>
    <row r="128">
      <c r="A128" s="101">
        <f>Masters!C132</f>
        <v>9446</v>
      </c>
      <c r="B128" s="102" t="str">
        <f>Masters!D132</f>
        <v>Sewing Machine Operators</v>
      </c>
      <c r="C128" s="102" t="str">
        <f>Masters!E132</f>
        <v>Industrial sewing machine operators</v>
      </c>
      <c r="D128" s="101">
        <f>Masters!F132</f>
        <v>4</v>
      </c>
      <c r="E128" s="101">
        <f>Masters!G132</f>
        <v>4</v>
      </c>
      <c r="F128" s="101">
        <f>Masters!H132</f>
        <v>4</v>
      </c>
      <c r="G128" s="101">
        <f>Masters!I132</f>
        <v>3</v>
      </c>
      <c r="H128" s="101">
        <f>Masters!J132</f>
        <v>3</v>
      </c>
      <c r="I128" s="101">
        <f>Masters!K132</f>
        <v>5</v>
      </c>
      <c r="J128" s="101">
        <f>Masters!L132</f>
        <v>3</v>
      </c>
      <c r="K128" s="101">
        <f>Masters!M132</f>
        <v>3</v>
      </c>
      <c r="L128" s="101">
        <f>Masters!N132</f>
        <v>3</v>
      </c>
    </row>
    <row r="129">
      <c r="A129" s="101">
        <f>Masters!C133</f>
        <v>7232</v>
      </c>
      <c r="B129" s="102" t="str">
        <f>Masters!D133</f>
        <v>Tool and Die Makers</v>
      </c>
      <c r="C129" s="102" t="str">
        <f>Masters!E133</f>
        <v>Tool and die makers</v>
      </c>
      <c r="D129" s="101">
        <f>Masters!F133</f>
        <v>3</v>
      </c>
      <c r="E129" s="101">
        <f>Masters!G133</f>
        <v>3</v>
      </c>
      <c r="F129" s="101">
        <f>Masters!H133</f>
        <v>3</v>
      </c>
      <c r="G129" s="101">
        <f>Masters!I133</f>
        <v>2</v>
      </c>
      <c r="H129" s="101">
        <f>Masters!J133</f>
        <v>2</v>
      </c>
      <c r="I129" s="101">
        <f>Masters!K133</f>
        <v>4</v>
      </c>
      <c r="J129" s="101">
        <f>Masters!L133</f>
        <v>3</v>
      </c>
      <c r="K129" s="101">
        <f>Masters!M133</f>
        <v>2</v>
      </c>
      <c r="L129" s="101">
        <f>Masters!N133</f>
        <v>2</v>
      </c>
    </row>
    <row r="130">
      <c r="A130" s="101">
        <f>Masters!C134</f>
        <v>3114</v>
      </c>
      <c r="B130" s="102" t="str">
        <f>Masters!D134</f>
        <v>Veterinarians</v>
      </c>
      <c r="C130" s="102" t="str">
        <f>Masters!E134</f>
        <v>Veterinarians</v>
      </c>
      <c r="D130" s="101">
        <f>Masters!F134</f>
        <v>1</v>
      </c>
      <c r="E130" s="101">
        <f>Masters!G134</f>
        <v>1</v>
      </c>
      <c r="F130" s="101">
        <f>Masters!H134</f>
        <v>2</v>
      </c>
      <c r="G130" s="101">
        <f>Masters!I134</f>
        <v>1</v>
      </c>
      <c r="H130" s="101">
        <f>Masters!J134</f>
        <v>2</v>
      </c>
      <c r="I130" s="101">
        <f>Masters!K134</f>
        <v>3</v>
      </c>
      <c r="J130" s="101">
        <f>Masters!L134</f>
        <v>2</v>
      </c>
      <c r="K130" s="101">
        <f>Masters!M134</f>
        <v>2</v>
      </c>
      <c r="L130" s="101">
        <f>Masters!N134</f>
        <v>2</v>
      </c>
    </row>
    <row r="131">
      <c r="A131" s="101">
        <f>Masters!C135</f>
        <v>6344</v>
      </c>
      <c r="B131" s="102" t="str">
        <f>Masters!D135</f>
        <v>Watch Repairers</v>
      </c>
      <c r="C131" s="102" t="str">
        <f>Masters!E135</f>
        <v>Jewellers, jewellery and watch repairers and related occupations</v>
      </c>
      <c r="D131" s="101">
        <f>Masters!F135</f>
        <v>3</v>
      </c>
      <c r="E131" s="101">
        <f>Masters!G135</f>
        <v>3</v>
      </c>
      <c r="F131" s="101">
        <f>Masters!H135</f>
        <v>3</v>
      </c>
      <c r="G131" s="101">
        <f>Masters!I135</f>
        <v>3</v>
      </c>
      <c r="H131" s="101">
        <f>Masters!J135</f>
        <v>2</v>
      </c>
      <c r="I131" s="101">
        <f>Masters!K135</f>
        <v>4</v>
      </c>
      <c r="J131" s="101">
        <f>Masters!L135</f>
        <v>1</v>
      </c>
      <c r="K131" s="101">
        <f>Masters!M135</f>
        <v>1</v>
      </c>
      <c r="L131" s="101">
        <f>Masters!N135</f>
        <v>2</v>
      </c>
    </row>
    <row r="132">
      <c r="A132" s="101">
        <f>Masters!C136</f>
        <v>3232</v>
      </c>
      <c r="B132" s="102" t="str">
        <f>Masters!D136</f>
        <v>Acupuncturists</v>
      </c>
      <c r="C132" s="102" t="str">
        <f>Masters!E136</f>
        <v>Practitioners of natural healing</v>
      </c>
      <c r="D132" s="101">
        <f>Masters!F136</f>
        <v>3</v>
      </c>
      <c r="E132" s="101">
        <f>Masters!G136</f>
        <v>3</v>
      </c>
      <c r="F132" s="101">
        <f>Masters!H136</f>
        <v>4</v>
      </c>
      <c r="G132" s="101">
        <f>Masters!I136</f>
        <v>4</v>
      </c>
      <c r="H132" s="101">
        <f>Masters!J136</f>
        <v>4</v>
      </c>
      <c r="I132" s="101">
        <f>Masters!K136</f>
        <v>4</v>
      </c>
      <c r="J132" s="101">
        <f>Masters!L136</f>
        <v>3</v>
      </c>
      <c r="K132" s="101">
        <f>Masters!M136</f>
        <v>3</v>
      </c>
      <c r="L132" s="101">
        <f>Masters!N136</f>
        <v>3</v>
      </c>
    </row>
    <row r="133">
      <c r="A133" s="101">
        <f>Masters!C137</f>
        <v>2272</v>
      </c>
      <c r="B133" s="102" t="str">
        <f>Masters!D137</f>
        <v>Air Traffic Controllers</v>
      </c>
      <c r="C133" s="102" t="str">
        <f>Masters!E137</f>
        <v>Air traffic controllers and related occupations</v>
      </c>
      <c r="D133" s="101">
        <f>Masters!F137</f>
        <v>2</v>
      </c>
      <c r="E133" s="101">
        <f>Masters!G137</f>
        <v>2</v>
      </c>
      <c r="F133" s="101">
        <f>Masters!H137</f>
        <v>3</v>
      </c>
      <c r="G133" s="101">
        <f>Masters!I137</f>
        <v>2</v>
      </c>
      <c r="H133" s="101">
        <f>Masters!J137</f>
        <v>3</v>
      </c>
      <c r="I133" s="101">
        <f>Masters!K137</f>
        <v>3</v>
      </c>
      <c r="J133" s="101">
        <f>Masters!L137</f>
        <v>4</v>
      </c>
      <c r="K133" s="101">
        <f>Masters!M137</f>
        <v>4</v>
      </c>
      <c r="L133" s="101">
        <f>Masters!N137</f>
        <v>4</v>
      </c>
    </row>
    <row r="134">
      <c r="A134" s="101">
        <f>Masters!C138</f>
        <v>2244</v>
      </c>
      <c r="B134" s="102" t="str">
        <f>Masters!D138</f>
        <v>Aircraft Electrical Mechanics and Technicians</v>
      </c>
      <c r="C134" s="102" t="str">
        <f>Masters!E138</f>
        <v>Aircraft instrument, electrical and avionics mechanics, technicians and inspectors</v>
      </c>
      <c r="D134" s="101">
        <f>Masters!F138</f>
        <v>3</v>
      </c>
      <c r="E134" s="101">
        <f>Masters!G138</f>
        <v>3</v>
      </c>
      <c r="F134" s="101">
        <f>Masters!H138</f>
        <v>3</v>
      </c>
      <c r="G134" s="101">
        <f>Masters!I138</f>
        <v>2</v>
      </c>
      <c r="H134" s="101">
        <f>Masters!J138</f>
        <v>2</v>
      </c>
      <c r="I134" s="101">
        <f>Masters!K138</f>
        <v>4</v>
      </c>
      <c r="J134" s="101">
        <f>Masters!L138</f>
        <v>2</v>
      </c>
      <c r="K134" s="101">
        <f>Masters!M138</f>
        <v>1</v>
      </c>
      <c r="L134" s="101">
        <f>Masters!N138</f>
        <v>1</v>
      </c>
    </row>
    <row r="135">
      <c r="A135" s="101">
        <f>Masters!C139</f>
        <v>2244</v>
      </c>
      <c r="B135" s="102" t="str">
        <f>Masters!D139</f>
        <v>Aircraft Instrument Mechanics and Technicians</v>
      </c>
      <c r="C135" s="102" t="str">
        <f>Masters!E139</f>
        <v>Aircraft instrument, electrical and avionics mechanics, technicians and inspectors</v>
      </c>
      <c r="D135" s="101">
        <f>Masters!F139</f>
        <v>3</v>
      </c>
      <c r="E135" s="101">
        <f>Masters!G139</f>
        <v>3</v>
      </c>
      <c r="F135" s="101">
        <f>Masters!H139</f>
        <v>3</v>
      </c>
      <c r="G135" s="101">
        <f>Masters!I139</f>
        <v>2</v>
      </c>
      <c r="H135" s="101">
        <f>Masters!J139</f>
        <v>2</v>
      </c>
      <c r="I135" s="101">
        <f>Masters!K139</f>
        <v>4</v>
      </c>
      <c r="J135" s="101">
        <f>Masters!L139</f>
        <v>2</v>
      </c>
      <c r="K135" s="101">
        <f>Masters!M139</f>
        <v>1</v>
      </c>
      <c r="L135" s="101">
        <f>Masters!N139</f>
        <v>1</v>
      </c>
    </row>
    <row r="136">
      <c r="A136" s="101">
        <f>Masters!C140</f>
        <v>2262</v>
      </c>
      <c r="B136" s="102" t="str">
        <f>Masters!D140</f>
        <v>Airworthiness Inspectors</v>
      </c>
      <c r="C136" s="102" t="str">
        <f>Masters!E140</f>
        <v>Engineering inspectors and regulatory officers</v>
      </c>
      <c r="D136" s="101">
        <f>Masters!F140</f>
        <v>2</v>
      </c>
      <c r="E136" s="101">
        <f>Masters!G140</f>
        <v>3</v>
      </c>
      <c r="F136" s="101">
        <f>Masters!H140</f>
        <v>3</v>
      </c>
      <c r="G136" s="101">
        <f>Masters!I140</f>
        <v>3</v>
      </c>
      <c r="H136" s="101">
        <f>Masters!J140</f>
        <v>3</v>
      </c>
      <c r="I136" s="101">
        <f>Masters!K140</f>
        <v>3</v>
      </c>
      <c r="J136" s="101">
        <f>Masters!L140</f>
        <v>4</v>
      </c>
      <c r="K136" s="101">
        <f>Masters!M140</f>
        <v>4</v>
      </c>
      <c r="L136" s="101">
        <f>Masters!N140</f>
        <v>4</v>
      </c>
    </row>
    <row r="137">
      <c r="A137" s="101">
        <f>Masters!C141</f>
        <v>3234</v>
      </c>
      <c r="B137" s="102" t="str">
        <f>Masters!D141</f>
        <v>Ambulance Attendants and Other Paramedical Occupations</v>
      </c>
      <c r="C137" s="102" t="str">
        <f>Masters!E141</f>
        <v>Paramedical occupations</v>
      </c>
      <c r="D137" s="101">
        <f>Masters!F141</f>
        <v>3</v>
      </c>
      <c r="E137" s="101">
        <f>Masters!G141</f>
        <v>3</v>
      </c>
      <c r="F137" s="101">
        <f>Masters!H141</f>
        <v>4</v>
      </c>
      <c r="G137" s="101">
        <f>Masters!I141</f>
        <v>4</v>
      </c>
      <c r="H137" s="101">
        <f>Masters!J141</f>
        <v>4</v>
      </c>
      <c r="I137" s="101">
        <f>Masters!K141</f>
        <v>4</v>
      </c>
      <c r="J137" s="101">
        <f>Masters!L141</f>
        <v>3</v>
      </c>
      <c r="K137" s="101">
        <f>Masters!M141</f>
        <v>3</v>
      </c>
      <c r="L137" s="101">
        <f>Masters!N141</f>
        <v>3</v>
      </c>
    </row>
    <row r="138">
      <c r="A138" s="101">
        <f>Masters!C142</f>
        <v>7291</v>
      </c>
      <c r="B138" s="102" t="str">
        <f>Masters!D142</f>
        <v>Shinglers</v>
      </c>
      <c r="C138" s="102" t="str">
        <f>Masters!E142</f>
        <v>Roofers and shinglers</v>
      </c>
      <c r="D138" s="101">
        <f>Masters!F142</f>
        <v>3</v>
      </c>
      <c r="E138" s="101">
        <f>Masters!G142</f>
        <v>4</v>
      </c>
      <c r="F138" s="101">
        <f>Masters!H142</f>
        <v>3</v>
      </c>
      <c r="G138" s="101">
        <f>Masters!I142</f>
        <v>3</v>
      </c>
      <c r="H138" s="101">
        <f>Masters!J142</f>
        <v>4</v>
      </c>
      <c r="I138" s="101">
        <f>Masters!K142</f>
        <v>4</v>
      </c>
      <c r="J138" s="101">
        <f>Masters!L142</f>
        <v>3</v>
      </c>
      <c r="K138" s="101">
        <f>Masters!M142</f>
        <v>3</v>
      </c>
      <c r="L138" s="101">
        <f>Masters!N142</f>
        <v>3</v>
      </c>
    </row>
    <row r="139">
      <c r="A139" s="101">
        <f>Masters!C143</f>
        <v>1414</v>
      </c>
      <c r="B139" s="102" t="str">
        <f>Masters!D143</f>
        <v>Answering Service Operators</v>
      </c>
      <c r="C139" s="102" t="str">
        <f>Masters!E143</f>
        <v>Receptionists</v>
      </c>
      <c r="D139" s="101">
        <f>Masters!F143</f>
        <v>3</v>
      </c>
      <c r="E139" s="101">
        <f>Masters!G143</f>
        <v>3</v>
      </c>
      <c r="F139" s="101">
        <f>Masters!H143</f>
        <v>4</v>
      </c>
      <c r="G139" s="101">
        <f>Masters!I143</f>
        <v>4</v>
      </c>
      <c r="H139" s="101">
        <f>Masters!J143</f>
        <v>4</v>
      </c>
      <c r="I139" s="101">
        <f>Masters!K143</f>
        <v>3</v>
      </c>
      <c r="J139" s="101">
        <f>Masters!L143</f>
        <v>3</v>
      </c>
      <c r="K139" s="101">
        <f>Masters!M143</f>
        <v>3</v>
      </c>
      <c r="L139" s="101">
        <f>Masters!N143</f>
        <v>4</v>
      </c>
    </row>
    <row r="140">
      <c r="A140" s="101">
        <f>Masters!C144</f>
        <v>2151</v>
      </c>
      <c r="B140" s="102" t="str">
        <f>Masters!D144</f>
        <v>Architects</v>
      </c>
      <c r="C140" s="102" t="str">
        <f>Masters!E144</f>
        <v>Architects</v>
      </c>
      <c r="D140" s="101">
        <f>Masters!F144</f>
        <v>1</v>
      </c>
      <c r="E140" s="101">
        <f>Masters!G144</f>
        <v>2</v>
      </c>
      <c r="F140" s="101">
        <f>Masters!H144</f>
        <v>1</v>
      </c>
      <c r="G140" s="101">
        <f>Masters!I144</f>
        <v>1</v>
      </c>
      <c r="H140" s="101">
        <f>Masters!J144</f>
        <v>2</v>
      </c>
      <c r="I140" s="101">
        <f>Masters!K144</f>
        <v>3</v>
      </c>
      <c r="J140" s="101">
        <f>Masters!L144</f>
        <v>3</v>
      </c>
      <c r="K140" s="101">
        <f>Masters!M144</f>
        <v>3</v>
      </c>
      <c r="L140" s="101">
        <f>Masters!N144</f>
        <v>3</v>
      </c>
    </row>
    <row r="141">
      <c r="A141" s="101">
        <f>Masters!C145</f>
        <v>8611</v>
      </c>
      <c r="B141" s="102" t="str">
        <f>Masters!D145</f>
        <v>Harvesting Labourers</v>
      </c>
      <c r="C141" s="102" t="str">
        <f>Masters!E145</f>
        <v>Harvesting labourers</v>
      </c>
      <c r="D141" s="101">
        <f>Masters!F145</f>
        <v>4</v>
      </c>
      <c r="E141" s="101">
        <f>Masters!G145</f>
        <v>4</v>
      </c>
      <c r="F141" s="101">
        <f>Masters!H145</f>
        <v>4</v>
      </c>
      <c r="G141" s="101">
        <f>Masters!I145</f>
        <v>4</v>
      </c>
      <c r="H141" s="101">
        <f>Masters!J145</f>
        <v>4</v>
      </c>
      <c r="I141" s="101">
        <f>Masters!K145</f>
        <v>5</v>
      </c>
      <c r="J141" s="101">
        <f>Masters!L145</f>
        <v>3</v>
      </c>
      <c r="K141" s="101">
        <f>Masters!M145</f>
        <v>4</v>
      </c>
      <c r="L141" s="101">
        <f>Masters!N145</f>
        <v>3</v>
      </c>
    </row>
    <row r="142">
      <c r="A142" s="101">
        <f>Masters!C146</f>
        <v>3011</v>
      </c>
      <c r="B142" s="102" t="str">
        <f>Masters!D146</f>
        <v>Head Nurses and Supervisors</v>
      </c>
      <c r="C142" s="102" t="str">
        <f>Masters!E146</f>
        <v>Nursing co-ordinators and supervisors</v>
      </c>
      <c r="D142" s="101">
        <f>Masters!F146</f>
        <v>2</v>
      </c>
      <c r="E142" s="101">
        <f>Masters!G146</f>
        <v>2</v>
      </c>
      <c r="F142" s="101">
        <f>Masters!H146</f>
        <v>3</v>
      </c>
      <c r="G142" s="101">
        <f>Masters!I146</f>
        <v>3</v>
      </c>
      <c r="H142" s="101">
        <f>Masters!J146</f>
        <v>3</v>
      </c>
      <c r="I142" s="101">
        <f>Masters!K146</f>
        <v>2</v>
      </c>
      <c r="J142" s="101">
        <f>Masters!L146</f>
        <v>4</v>
      </c>
      <c r="K142" s="101">
        <f>Masters!M146</f>
        <v>4</v>
      </c>
      <c r="L142" s="101">
        <f>Masters!N146</f>
        <v>4</v>
      </c>
    </row>
    <row r="143">
      <c r="A143" s="101">
        <f>Masters!C147</f>
        <v>4164</v>
      </c>
      <c r="B143" s="102" t="str">
        <f>Masters!D147</f>
        <v>Home Economists</v>
      </c>
      <c r="C143" s="102" t="str">
        <f>Masters!E147</f>
        <v>Social policy researchers, consultants and program officers</v>
      </c>
      <c r="D143" s="101">
        <f>Masters!F147</f>
        <v>2</v>
      </c>
      <c r="E143" s="101">
        <f>Masters!G147</f>
        <v>2</v>
      </c>
      <c r="F143" s="101">
        <f>Masters!H147</f>
        <v>3</v>
      </c>
      <c r="G143" s="101">
        <f>Masters!I147</f>
        <v>4</v>
      </c>
      <c r="H143" s="101">
        <f>Masters!J147</f>
        <v>3</v>
      </c>
      <c r="I143" s="101">
        <f>Masters!K147</f>
        <v>3</v>
      </c>
      <c r="J143" s="101">
        <f>Masters!L147</f>
        <v>4</v>
      </c>
      <c r="K143" s="101">
        <f>Masters!M147</f>
        <v>4</v>
      </c>
      <c r="L143" s="101">
        <f>Masters!N147</f>
        <v>4</v>
      </c>
    </row>
    <row r="144">
      <c r="A144" s="101">
        <f>Masters!C148</f>
        <v>6561</v>
      </c>
      <c r="B144" s="102" t="str">
        <f>Masters!D148</f>
        <v>Image Consultants</v>
      </c>
      <c r="C144" s="102" t="str">
        <f>Masters!E148</f>
        <v>Image, social and other personal consultants</v>
      </c>
      <c r="D144" s="101">
        <f>Masters!F148</f>
        <v>3</v>
      </c>
      <c r="E144" s="101">
        <f>Masters!G148</f>
        <v>3</v>
      </c>
      <c r="F144" s="101">
        <f>Masters!H148</f>
        <v>4</v>
      </c>
      <c r="G144" s="101">
        <f>Masters!I148</f>
        <v>4</v>
      </c>
      <c r="H144" s="101">
        <f>Masters!J148</f>
        <v>3</v>
      </c>
      <c r="I144" s="101">
        <f>Masters!K148</f>
        <v>4</v>
      </c>
      <c r="J144" s="101">
        <f>Masters!L148</f>
        <v>4</v>
      </c>
      <c r="K144" s="101">
        <f>Masters!M148</f>
        <v>4</v>
      </c>
      <c r="L144" s="101">
        <f>Masters!N148</f>
        <v>4</v>
      </c>
    </row>
    <row r="145">
      <c r="A145" s="101">
        <f>Masters!C149</f>
        <v>9462</v>
      </c>
      <c r="B145" s="102" t="str">
        <f>Masters!D149</f>
        <v>Industrial Butchers</v>
      </c>
      <c r="C145" s="102" t="str">
        <f>Masters!E149</f>
        <v>Industrial butchers and meat cutters, poultry preparers and related workers</v>
      </c>
      <c r="D145" s="101">
        <f>Masters!F149</f>
        <v>3</v>
      </c>
      <c r="E145" s="101">
        <f>Masters!G149</f>
        <v>4</v>
      </c>
      <c r="F145" s="101">
        <f>Masters!H149</f>
        <v>4</v>
      </c>
      <c r="G145" s="101">
        <f>Masters!I149</f>
        <v>4</v>
      </c>
      <c r="H145" s="101">
        <f>Masters!J149</f>
        <v>4</v>
      </c>
      <c r="I145" s="101">
        <f>Masters!K149</f>
        <v>5</v>
      </c>
      <c r="J145" s="101">
        <f>Masters!L149</f>
        <v>4</v>
      </c>
      <c r="K145" s="101">
        <f>Masters!M149</f>
        <v>4</v>
      </c>
      <c r="L145" s="101">
        <f>Masters!N149</f>
        <v>3</v>
      </c>
    </row>
    <row r="146">
      <c r="A146" s="101">
        <f>Masters!C150</f>
        <v>9462</v>
      </c>
      <c r="B146" s="102" t="str">
        <f>Masters!D150</f>
        <v>Industrial Meat Cutters</v>
      </c>
      <c r="C146" s="102" t="str">
        <f>Masters!E150</f>
        <v>Industrial butchers and meat cutters, poultry preparers and related workers</v>
      </c>
      <c r="D146" s="101">
        <f>Masters!F150</f>
        <v>3</v>
      </c>
      <c r="E146" s="101">
        <f>Masters!G150</f>
        <v>4</v>
      </c>
      <c r="F146" s="101">
        <f>Masters!H150</f>
        <v>4</v>
      </c>
      <c r="G146" s="101">
        <f>Masters!I150</f>
        <v>4</v>
      </c>
      <c r="H146" s="101">
        <f>Masters!J150</f>
        <v>4</v>
      </c>
      <c r="I146" s="101">
        <f>Masters!K150</f>
        <v>5</v>
      </c>
      <c r="J146" s="101">
        <f>Masters!L150</f>
        <v>4</v>
      </c>
      <c r="K146" s="101">
        <f>Masters!M150</f>
        <v>4</v>
      </c>
      <c r="L146" s="101">
        <f>Masters!N150</f>
        <v>3</v>
      </c>
    </row>
    <row r="147">
      <c r="A147" s="101">
        <f>Masters!C151</f>
        <v>2171</v>
      </c>
      <c r="B147" s="102" t="str">
        <f>Masters!D151</f>
        <v>Information Systems Quality Assurance Analysts</v>
      </c>
      <c r="C147" s="102" t="str">
        <f>Masters!E151</f>
        <v>Information systems analysts and consultants</v>
      </c>
      <c r="D147" s="101">
        <f>Masters!F151</f>
        <v>2</v>
      </c>
      <c r="E147" s="101">
        <f>Masters!G151</f>
        <v>2</v>
      </c>
      <c r="F147" s="101">
        <f>Masters!H151</f>
        <v>2</v>
      </c>
      <c r="G147" s="101">
        <f>Masters!I151</f>
        <v>2</v>
      </c>
      <c r="H147" s="101">
        <f>Masters!J151</f>
        <v>2</v>
      </c>
      <c r="I147" s="101">
        <f>Masters!K151</f>
        <v>3</v>
      </c>
      <c r="J147" s="101">
        <f>Masters!L151</f>
        <v>4</v>
      </c>
      <c r="K147" s="101">
        <f>Masters!M151</f>
        <v>4</v>
      </c>
      <c r="L147" s="101">
        <f>Masters!N151</f>
        <v>4</v>
      </c>
    </row>
    <row r="148">
      <c r="A148" s="101">
        <f>Masters!C152</f>
        <v>9525</v>
      </c>
      <c r="B148" s="102" t="str">
        <f>Masters!D152</f>
        <v>Inspectors, Industrial Electrical Motors and Transformers</v>
      </c>
      <c r="C148" s="102" t="str">
        <f>Masters!E152</f>
        <v>Assemblers, fabricators and inspectors, industrial electrical motors and transformers</v>
      </c>
      <c r="D148" s="101">
        <f>Masters!F152</f>
        <v>3</v>
      </c>
      <c r="E148" s="101">
        <f>Masters!G152</f>
        <v>3</v>
      </c>
      <c r="F148" s="101">
        <f>Masters!H152</f>
        <v>3</v>
      </c>
      <c r="G148" s="101">
        <f>Masters!I152</f>
        <v>3</v>
      </c>
      <c r="H148" s="101">
        <f>Masters!J152</f>
        <v>3</v>
      </c>
      <c r="I148" s="101">
        <f>Masters!K152</f>
        <v>4</v>
      </c>
      <c r="J148" s="101">
        <f>Masters!L152</f>
        <v>4</v>
      </c>
      <c r="K148" s="101">
        <f>Masters!M152</f>
        <v>4</v>
      </c>
      <c r="L148" s="101">
        <f>Masters!N152</f>
        <v>4</v>
      </c>
    </row>
    <row r="149">
      <c r="A149" s="101">
        <f>Masters!C153</f>
        <v>6733</v>
      </c>
      <c r="B149" s="102" t="str">
        <f>Masters!D153</f>
        <v>Janitors, Caretakers and Building Superintendents</v>
      </c>
      <c r="C149" s="102" t="str">
        <f>Masters!E153</f>
        <v>Janitors, caretakers and building superintendents</v>
      </c>
      <c r="D149" s="101">
        <f>Masters!F153</f>
        <v>4</v>
      </c>
      <c r="E149" s="101">
        <f>Masters!G153</f>
        <v>4</v>
      </c>
      <c r="F149" s="101">
        <f>Masters!H153</f>
        <v>4</v>
      </c>
      <c r="G149" s="101">
        <f>Masters!I153</f>
        <v>4</v>
      </c>
      <c r="H149" s="101">
        <f>Masters!J153</f>
        <v>4</v>
      </c>
      <c r="I149" s="101">
        <f>Masters!K153</f>
        <v>4</v>
      </c>
      <c r="J149" s="101">
        <f>Masters!L153</f>
        <v>4</v>
      </c>
      <c r="K149" s="101">
        <f>Masters!M153</f>
        <v>4</v>
      </c>
      <c r="L149" s="101">
        <f>Masters!N153</f>
        <v>3</v>
      </c>
    </row>
    <row r="150">
      <c r="A150" s="101">
        <f>Masters!C154</f>
        <v>9613</v>
      </c>
      <c r="B150" s="102" t="str">
        <f>Masters!D154</f>
        <v>Labourers in Chemical Products Processing and Utilities</v>
      </c>
      <c r="C150" s="102" t="str">
        <f>Masters!E154</f>
        <v>Labourers in chemical products processing and utilities</v>
      </c>
      <c r="D150" s="101">
        <f>Masters!F154</f>
        <v>4</v>
      </c>
      <c r="E150" s="101">
        <f>Masters!G154</f>
        <v>4</v>
      </c>
      <c r="F150" s="101">
        <f>Masters!H154</f>
        <v>4</v>
      </c>
      <c r="G150" s="101">
        <f>Masters!I154</f>
        <v>4</v>
      </c>
      <c r="H150" s="101">
        <f>Masters!J154</f>
        <v>4</v>
      </c>
      <c r="I150" s="101">
        <f>Masters!K154</f>
        <v>5</v>
      </c>
      <c r="J150" s="101">
        <f>Masters!L154</f>
        <v>3</v>
      </c>
      <c r="K150" s="101">
        <f>Masters!M154</f>
        <v>4</v>
      </c>
      <c r="L150" s="101">
        <f>Masters!N154</f>
        <v>3</v>
      </c>
    </row>
    <row r="151">
      <c r="A151" s="101">
        <f>Masters!C155</f>
        <v>9527</v>
      </c>
      <c r="B151" s="102" t="str">
        <f>Masters!D155</f>
        <v>Machine Operators, Electrical Apparatus Manufacturing</v>
      </c>
      <c r="C151" s="102" t="str">
        <f>Masters!E155</f>
        <v>Machine operators and inspectors, electrical apparatus manufacturing</v>
      </c>
      <c r="D151" s="101">
        <f>Masters!F155</f>
        <v>4</v>
      </c>
      <c r="E151" s="101">
        <f>Masters!G155</f>
        <v>4</v>
      </c>
      <c r="F151" s="101">
        <f>Masters!H155</f>
        <v>4</v>
      </c>
      <c r="G151" s="101">
        <f>Masters!I155</f>
        <v>4</v>
      </c>
      <c r="H151" s="101">
        <f>Masters!J155</f>
        <v>4</v>
      </c>
      <c r="I151" s="101">
        <f>Masters!K155</f>
        <v>5</v>
      </c>
      <c r="J151" s="101">
        <f>Masters!L155</f>
        <v>3</v>
      </c>
      <c r="K151" s="101">
        <f>Masters!M155</f>
        <v>4</v>
      </c>
      <c r="L151" s="101">
        <f>Masters!N155</f>
        <v>3</v>
      </c>
    </row>
    <row r="152">
      <c r="A152" s="101">
        <f>Masters!C156</f>
        <v>714</v>
      </c>
      <c r="B152" s="102" t="str">
        <f>Masters!D156</f>
        <v>Maintenance Managers</v>
      </c>
      <c r="C152" s="102" t="str">
        <f>Masters!E156</f>
        <v>Facility operation and maintenance managers</v>
      </c>
      <c r="D152" s="101">
        <f>Masters!F156</f>
        <v>2</v>
      </c>
      <c r="E152" s="101">
        <f>Masters!G156</f>
        <v>3</v>
      </c>
      <c r="F152" s="101">
        <f>Masters!H156</f>
        <v>3</v>
      </c>
      <c r="G152" s="101">
        <f>Masters!I156</f>
        <v>4</v>
      </c>
      <c r="H152" s="101">
        <f>Masters!J156</f>
        <v>4</v>
      </c>
      <c r="I152" s="101">
        <f>Masters!K156</f>
        <v>3</v>
      </c>
      <c r="J152" s="101">
        <f>Masters!L156</f>
        <v>4</v>
      </c>
      <c r="K152" s="101">
        <f>Masters!M156</f>
        <v>4</v>
      </c>
      <c r="L152" s="101">
        <f>Masters!N156</f>
        <v>4</v>
      </c>
    </row>
    <row r="153">
      <c r="A153" s="101">
        <f>Masters!C157</f>
        <v>911</v>
      </c>
      <c r="B153" s="102" t="str">
        <f>Masters!D157</f>
        <v>Manufacturing Managers</v>
      </c>
      <c r="C153" s="102" t="str">
        <f>Masters!E157</f>
        <v>Manufacturing managers</v>
      </c>
      <c r="D153" s="101">
        <f>Masters!F157</f>
        <v>2</v>
      </c>
      <c r="E153" s="101">
        <f>Masters!G157</f>
        <v>2</v>
      </c>
      <c r="F153" s="101">
        <f>Masters!H157</f>
        <v>2</v>
      </c>
      <c r="G153" s="101">
        <f>Masters!I157</f>
        <v>3</v>
      </c>
      <c r="H153" s="101">
        <f>Masters!J157</f>
        <v>3</v>
      </c>
      <c r="I153" s="101">
        <f>Masters!K157</f>
        <v>3</v>
      </c>
      <c r="J153" s="101">
        <f>Masters!L157</f>
        <v>4</v>
      </c>
      <c r="K153" s="101">
        <f>Masters!M157</f>
        <v>4</v>
      </c>
      <c r="L153" s="101">
        <f>Masters!N157</f>
        <v>4</v>
      </c>
    </row>
    <row r="154">
      <c r="A154" s="101">
        <f>Masters!C158</f>
        <v>6621</v>
      </c>
      <c r="B154" s="102" t="str">
        <f>Masters!D158</f>
        <v>Marina Service Station Attendants</v>
      </c>
      <c r="C154" s="102" t="str">
        <f>Masters!E158</f>
        <v>Service station attendants</v>
      </c>
      <c r="D154" s="101">
        <f>Masters!F158</f>
        <v>4</v>
      </c>
      <c r="E154" s="101">
        <f>Masters!G158</f>
        <v>4</v>
      </c>
      <c r="F154" s="101">
        <f>Masters!H158</f>
        <v>4</v>
      </c>
      <c r="G154" s="101">
        <f>Masters!I158</f>
        <v>4</v>
      </c>
      <c r="H154" s="101">
        <f>Masters!J158</f>
        <v>4</v>
      </c>
      <c r="I154" s="101">
        <f>Masters!K158</f>
        <v>4</v>
      </c>
      <c r="J154" s="101">
        <f>Masters!L158</f>
        <v>4</v>
      </c>
      <c r="K154" s="101">
        <f>Masters!M158</f>
        <v>4</v>
      </c>
      <c r="L154" s="101">
        <f>Masters!N158</f>
        <v>3</v>
      </c>
    </row>
    <row r="155">
      <c r="A155" s="101">
        <f>Masters!C159</f>
        <v>8613</v>
      </c>
      <c r="B155" s="102" t="str">
        <f>Masters!D159</f>
        <v>Marine Plant Gatherers</v>
      </c>
      <c r="C155" s="102" t="str">
        <f>Masters!E159</f>
        <v>Aquaculture and marine harvest labourers</v>
      </c>
      <c r="D155" s="101">
        <f>Masters!F159</f>
        <v>4</v>
      </c>
      <c r="E155" s="101">
        <f>Masters!G159</f>
        <v>4</v>
      </c>
      <c r="F155" s="101">
        <f>Masters!H159</f>
        <v>4</v>
      </c>
      <c r="G155" s="101">
        <f>Masters!I159</f>
        <v>4</v>
      </c>
      <c r="H155" s="101">
        <f>Masters!J159</f>
        <v>4</v>
      </c>
      <c r="I155" s="101">
        <f>Masters!K159</f>
        <v>4</v>
      </c>
      <c r="J155" s="101">
        <f>Masters!L159</f>
        <v>4</v>
      </c>
      <c r="K155" s="101">
        <f>Masters!M159</f>
        <v>3</v>
      </c>
      <c r="L155" s="101">
        <f>Masters!N159</f>
        <v>4</v>
      </c>
    </row>
    <row r="156">
      <c r="A156" s="101">
        <f>Masters!C160</f>
        <v>2222</v>
      </c>
      <c r="B156" s="102" t="str">
        <f>Masters!D160</f>
        <v>Meat Inspectors</v>
      </c>
      <c r="C156" s="102" t="str">
        <f>Masters!E160</f>
        <v>Agricultural and fish products inspectors</v>
      </c>
      <c r="D156" s="101">
        <f>Masters!F160</f>
        <v>2</v>
      </c>
      <c r="E156" s="101">
        <f>Masters!G160</f>
        <v>3</v>
      </c>
      <c r="F156" s="101">
        <f>Masters!H160</f>
        <v>3</v>
      </c>
      <c r="G156" s="101">
        <f>Masters!I160</f>
        <v>4</v>
      </c>
      <c r="H156" s="101">
        <f>Masters!J160</f>
        <v>2</v>
      </c>
      <c r="I156" s="101">
        <f>Masters!K160</f>
        <v>4</v>
      </c>
      <c r="J156" s="101">
        <f>Masters!L160</f>
        <v>4</v>
      </c>
      <c r="K156" s="101">
        <f>Masters!M160</f>
        <v>4</v>
      </c>
      <c r="L156" s="101">
        <f>Masters!N160</f>
        <v>3</v>
      </c>
    </row>
    <row r="157">
      <c r="A157" s="101">
        <f>Masters!C161</f>
        <v>5212</v>
      </c>
      <c r="B157" s="102" t="str">
        <f>Masters!D161</f>
        <v>Museum and Other Related Interpreters</v>
      </c>
      <c r="C157" s="102" t="str">
        <f>Masters!E161</f>
        <v>Technical occupations related to museums and art galleries</v>
      </c>
      <c r="D157" s="101">
        <f>Masters!F161</f>
        <v>3</v>
      </c>
      <c r="E157" s="101">
        <f>Masters!G161</f>
        <v>3</v>
      </c>
      <c r="F157" s="101">
        <f>Masters!H161</f>
        <v>4</v>
      </c>
      <c r="G157" s="101">
        <f>Masters!I161</f>
        <v>4</v>
      </c>
      <c r="H157" s="101">
        <f>Masters!J161</f>
        <v>3</v>
      </c>
      <c r="I157" s="101">
        <f>Masters!K161</f>
        <v>4</v>
      </c>
      <c r="J157" s="101">
        <f>Masters!L161</f>
        <v>4</v>
      </c>
      <c r="K157" s="101">
        <f>Masters!M161</f>
        <v>4</v>
      </c>
      <c r="L157" s="101">
        <f>Masters!N161</f>
        <v>4</v>
      </c>
    </row>
    <row r="158">
      <c r="A158" s="101">
        <f>Masters!C162</f>
        <v>5212</v>
      </c>
      <c r="B158" s="102" t="str">
        <f>Masters!D162</f>
        <v>Museum Extension Officers</v>
      </c>
      <c r="C158" s="102" t="str">
        <f>Masters!E162</f>
        <v>Technical occupations related to museums and art galleries</v>
      </c>
      <c r="D158" s="101">
        <f>Masters!F162</f>
        <v>3</v>
      </c>
      <c r="E158" s="101">
        <f>Masters!G162</f>
        <v>2</v>
      </c>
      <c r="F158" s="101">
        <f>Masters!H162</f>
        <v>3</v>
      </c>
      <c r="G158" s="101">
        <f>Masters!I162</f>
        <v>3</v>
      </c>
      <c r="H158" s="101">
        <f>Masters!J162</f>
        <v>3</v>
      </c>
      <c r="I158" s="101">
        <f>Masters!K162</f>
        <v>3</v>
      </c>
      <c r="J158" s="101">
        <f>Masters!L162</f>
        <v>4</v>
      </c>
      <c r="K158" s="101">
        <f>Masters!M162</f>
        <v>4</v>
      </c>
      <c r="L158" s="101">
        <f>Masters!N162</f>
        <v>4</v>
      </c>
    </row>
    <row r="159">
      <c r="A159" s="101">
        <f>Masters!C163</f>
        <v>811</v>
      </c>
      <c r="B159" s="102" t="str">
        <f>Masters!D163</f>
        <v>Natural Gas Supply Managers</v>
      </c>
      <c r="C159" s="102" t="str">
        <f>Masters!E163</f>
        <v>Managers in natural resources production and fishing</v>
      </c>
      <c r="D159" s="101">
        <f>Masters!F163</f>
        <v>2</v>
      </c>
      <c r="E159" s="101">
        <f>Masters!G163</f>
        <v>2</v>
      </c>
      <c r="F159" s="101">
        <f>Masters!H163</f>
        <v>2</v>
      </c>
      <c r="G159" s="101">
        <f>Masters!I163</f>
        <v>3</v>
      </c>
      <c r="H159" s="101">
        <f>Masters!J163</f>
        <v>3</v>
      </c>
      <c r="I159" s="101">
        <f>Masters!K163</f>
        <v>3</v>
      </c>
      <c r="J159" s="101">
        <f>Masters!L163</f>
        <v>4</v>
      </c>
      <c r="K159" s="101">
        <f>Masters!M163</f>
        <v>4</v>
      </c>
      <c r="L159" s="101">
        <f>Masters!N163</f>
        <v>4</v>
      </c>
    </row>
    <row r="160">
      <c r="A160" s="101">
        <f>Masters!C164</f>
        <v>822</v>
      </c>
      <c r="B160" s="102" t="str">
        <f>Masters!D164</f>
        <v>Nursery and Greenhouse Operators and Managers</v>
      </c>
      <c r="C160" s="102" t="str">
        <f>Masters!E164</f>
        <v>Managers in horticulture</v>
      </c>
      <c r="D160" s="101">
        <f>Masters!F164</f>
        <v>3</v>
      </c>
      <c r="E160" s="101">
        <f>Masters!G164</f>
        <v>3</v>
      </c>
      <c r="F160" s="101">
        <f>Masters!H164</f>
        <v>3</v>
      </c>
      <c r="G160" s="101">
        <f>Masters!I164</f>
        <v>4</v>
      </c>
      <c r="H160" s="101">
        <f>Masters!J164</f>
        <v>4</v>
      </c>
      <c r="I160" s="101">
        <f>Masters!K164</f>
        <v>4</v>
      </c>
      <c r="J160" s="101">
        <f>Masters!L164</f>
        <v>3</v>
      </c>
      <c r="K160" s="101">
        <f>Masters!M164</f>
        <v>4</v>
      </c>
      <c r="L160" s="101">
        <f>Masters!N164</f>
        <v>3</v>
      </c>
    </row>
    <row r="161">
      <c r="A161" s="101">
        <f>Masters!C165</f>
        <v>8432</v>
      </c>
      <c r="B161" s="102" t="str">
        <f>Masters!D165</f>
        <v>Nursery and Greenhouse Workers</v>
      </c>
      <c r="C161" s="102" t="str">
        <f>Masters!E165</f>
        <v>Nursery and greenhouse workers</v>
      </c>
      <c r="D161" s="101">
        <f>Masters!F165</f>
        <v>4</v>
      </c>
      <c r="E161" s="101">
        <f>Masters!G165</f>
        <v>4</v>
      </c>
      <c r="F161" s="101">
        <f>Masters!H165</f>
        <v>4</v>
      </c>
      <c r="G161" s="101">
        <f>Masters!I165</f>
        <v>4</v>
      </c>
      <c r="H161" s="101">
        <f>Masters!J165</f>
        <v>4</v>
      </c>
      <c r="I161" s="101">
        <f>Masters!K165</f>
        <v>5</v>
      </c>
      <c r="J161" s="101">
        <f>Masters!L165</f>
        <v>3</v>
      </c>
      <c r="K161" s="101">
        <f>Masters!M165</f>
        <v>4</v>
      </c>
      <c r="L161" s="101">
        <f>Masters!N165</f>
        <v>3</v>
      </c>
    </row>
    <row r="162">
      <c r="A162" s="101">
        <f>Masters!C166</f>
        <v>4161</v>
      </c>
      <c r="B162" s="102" t="str">
        <f>Masters!D166</f>
        <v>Occupational/Industrial Hygienists</v>
      </c>
      <c r="C162" s="102" t="str">
        <f>Masters!E166</f>
        <v>Natural and applied science policy researchers, consultants and program officers</v>
      </c>
      <c r="D162" s="101">
        <f>Masters!F166</f>
        <v>2</v>
      </c>
      <c r="E162" s="101">
        <f>Masters!G166</f>
        <v>2</v>
      </c>
      <c r="F162" s="101">
        <f>Masters!H166</f>
        <v>2</v>
      </c>
      <c r="G162" s="101">
        <f>Masters!I166</f>
        <v>3</v>
      </c>
      <c r="H162" s="101">
        <f>Masters!J166</f>
        <v>3</v>
      </c>
      <c r="I162" s="101">
        <f>Masters!K166</f>
        <v>3</v>
      </c>
      <c r="J162" s="101">
        <f>Masters!L166</f>
        <v>4</v>
      </c>
      <c r="K162" s="101">
        <f>Masters!M166</f>
        <v>4</v>
      </c>
      <c r="L162" s="101">
        <f>Masters!N166</f>
        <v>4</v>
      </c>
    </row>
    <row r="163">
      <c r="A163" s="101">
        <f>Masters!C167</f>
        <v>8615</v>
      </c>
      <c r="B163" s="102" t="str">
        <f>Masters!D167</f>
        <v>Oil and Gas Drilling, Servicing and Related Labourers</v>
      </c>
      <c r="C163" s="102" t="str">
        <f>Masters!E167</f>
        <v>Oil and gas drilling, servicing and related labourers</v>
      </c>
      <c r="D163" s="101">
        <f>Masters!F167</f>
        <v>4</v>
      </c>
      <c r="E163" s="101">
        <f>Masters!G167</f>
        <v>4</v>
      </c>
      <c r="F163" s="101">
        <f>Masters!H167</f>
        <v>4</v>
      </c>
      <c r="G163" s="101">
        <f>Masters!I167</f>
        <v>4</v>
      </c>
      <c r="H163" s="101">
        <f>Masters!J167</f>
        <v>4</v>
      </c>
      <c r="I163" s="101">
        <f>Masters!K167</f>
        <v>5</v>
      </c>
      <c r="J163" s="101">
        <f>Masters!L167</f>
        <v>3</v>
      </c>
      <c r="K163" s="101">
        <f>Masters!M167</f>
        <v>4</v>
      </c>
      <c r="L163" s="101">
        <f>Masters!N167</f>
        <v>3</v>
      </c>
    </row>
    <row r="164">
      <c r="A164" s="101">
        <f>Masters!C168</f>
        <v>3414</v>
      </c>
      <c r="B164" s="102" t="str">
        <f>Masters!D168</f>
        <v>Orthopedic Technologists</v>
      </c>
      <c r="C164" s="102" t="str">
        <f>Masters!E168</f>
        <v>Other assisting occupations in support of health services</v>
      </c>
      <c r="D164" s="101">
        <f>Masters!F168</f>
        <v>3</v>
      </c>
      <c r="E164" s="101">
        <f>Masters!G168</f>
        <v>3</v>
      </c>
      <c r="F164" s="101">
        <f>Masters!H168</f>
        <v>4</v>
      </c>
      <c r="G164" s="101">
        <f>Masters!I168</f>
        <v>4</v>
      </c>
      <c r="H164" s="101">
        <f>Masters!J168</f>
        <v>4</v>
      </c>
      <c r="I164" s="101">
        <f>Masters!K168</f>
        <v>4</v>
      </c>
      <c r="J164" s="101">
        <f>Masters!L168</f>
        <v>4</v>
      </c>
      <c r="K164" s="101">
        <f>Masters!M168</f>
        <v>4</v>
      </c>
      <c r="L164" s="101">
        <f>Masters!N168</f>
        <v>3</v>
      </c>
    </row>
    <row r="165">
      <c r="A165" s="101">
        <f>Masters!C169</f>
        <v>3125</v>
      </c>
      <c r="B165" s="102" t="str">
        <f>Masters!D169</f>
        <v>Osteopaths</v>
      </c>
      <c r="C165" s="102" t="str">
        <f>Masters!E169</f>
        <v>Other professional occupations in health diagnosing and treating</v>
      </c>
      <c r="D165" s="101">
        <f>Masters!F169</f>
        <v>1</v>
      </c>
      <c r="E165" s="101">
        <f>Masters!G169</f>
        <v>1</v>
      </c>
      <c r="F165" s="101">
        <f>Masters!H169</f>
        <v>2</v>
      </c>
      <c r="G165" s="101">
        <f>Masters!I169</f>
        <v>1</v>
      </c>
      <c r="H165" s="101">
        <f>Masters!J169</f>
        <v>2</v>
      </c>
      <c r="I165" s="101">
        <f>Masters!K169</f>
        <v>4</v>
      </c>
      <c r="J165" s="101">
        <f>Masters!L169</f>
        <v>2</v>
      </c>
      <c r="K165" s="101">
        <f>Masters!M169</f>
        <v>1</v>
      </c>
      <c r="L165" s="101">
        <f>Masters!N169</f>
        <v>1</v>
      </c>
    </row>
    <row r="166">
      <c r="A166" s="101">
        <f>Masters!C170</f>
        <v>9418</v>
      </c>
      <c r="B166" s="102" t="str">
        <f>Masters!D170</f>
        <v>Other Metal Products Machine Operators</v>
      </c>
      <c r="C166" s="102" t="str">
        <f>Masters!E170</f>
        <v>Other metal products machine operators</v>
      </c>
      <c r="D166" s="101">
        <f>Masters!F170</f>
        <v>4</v>
      </c>
      <c r="E166" s="101">
        <f>Masters!G170</f>
        <v>4</v>
      </c>
      <c r="F166" s="101">
        <f>Masters!H170</f>
        <v>4</v>
      </c>
      <c r="G166" s="101">
        <f>Masters!I170</f>
        <v>4</v>
      </c>
      <c r="H166" s="101">
        <f>Masters!J170</f>
        <v>4</v>
      </c>
      <c r="I166" s="101">
        <f>Masters!K170</f>
        <v>4</v>
      </c>
      <c r="J166" s="101">
        <f>Masters!L170</f>
        <v>4</v>
      </c>
      <c r="K166" s="101">
        <f>Masters!M170</f>
        <v>4</v>
      </c>
      <c r="L166" s="101">
        <f>Masters!N170</f>
        <v>3</v>
      </c>
    </row>
    <row r="167">
      <c r="A167" s="101">
        <f>Masters!C171</f>
        <v>6313</v>
      </c>
      <c r="B167" s="102" t="str">
        <f>Masters!D171</f>
        <v>Other Service Supervisors</v>
      </c>
      <c r="C167" s="102" t="str">
        <f>Masters!E171</f>
        <v>Accommodation, travel, tourism and related services supervisors</v>
      </c>
      <c r="D167" s="101">
        <f>Masters!F171</f>
        <v>3</v>
      </c>
      <c r="E167" s="101">
        <f>Masters!G171</f>
        <v>3</v>
      </c>
      <c r="F167" s="101">
        <f>Masters!H171</f>
        <v>4</v>
      </c>
      <c r="G167" s="101">
        <f>Masters!I171</f>
        <v>4</v>
      </c>
      <c r="H167" s="101">
        <f>Masters!J171</f>
        <v>4</v>
      </c>
      <c r="I167" s="101">
        <f>Masters!K171</f>
        <v>3</v>
      </c>
      <c r="J167" s="101">
        <f>Masters!L171</f>
        <v>4</v>
      </c>
      <c r="K167" s="101">
        <f>Masters!M171</f>
        <v>4</v>
      </c>
      <c r="L167" s="101">
        <f>Masters!N171</f>
        <v>4</v>
      </c>
    </row>
    <row r="168">
      <c r="A168" s="101">
        <f>Masters!C172</f>
        <v>9533</v>
      </c>
      <c r="B168" s="102" t="str">
        <f>Masters!D172</f>
        <v>Other Wood Products Assemblers</v>
      </c>
      <c r="C168" s="102" t="str">
        <f>Masters!E172</f>
        <v>Other wood products assemblers and inspectors</v>
      </c>
      <c r="D168" s="101">
        <f>Masters!F172</f>
        <v>4</v>
      </c>
      <c r="E168" s="101">
        <f>Masters!G172</f>
        <v>4</v>
      </c>
      <c r="F168" s="101">
        <f>Masters!H172</f>
        <v>5</v>
      </c>
      <c r="G168" s="101">
        <f>Masters!I172</f>
        <v>4</v>
      </c>
      <c r="H168" s="101">
        <f>Masters!J172</f>
        <v>4</v>
      </c>
      <c r="I168" s="101">
        <f>Masters!K172</f>
        <v>4</v>
      </c>
      <c r="J168" s="101">
        <f>Masters!L172</f>
        <v>3</v>
      </c>
      <c r="K168" s="101">
        <f>Masters!M172</f>
        <v>4</v>
      </c>
      <c r="L168" s="101">
        <f>Masters!N172</f>
        <v>3</v>
      </c>
    </row>
    <row r="169">
      <c r="A169" s="101">
        <f>Masters!C173</f>
        <v>9436</v>
      </c>
      <c r="B169" s="102" t="str">
        <f>Masters!D173</f>
        <v>Other Wood Products Inspectors</v>
      </c>
      <c r="C169" s="102" t="str">
        <f>Masters!E173</f>
        <v>Lumber graders and other wood processing inspectors and graders</v>
      </c>
      <c r="D169" s="101">
        <f>Masters!F173</f>
        <v>4</v>
      </c>
      <c r="E169" s="101">
        <f>Masters!G173</f>
        <v>4</v>
      </c>
      <c r="F169" s="101">
        <f>Masters!H173</f>
        <v>5</v>
      </c>
      <c r="G169" s="101">
        <f>Masters!I173</f>
        <v>4</v>
      </c>
      <c r="H169" s="101">
        <f>Masters!J173</f>
        <v>4</v>
      </c>
      <c r="I169" s="101">
        <f>Masters!K173</f>
        <v>4</v>
      </c>
      <c r="J169" s="101">
        <f>Masters!L173</f>
        <v>3</v>
      </c>
      <c r="K169" s="101">
        <f>Masters!M173</f>
        <v>4</v>
      </c>
      <c r="L169" s="101">
        <f>Masters!N173</f>
        <v>3</v>
      </c>
    </row>
    <row r="170">
      <c r="A170" s="101">
        <f>Masters!C174</f>
        <v>912</v>
      </c>
      <c r="B170" s="102" t="str">
        <f>Masters!D174</f>
        <v>Petroleum Product Distribution Managers</v>
      </c>
      <c r="C170" s="102" t="str">
        <f>Masters!E174</f>
        <v>Utilities managers</v>
      </c>
      <c r="D170" s="101">
        <f>Masters!F174</f>
        <v>2</v>
      </c>
      <c r="E170" s="101">
        <f>Masters!G174</f>
        <v>2</v>
      </c>
      <c r="F170" s="101">
        <f>Masters!H174</f>
        <v>2</v>
      </c>
      <c r="G170" s="101">
        <f>Masters!I174</f>
        <v>3</v>
      </c>
      <c r="H170" s="101">
        <f>Masters!J174</f>
        <v>3</v>
      </c>
      <c r="I170" s="101">
        <f>Masters!K174</f>
        <v>3</v>
      </c>
      <c r="J170" s="101">
        <f>Masters!L174</f>
        <v>4</v>
      </c>
      <c r="K170" s="101">
        <f>Masters!M174</f>
        <v>4</v>
      </c>
      <c r="L170" s="101">
        <f>Masters!N174</f>
        <v>4</v>
      </c>
    </row>
    <row r="171">
      <c r="A171" s="101">
        <f>Masters!C175</f>
        <v>2111</v>
      </c>
      <c r="B171" s="102" t="str">
        <f>Masters!D175</f>
        <v>Physicists</v>
      </c>
      <c r="C171" s="102" t="str">
        <f>Masters!E175</f>
        <v>Physicists and astronomers</v>
      </c>
      <c r="D171" s="101">
        <f>Masters!F175</f>
        <v>1</v>
      </c>
      <c r="E171" s="101">
        <f>Masters!G175</f>
        <v>1</v>
      </c>
      <c r="F171" s="101">
        <f>Masters!H175</f>
        <v>1</v>
      </c>
      <c r="G171" s="101">
        <f>Masters!I175</f>
        <v>1</v>
      </c>
      <c r="H171" s="101">
        <f>Masters!J175</f>
        <v>1</v>
      </c>
      <c r="I171" s="101">
        <f>Masters!K175</f>
        <v>3</v>
      </c>
      <c r="J171" s="101">
        <f>Masters!L175</f>
        <v>3</v>
      </c>
      <c r="K171" s="101">
        <f>Masters!M175</f>
        <v>3</v>
      </c>
      <c r="L171" s="101">
        <f>Masters!N175</f>
        <v>3</v>
      </c>
    </row>
    <row r="172">
      <c r="A172" s="101">
        <f>Masters!C176</f>
        <v>2222</v>
      </c>
      <c r="B172" s="102" t="str">
        <f>Masters!D176</f>
        <v>Plant Protection Inspectors</v>
      </c>
      <c r="C172" s="102" t="str">
        <f>Masters!E176</f>
        <v>Agricultural and fish products inspectors</v>
      </c>
      <c r="D172" s="101">
        <f>Masters!F176</f>
        <v>2</v>
      </c>
      <c r="E172" s="101">
        <f>Masters!G176</f>
        <v>3</v>
      </c>
      <c r="F172" s="101">
        <f>Masters!H176</f>
        <v>3</v>
      </c>
      <c r="G172" s="101">
        <f>Masters!I176</f>
        <v>4</v>
      </c>
      <c r="H172" s="101">
        <f>Masters!J176</f>
        <v>2</v>
      </c>
      <c r="I172" s="101">
        <f>Masters!K176</f>
        <v>4</v>
      </c>
      <c r="J172" s="101">
        <f>Masters!L176</f>
        <v>4</v>
      </c>
      <c r="K172" s="101">
        <f>Masters!M176</f>
        <v>4</v>
      </c>
      <c r="L172" s="101">
        <f>Masters!N176</f>
        <v>3</v>
      </c>
    </row>
    <row r="173">
      <c r="A173" s="101">
        <f>Masters!C177</f>
        <v>9472</v>
      </c>
      <c r="B173" s="102" t="str">
        <f>Masters!D177</f>
        <v>Platemakers</v>
      </c>
      <c r="C173" s="102" t="str">
        <f>Masters!E177</f>
        <v>Camera, platemaking and other prepress occupations</v>
      </c>
      <c r="D173" s="101">
        <f>Masters!F177</f>
        <v>3</v>
      </c>
      <c r="E173" s="101">
        <f>Masters!G177</f>
        <v>3</v>
      </c>
      <c r="F173" s="101">
        <f>Masters!H177</f>
        <v>3</v>
      </c>
      <c r="G173" s="101">
        <f>Masters!I177</f>
        <v>3</v>
      </c>
      <c r="H173" s="101">
        <f>Masters!J177</f>
        <v>2</v>
      </c>
      <c r="I173" s="101">
        <f>Masters!K177</f>
        <v>4</v>
      </c>
      <c r="J173" s="101">
        <f>Masters!L177</f>
        <v>3</v>
      </c>
      <c r="K173" s="101">
        <f>Masters!M177</f>
        <v>4</v>
      </c>
      <c r="L173" s="101">
        <f>Masters!N177</f>
        <v>4</v>
      </c>
    </row>
    <row r="174">
      <c r="A174" s="101">
        <f>Masters!C178</f>
        <v>1511</v>
      </c>
      <c r="B174" s="102" t="str">
        <f>Masters!D178</f>
        <v>Postal Clerks</v>
      </c>
      <c r="C174" s="102" t="str">
        <f>Masters!E178</f>
        <v>Mail, postal and related workers</v>
      </c>
      <c r="D174" s="101">
        <f>Masters!F178</f>
        <v>3</v>
      </c>
      <c r="E174" s="101">
        <f>Masters!G178</f>
        <v>3</v>
      </c>
      <c r="F174" s="101">
        <f>Masters!H178</f>
        <v>3</v>
      </c>
      <c r="G174" s="101">
        <f>Masters!I178</f>
        <v>4</v>
      </c>
      <c r="H174" s="101">
        <f>Masters!J178</f>
        <v>4</v>
      </c>
      <c r="I174" s="101">
        <f>Masters!K178</f>
        <v>3</v>
      </c>
      <c r="J174" s="101">
        <f>Masters!L178</f>
        <v>4</v>
      </c>
      <c r="K174" s="101">
        <f>Masters!M178</f>
        <v>3</v>
      </c>
      <c r="L174" s="101">
        <f>Masters!N178</f>
        <v>4</v>
      </c>
    </row>
    <row r="175">
      <c r="A175" s="101">
        <f>Masters!C179</f>
        <v>9462</v>
      </c>
      <c r="B175" s="102" t="str">
        <f>Masters!D179</f>
        <v>Poultry Preparers</v>
      </c>
      <c r="C175" s="102" t="str">
        <f>Masters!E179</f>
        <v>Industrial butchers and meat cutters, poultry preparers and related workers</v>
      </c>
      <c r="D175" s="101">
        <f>Masters!F179</f>
        <v>3</v>
      </c>
      <c r="E175" s="101">
        <f>Masters!G179</f>
        <v>4</v>
      </c>
      <c r="F175" s="101">
        <f>Masters!H179</f>
        <v>4</v>
      </c>
      <c r="G175" s="101">
        <f>Masters!I179</f>
        <v>4</v>
      </c>
      <c r="H175" s="101">
        <f>Masters!J179</f>
        <v>4</v>
      </c>
      <c r="I175" s="101">
        <f>Masters!K179</f>
        <v>5</v>
      </c>
      <c r="J175" s="101">
        <f>Masters!L179</f>
        <v>4</v>
      </c>
      <c r="K175" s="101">
        <f>Masters!M179</f>
        <v>4</v>
      </c>
      <c r="L175" s="101">
        <f>Masters!N179</f>
        <v>3</v>
      </c>
    </row>
    <row r="176">
      <c r="A176" s="101">
        <f>Masters!C180</f>
        <v>9241</v>
      </c>
      <c r="B176" s="102" t="str">
        <f>Masters!D180</f>
        <v>Power Station Operators</v>
      </c>
      <c r="C176" s="102" t="str">
        <f>Masters!E180</f>
        <v>Power engineers and power systems operators</v>
      </c>
      <c r="D176" s="101">
        <f>Masters!F180</f>
        <v>3</v>
      </c>
      <c r="E176" s="101">
        <f>Masters!G180</f>
        <v>3</v>
      </c>
      <c r="F176" s="101">
        <f>Masters!H180</f>
        <v>3</v>
      </c>
      <c r="G176" s="101">
        <f>Masters!I180</f>
        <v>4</v>
      </c>
      <c r="H176" s="101">
        <f>Masters!J180</f>
        <v>3</v>
      </c>
      <c r="I176" s="101">
        <f>Masters!K180</f>
        <v>3</v>
      </c>
      <c r="J176" s="101">
        <f>Masters!L180</f>
        <v>4</v>
      </c>
      <c r="K176" s="101">
        <f>Masters!M180</f>
        <v>4</v>
      </c>
      <c r="L176" s="101">
        <f>Masters!N180</f>
        <v>4</v>
      </c>
    </row>
    <row r="177">
      <c r="A177" s="101">
        <f>Masters!C181</f>
        <v>9241</v>
      </c>
      <c r="B177" s="102" t="str">
        <f>Masters!D181</f>
        <v>Power Systems Operators</v>
      </c>
      <c r="C177" s="102" t="str">
        <f>Masters!E181</f>
        <v>Power engineers and power systems operators</v>
      </c>
      <c r="D177" s="101">
        <f>Masters!F181</f>
        <v>3</v>
      </c>
      <c r="E177" s="101">
        <f>Masters!G181</f>
        <v>3</v>
      </c>
      <c r="F177" s="101">
        <f>Masters!H181</f>
        <v>3</v>
      </c>
      <c r="G177" s="101">
        <f>Masters!I181</f>
        <v>4</v>
      </c>
      <c r="H177" s="101">
        <f>Masters!J181</f>
        <v>3</v>
      </c>
      <c r="I177" s="101">
        <f>Masters!K181</f>
        <v>3</v>
      </c>
      <c r="J177" s="101">
        <f>Masters!L181</f>
        <v>4</v>
      </c>
      <c r="K177" s="101">
        <f>Masters!M181</f>
        <v>4</v>
      </c>
      <c r="L177" s="101">
        <f>Masters!N181</f>
        <v>4</v>
      </c>
    </row>
    <row r="178">
      <c r="A178" s="101">
        <f>Masters!C182</f>
        <v>1215</v>
      </c>
      <c r="B178" s="102" t="str">
        <f>Masters!D182</f>
        <v>Primary Production Managers (Except Agriculture)</v>
      </c>
      <c r="C178" s="102" t="str">
        <f>Masters!E182</f>
        <v>Supervisors, supply chain, tracking and scheduling co-ordination occupations</v>
      </c>
      <c r="D178" s="101">
        <f>Masters!F182</f>
        <v>2</v>
      </c>
      <c r="E178" s="101">
        <f>Masters!G182</f>
        <v>2</v>
      </c>
      <c r="F178" s="101">
        <f>Masters!H182</f>
        <v>2</v>
      </c>
      <c r="G178" s="101">
        <f>Masters!I182</f>
        <v>3</v>
      </c>
      <c r="H178" s="101">
        <f>Masters!J182</f>
        <v>3</v>
      </c>
      <c r="I178" s="101">
        <f>Masters!K182</f>
        <v>3</v>
      </c>
      <c r="J178" s="101">
        <f>Masters!L182</f>
        <v>4</v>
      </c>
      <c r="K178" s="101">
        <f>Masters!M182</f>
        <v>4</v>
      </c>
      <c r="L178" s="101">
        <f>Masters!N182</f>
        <v>4</v>
      </c>
    </row>
    <row r="179">
      <c r="A179" s="101">
        <f>Masters!C183</f>
        <v>6541</v>
      </c>
      <c r="B179" s="102" t="str">
        <f>Masters!D183</f>
        <v>Private Investigators</v>
      </c>
      <c r="C179" s="102" t="str">
        <f>Masters!E183</f>
        <v>Security guards and related security service occupations</v>
      </c>
      <c r="D179" s="101">
        <f>Masters!F183</f>
        <v>3</v>
      </c>
      <c r="E179" s="101">
        <f>Masters!G183</f>
        <v>3</v>
      </c>
      <c r="F179" s="101">
        <f>Masters!H183</f>
        <v>4</v>
      </c>
      <c r="G179" s="101">
        <f>Masters!I183</f>
        <v>4</v>
      </c>
      <c r="H179" s="101">
        <f>Masters!J183</f>
        <v>3</v>
      </c>
      <c r="I179" s="101">
        <f>Masters!K183</f>
        <v>4</v>
      </c>
      <c r="J179" s="101">
        <f>Masters!L183</f>
        <v>4</v>
      </c>
      <c r="K179" s="101">
        <f>Masters!M183</f>
        <v>4</v>
      </c>
      <c r="L179" s="101">
        <f>Masters!N183</f>
        <v>4</v>
      </c>
    </row>
    <row r="180">
      <c r="A180" s="101">
        <f>Masters!C184</f>
        <v>6561</v>
      </c>
      <c r="B180" s="102" t="str">
        <f>Masters!D184</f>
        <v>Psychic Consultants</v>
      </c>
      <c r="C180" s="102" t="str">
        <f>Masters!E184</f>
        <v>Image, social and other personal consultants</v>
      </c>
      <c r="D180" s="101">
        <f>Masters!F184</f>
        <v>3</v>
      </c>
      <c r="E180" s="101">
        <f>Masters!G184</f>
        <v>3</v>
      </c>
      <c r="F180" s="101">
        <f>Masters!H184</f>
        <v>4</v>
      </c>
      <c r="G180" s="101">
        <f>Masters!I184</f>
        <v>4</v>
      </c>
      <c r="H180" s="101">
        <f>Masters!J184</f>
        <v>3</v>
      </c>
      <c r="I180" s="101">
        <f>Masters!K184</f>
        <v>4</v>
      </c>
      <c r="J180" s="101">
        <f>Masters!L184</f>
        <v>4</v>
      </c>
      <c r="K180" s="101">
        <f>Masters!M184</f>
        <v>4</v>
      </c>
      <c r="L180" s="101">
        <f>Masters!N184</f>
        <v>4</v>
      </c>
    </row>
    <row r="181">
      <c r="A181" s="101">
        <f>Masters!C185</f>
        <v>7362</v>
      </c>
      <c r="B181" s="102" t="str">
        <f>Masters!D185</f>
        <v>Railway Conductors</v>
      </c>
      <c r="C181" s="102" t="str">
        <f>Masters!E185</f>
        <v>Railway conductors and brakemen/women</v>
      </c>
      <c r="D181" s="101">
        <f>Masters!F185</f>
        <v>3</v>
      </c>
      <c r="E181" s="101">
        <f>Masters!G185</f>
        <v>3</v>
      </c>
      <c r="F181" s="101">
        <f>Masters!H185</f>
        <v>4</v>
      </c>
      <c r="G181" s="101">
        <f>Masters!I185</f>
        <v>4</v>
      </c>
      <c r="H181" s="101">
        <f>Masters!J185</f>
        <v>4</v>
      </c>
      <c r="I181" s="101">
        <f>Masters!K185</f>
        <v>3</v>
      </c>
      <c r="J181" s="101">
        <f>Masters!L185</f>
        <v>4</v>
      </c>
      <c r="K181" s="101">
        <f>Masters!M185</f>
        <v>4</v>
      </c>
      <c r="L181" s="101">
        <f>Masters!N185</f>
        <v>4</v>
      </c>
    </row>
    <row r="182">
      <c r="A182" s="101">
        <f>Masters!C186</f>
        <v>4167</v>
      </c>
      <c r="B182" s="102" t="str">
        <f>Masters!D186</f>
        <v>Recreation Consultants</v>
      </c>
      <c r="C182" s="102" t="str">
        <f>Masters!E186</f>
        <v>Recreation, sports and fitness policy researchers, consultants and program officers</v>
      </c>
      <c r="D182" s="101">
        <f>Masters!F186</f>
        <v>3</v>
      </c>
      <c r="E182" s="101">
        <f>Masters!G186</f>
        <v>2</v>
      </c>
      <c r="F182" s="101">
        <f>Masters!H186</f>
        <v>3</v>
      </c>
      <c r="G182" s="101">
        <f>Masters!I186</f>
        <v>3</v>
      </c>
      <c r="H182" s="101">
        <f>Masters!J186</f>
        <v>3</v>
      </c>
      <c r="I182" s="101">
        <f>Masters!K186</f>
        <v>4</v>
      </c>
      <c r="J182" s="101">
        <f>Masters!L186</f>
        <v>3</v>
      </c>
      <c r="K182" s="101">
        <f>Masters!M186</f>
        <v>4</v>
      </c>
      <c r="L182" s="101">
        <f>Masters!N186</f>
        <v>4</v>
      </c>
    </row>
    <row r="183">
      <c r="A183" s="101">
        <f>Masters!C187</f>
        <v>4161</v>
      </c>
      <c r="B183" s="102" t="str">
        <f>Masters!D187</f>
        <v>Science Policy and Program Officers</v>
      </c>
      <c r="C183" s="102" t="str">
        <f>Masters!E187</f>
        <v>Natural and applied science policy researchers, consultants and program officers</v>
      </c>
      <c r="D183" s="101">
        <f>Masters!F187</f>
        <v>2</v>
      </c>
      <c r="E183" s="101">
        <f>Masters!G187</f>
        <v>2</v>
      </c>
      <c r="F183" s="101">
        <f>Masters!H187</f>
        <v>2</v>
      </c>
      <c r="G183" s="101">
        <f>Masters!I187</f>
        <v>3</v>
      </c>
      <c r="H183" s="101">
        <f>Masters!J187</f>
        <v>3</v>
      </c>
      <c r="I183" s="101">
        <f>Masters!K187</f>
        <v>3</v>
      </c>
      <c r="J183" s="101">
        <f>Masters!L187</f>
        <v>4</v>
      </c>
      <c r="K183" s="101">
        <f>Masters!M187</f>
        <v>4</v>
      </c>
      <c r="L183" s="101">
        <f>Masters!N187</f>
        <v>4</v>
      </c>
    </row>
    <row r="184">
      <c r="A184" s="101">
        <f>Masters!C188</f>
        <v>5227</v>
      </c>
      <c r="B184" s="102" t="str">
        <f>Masters!D188</f>
        <v>Script Assistants</v>
      </c>
      <c r="C184" s="102" t="str">
        <f>Masters!E188</f>
        <v>Support occupations in motion pictures, broadcasting, photography and the performing arts</v>
      </c>
      <c r="D184" s="101">
        <f>Masters!F188</f>
        <v>3</v>
      </c>
      <c r="E184" s="101">
        <f>Masters!G188</f>
        <v>3</v>
      </c>
      <c r="F184" s="101">
        <f>Masters!H188</f>
        <v>4</v>
      </c>
      <c r="G184" s="101">
        <f>Masters!I188</f>
        <v>4</v>
      </c>
      <c r="H184" s="101">
        <f>Masters!J188</f>
        <v>4</v>
      </c>
      <c r="I184" s="101">
        <f>Masters!K188</f>
        <v>3</v>
      </c>
      <c r="J184" s="101">
        <f>Masters!L188</f>
        <v>4</v>
      </c>
      <c r="K184" s="101">
        <f>Masters!M188</f>
        <v>4</v>
      </c>
      <c r="L184" s="101">
        <f>Masters!N188</f>
        <v>4</v>
      </c>
    </row>
    <row r="185">
      <c r="A185" s="101">
        <f>Masters!C189</f>
        <v>8613</v>
      </c>
      <c r="B185" s="102" t="str">
        <f>Masters!D189</f>
        <v>Shellfish Harvesters</v>
      </c>
      <c r="C185" s="102" t="str">
        <f>Masters!E189</f>
        <v>Aquaculture and marine harvest labourers</v>
      </c>
      <c r="D185" s="101">
        <f>Masters!F189</f>
        <v>4</v>
      </c>
      <c r="E185" s="101">
        <f>Masters!G189</f>
        <v>4</v>
      </c>
      <c r="F185" s="101">
        <f>Masters!H189</f>
        <v>4</v>
      </c>
      <c r="G185" s="101">
        <f>Masters!I189</f>
        <v>4</v>
      </c>
      <c r="H185" s="101">
        <f>Masters!J189</f>
        <v>4</v>
      </c>
      <c r="I185" s="101">
        <f>Masters!K189</f>
        <v>4</v>
      </c>
      <c r="J185" s="101">
        <f>Masters!L189</f>
        <v>4</v>
      </c>
      <c r="K185" s="101">
        <f>Masters!M189</f>
        <v>3</v>
      </c>
      <c r="L185" s="101">
        <f>Masters!N189</f>
        <v>4</v>
      </c>
    </row>
    <row r="186">
      <c r="A186" s="101">
        <f>Masters!C190</f>
        <v>4421</v>
      </c>
      <c r="B186" s="102" t="str">
        <f>Masters!D190</f>
        <v>Sheriffs and Bailiffs</v>
      </c>
      <c r="C186" s="102" t="str">
        <f>Masters!E190</f>
        <v>Sheriffs and bailiffs</v>
      </c>
      <c r="D186" s="101">
        <f>Masters!F190</f>
        <v>3</v>
      </c>
      <c r="E186" s="101">
        <f>Masters!G190</f>
        <v>3</v>
      </c>
      <c r="F186" s="101">
        <f>Masters!H190</f>
        <v>4</v>
      </c>
      <c r="G186" s="101">
        <f>Masters!I190</f>
        <v>4</v>
      </c>
      <c r="H186" s="101">
        <f>Masters!J190</f>
        <v>4</v>
      </c>
      <c r="I186" s="101">
        <f>Masters!K190</f>
        <v>3</v>
      </c>
      <c r="J186" s="101">
        <f>Masters!L190</f>
        <v>4</v>
      </c>
      <c r="K186" s="101">
        <f>Masters!M190</f>
        <v>4</v>
      </c>
      <c r="L186" s="101">
        <f>Masters!N190</f>
        <v>4</v>
      </c>
    </row>
    <row r="187">
      <c r="A187" s="101">
        <f>Masters!C191</f>
        <v>6522</v>
      </c>
      <c r="B187" s="102" t="str">
        <f>Masters!D191</f>
        <v>Ship Pursers</v>
      </c>
      <c r="C187" s="102" t="str">
        <f>Masters!E191</f>
        <v>Pursers and flight attendants</v>
      </c>
      <c r="D187" s="101">
        <f>Masters!F191</f>
        <v>3</v>
      </c>
      <c r="E187" s="101">
        <f>Masters!G191</f>
        <v>3</v>
      </c>
      <c r="F187" s="101">
        <f>Masters!H191</f>
        <v>4</v>
      </c>
      <c r="G187" s="101">
        <f>Masters!I191</f>
        <v>4</v>
      </c>
      <c r="H187" s="101">
        <f>Masters!J191</f>
        <v>4</v>
      </c>
      <c r="I187" s="101">
        <f>Masters!K191</f>
        <v>3</v>
      </c>
      <c r="J187" s="101">
        <f>Masters!L191</f>
        <v>4</v>
      </c>
      <c r="K187" s="101">
        <f>Masters!M191</f>
        <v>4</v>
      </c>
      <c r="L187" s="101">
        <f>Masters!N191</f>
        <v>4</v>
      </c>
    </row>
    <row r="188">
      <c r="A188" s="101">
        <f>Masters!C192</f>
        <v>5133</v>
      </c>
      <c r="B188" s="102" t="str">
        <f>Masters!D192</f>
        <v>Singers</v>
      </c>
      <c r="C188" s="102" t="str">
        <f>Masters!E192</f>
        <v>Musicians and singers</v>
      </c>
      <c r="D188" s="101">
        <f>Masters!F192</f>
        <v>2</v>
      </c>
      <c r="E188" s="101">
        <f>Masters!G192</f>
        <v>2</v>
      </c>
      <c r="F188" s="101">
        <f>Masters!H192</f>
        <v>4</v>
      </c>
      <c r="G188" s="101">
        <f>Masters!I192</f>
        <v>5</v>
      </c>
      <c r="H188" s="101">
        <f>Masters!J192</f>
        <v>3</v>
      </c>
      <c r="I188" s="101">
        <f>Masters!K192</f>
        <v>3</v>
      </c>
      <c r="J188" s="101">
        <f>Masters!L192</f>
        <v>4</v>
      </c>
      <c r="K188" s="101">
        <f>Masters!M192</f>
        <v>4</v>
      </c>
      <c r="L188" s="101">
        <f>Masters!N192</f>
        <v>4</v>
      </c>
    </row>
    <row r="189">
      <c r="A189" s="101">
        <f>Masters!C193</f>
        <v>4167</v>
      </c>
      <c r="B189" s="102" t="str">
        <f>Masters!D193</f>
        <v>Sports Consultants</v>
      </c>
      <c r="C189" s="102" t="str">
        <f>Masters!E193</f>
        <v>Recreation, sports and fitness policy researchers, consultants and program officers</v>
      </c>
      <c r="D189" s="101">
        <f>Masters!F193</f>
        <v>3</v>
      </c>
      <c r="E189" s="101">
        <f>Masters!G193</f>
        <v>2</v>
      </c>
      <c r="F189" s="101">
        <f>Masters!H193</f>
        <v>3</v>
      </c>
      <c r="G189" s="101">
        <f>Masters!I193</f>
        <v>3</v>
      </c>
      <c r="H189" s="101">
        <f>Masters!J193</f>
        <v>3</v>
      </c>
      <c r="I189" s="101">
        <f>Masters!K193</f>
        <v>3</v>
      </c>
      <c r="J189" s="101">
        <f>Masters!L193</f>
        <v>4</v>
      </c>
      <c r="K189" s="101">
        <f>Masters!M193</f>
        <v>4</v>
      </c>
      <c r="L189" s="101">
        <f>Masters!N193</f>
        <v>4</v>
      </c>
    </row>
    <row r="190">
      <c r="A190" s="101">
        <f>Masters!C194</f>
        <v>9217</v>
      </c>
      <c r="B190" s="102" t="str">
        <f>Masters!D194</f>
        <v>Supervisors, Fabric, Fur and Leather Products Manufacturing</v>
      </c>
      <c r="C190" s="102" t="str">
        <f>Masters!E194</f>
        <v>Supervisors, textile, fabric, fur and leather products processing and manufacturing</v>
      </c>
      <c r="D190" s="101">
        <f>Masters!F194</f>
        <v>3</v>
      </c>
      <c r="E190" s="101">
        <f>Masters!G194</f>
        <v>3</v>
      </c>
      <c r="F190" s="101">
        <f>Masters!H194</f>
        <v>3</v>
      </c>
      <c r="G190" s="101">
        <f>Masters!I194</f>
        <v>4</v>
      </c>
      <c r="H190" s="101">
        <f>Masters!J194</f>
        <v>3</v>
      </c>
      <c r="I190" s="101">
        <f>Masters!K194</f>
        <v>3</v>
      </c>
      <c r="J190" s="101">
        <f>Masters!L194</f>
        <v>4</v>
      </c>
      <c r="K190" s="101">
        <f>Masters!M194</f>
        <v>4</v>
      </c>
      <c r="L190" s="101">
        <f>Masters!N194</f>
        <v>4</v>
      </c>
    </row>
    <row r="191">
      <c r="A191" s="101">
        <f>Masters!C195</f>
        <v>9224</v>
      </c>
      <c r="B191" s="102" t="str">
        <f>Masters!D195</f>
        <v>Supervisors, Furniture and Fixtures Manufacturing</v>
      </c>
      <c r="C191" s="102" t="str">
        <f>Masters!E195</f>
        <v>Supervisors, furniture and fixtures manufacturing</v>
      </c>
      <c r="D191" s="101">
        <f>Masters!F195</f>
        <v>3</v>
      </c>
      <c r="E191" s="101">
        <f>Masters!G195</f>
        <v>3</v>
      </c>
      <c r="F191" s="101">
        <f>Masters!H195</f>
        <v>3</v>
      </c>
      <c r="G191" s="101">
        <f>Masters!I195</f>
        <v>4</v>
      </c>
      <c r="H191" s="101">
        <f>Masters!J195</f>
        <v>3</v>
      </c>
      <c r="I191" s="101">
        <f>Masters!K195</f>
        <v>3</v>
      </c>
      <c r="J191" s="101">
        <f>Masters!L195</f>
        <v>4</v>
      </c>
      <c r="K191" s="101">
        <f>Masters!M195</f>
        <v>4</v>
      </c>
      <c r="L191" s="101">
        <f>Masters!N195</f>
        <v>4</v>
      </c>
    </row>
    <row r="192">
      <c r="A192" s="101">
        <f>Masters!C196</f>
        <v>8211</v>
      </c>
      <c r="B192" s="102" t="str">
        <f>Masters!D196</f>
        <v>Supervisors, Logging and Forestry</v>
      </c>
      <c r="C192" s="102" t="str">
        <f>Masters!E196</f>
        <v>Supervisors, logging and forestry</v>
      </c>
      <c r="D192" s="101">
        <f>Masters!F196</f>
        <v>3</v>
      </c>
      <c r="E192" s="101">
        <f>Masters!G196</f>
        <v>3</v>
      </c>
      <c r="F192" s="101">
        <f>Masters!H196</f>
        <v>3</v>
      </c>
      <c r="G192" s="101">
        <f>Masters!I196</f>
        <v>3</v>
      </c>
      <c r="H192" s="101">
        <f>Masters!J196</f>
        <v>4</v>
      </c>
      <c r="I192" s="101">
        <f>Masters!K196</f>
        <v>3</v>
      </c>
      <c r="J192" s="101">
        <f>Masters!L196</f>
        <v>4</v>
      </c>
      <c r="K192" s="101">
        <f>Masters!M196</f>
        <v>4</v>
      </c>
      <c r="L192" s="101">
        <f>Masters!N196</f>
        <v>4</v>
      </c>
    </row>
    <row r="193">
      <c r="A193" s="101">
        <f>Masters!C197</f>
        <v>9221</v>
      </c>
      <c r="B193" s="102" t="str">
        <f>Masters!D197</f>
        <v>Supervisors, Motor Vehicle Assembling</v>
      </c>
      <c r="C193" s="102" t="str">
        <f>Masters!E197</f>
        <v>Supervisors, motor vehicle assembling</v>
      </c>
      <c r="D193" s="101">
        <f>Masters!F197</f>
        <v>3</v>
      </c>
      <c r="E193" s="101">
        <f>Masters!G197</f>
        <v>3</v>
      </c>
      <c r="F193" s="101">
        <f>Masters!H197</f>
        <v>3</v>
      </c>
      <c r="G193" s="101">
        <f>Masters!I197</f>
        <v>4</v>
      </c>
      <c r="H193" s="101">
        <f>Masters!J197</f>
        <v>3</v>
      </c>
      <c r="I193" s="101">
        <f>Masters!K197</f>
        <v>3</v>
      </c>
      <c r="J193" s="101">
        <f>Masters!L197</f>
        <v>4</v>
      </c>
      <c r="K193" s="101">
        <f>Masters!M197</f>
        <v>4</v>
      </c>
      <c r="L193" s="101">
        <f>Masters!N197</f>
        <v>4</v>
      </c>
    </row>
    <row r="194">
      <c r="A194" s="101">
        <f>Masters!C198</f>
        <v>2171</v>
      </c>
      <c r="B194" s="102" t="str">
        <f>Masters!D198</f>
        <v>Systems Auditors</v>
      </c>
      <c r="C194" s="102" t="str">
        <f>Masters!E198</f>
        <v>Information systems analysts and consultants</v>
      </c>
      <c r="D194" s="101">
        <f>Masters!F198</f>
        <v>2</v>
      </c>
      <c r="E194" s="101">
        <f>Masters!G198</f>
        <v>2</v>
      </c>
      <c r="F194" s="101">
        <f>Masters!H198</f>
        <v>2</v>
      </c>
      <c r="G194" s="101">
        <f>Masters!I198</f>
        <v>3</v>
      </c>
      <c r="H194" s="101">
        <f>Masters!J198</f>
        <v>3</v>
      </c>
      <c r="I194" s="101">
        <f>Masters!K198</f>
        <v>3</v>
      </c>
      <c r="J194" s="101">
        <f>Masters!L198</f>
        <v>4</v>
      </c>
      <c r="K194" s="101">
        <f>Masters!M198</f>
        <v>4</v>
      </c>
      <c r="L194" s="101">
        <f>Masters!N198</f>
        <v>4</v>
      </c>
    </row>
    <row r="195">
      <c r="A195" s="101">
        <f>Masters!C199</f>
        <v>2283</v>
      </c>
      <c r="B195" s="102" t="str">
        <f>Masters!D199</f>
        <v>Systems Testing Technicians</v>
      </c>
      <c r="C195" s="102" t="str">
        <f>Masters!E199</f>
        <v>Information systems testing technicians</v>
      </c>
      <c r="D195" s="101">
        <f>Masters!F199</f>
        <v>2</v>
      </c>
      <c r="E195" s="101">
        <f>Masters!G199</f>
        <v>2</v>
      </c>
      <c r="F195" s="101">
        <f>Masters!H199</f>
        <v>2</v>
      </c>
      <c r="G195" s="101">
        <f>Masters!I199</f>
        <v>3</v>
      </c>
      <c r="H195" s="101">
        <f>Masters!J199</f>
        <v>3</v>
      </c>
      <c r="I195" s="101">
        <f>Masters!K199</f>
        <v>3</v>
      </c>
      <c r="J195" s="101">
        <f>Masters!L199</f>
        <v>4</v>
      </c>
      <c r="K195" s="101">
        <f>Masters!M199</f>
        <v>4</v>
      </c>
      <c r="L195" s="101">
        <f>Masters!N199</f>
        <v>4</v>
      </c>
    </row>
    <row r="196">
      <c r="A196" s="101">
        <f>Masters!C200</f>
        <v>9441</v>
      </c>
      <c r="B196" s="102" t="str">
        <f>Masters!D200</f>
        <v>Textile Dyeing and Finishing Machine Operators</v>
      </c>
      <c r="C196" s="102" t="str">
        <f>Masters!E200</f>
        <v>Textile fibre and yarn, hide and pelt processing machine operators and workers</v>
      </c>
      <c r="D196" s="101">
        <f>Masters!F200</f>
        <v>4</v>
      </c>
      <c r="E196" s="101">
        <f>Masters!G200</f>
        <v>4</v>
      </c>
      <c r="F196" s="101">
        <f>Masters!H200</f>
        <v>4</v>
      </c>
      <c r="G196" s="101">
        <f>Masters!I200</f>
        <v>4</v>
      </c>
      <c r="H196" s="101">
        <f>Masters!J200</f>
        <v>4</v>
      </c>
      <c r="I196" s="101">
        <f>Masters!K200</f>
        <v>4</v>
      </c>
      <c r="J196" s="101">
        <f>Masters!L200</f>
        <v>4</v>
      </c>
      <c r="K196" s="101">
        <f>Masters!M200</f>
        <v>4</v>
      </c>
      <c r="L196" s="101">
        <f>Masters!N200</f>
        <v>3</v>
      </c>
    </row>
    <row r="197">
      <c r="A197" s="101">
        <f>Masters!C201</f>
        <v>731</v>
      </c>
      <c r="B197" s="102" t="str">
        <f>Masters!D201</f>
        <v>Transportation Managers, Freight Traffic</v>
      </c>
      <c r="C197" s="102" t="str">
        <f>Masters!E201</f>
        <v>Managers in transportation</v>
      </c>
      <c r="D197" s="101">
        <f>Masters!F201</f>
        <v>2</v>
      </c>
      <c r="E197" s="101">
        <f>Masters!G201</f>
        <v>2</v>
      </c>
      <c r="F197" s="101">
        <f>Masters!H201</f>
        <v>3</v>
      </c>
      <c r="G197" s="101">
        <f>Masters!I201</f>
        <v>3</v>
      </c>
      <c r="H197" s="101">
        <f>Masters!J201</f>
        <v>4</v>
      </c>
      <c r="I197" s="101">
        <f>Masters!K201</f>
        <v>3</v>
      </c>
      <c r="J197" s="101">
        <f>Masters!L201</f>
        <v>4</v>
      </c>
      <c r="K197" s="101">
        <f>Masters!M201</f>
        <v>4</v>
      </c>
      <c r="L197" s="101">
        <f>Masters!N201</f>
        <v>4</v>
      </c>
    </row>
    <row r="198">
      <c r="A198" s="101">
        <f>Masters!C202</f>
        <v>731</v>
      </c>
      <c r="B198" s="102" t="str">
        <f>Masters!D202</f>
        <v>Transportation Managers, Operations</v>
      </c>
      <c r="C198" s="102" t="str">
        <f>Masters!E202</f>
        <v>Managers in transportation</v>
      </c>
      <c r="D198" s="101">
        <f>Masters!F202</f>
        <v>2</v>
      </c>
      <c r="E198" s="101">
        <f>Masters!G202</f>
        <v>2</v>
      </c>
      <c r="F198" s="101">
        <f>Masters!H202</f>
        <v>3</v>
      </c>
      <c r="G198" s="101">
        <f>Masters!I202</f>
        <v>3</v>
      </c>
      <c r="H198" s="101">
        <f>Masters!J202</f>
        <v>4</v>
      </c>
      <c r="I198" s="101">
        <f>Masters!K202</f>
        <v>3</v>
      </c>
      <c r="J198" s="101">
        <f>Masters!L202</f>
        <v>4</v>
      </c>
      <c r="K198" s="101">
        <f>Masters!M202</f>
        <v>4</v>
      </c>
      <c r="L198" s="101">
        <f>Masters!N202</f>
        <v>4</v>
      </c>
    </row>
    <row r="199">
      <c r="A199" s="101">
        <f>Masters!C203</f>
        <v>6521</v>
      </c>
      <c r="B199" s="102" t="str">
        <f>Masters!D203</f>
        <v>Travel Counsellors</v>
      </c>
      <c r="C199" s="102" t="str">
        <f>Masters!E203</f>
        <v>Travel counsellors</v>
      </c>
      <c r="D199" s="101">
        <f>Masters!F203</f>
        <v>3</v>
      </c>
      <c r="E199" s="101">
        <f>Masters!G203</f>
        <v>3</v>
      </c>
      <c r="F199" s="101">
        <f>Masters!H203</f>
        <v>3</v>
      </c>
      <c r="G199" s="101">
        <f>Masters!I203</f>
        <v>4</v>
      </c>
      <c r="H199" s="101">
        <f>Masters!J203</f>
        <v>4</v>
      </c>
      <c r="I199" s="101">
        <f>Masters!K203</f>
        <v>3</v>
      </c>
      <c r="J199" s="101">
        <f>Masters!L203</f>
        <v>4</v>
      </c>
      <c r="K199" s="101">
        <f>Masters!M203</f>
        <v>3</v>
      </c>
      <c r="L199" s="101">
        <f>Masters!N203</f>
        <v>4</v>
      </c>
    </row>
    <row r="200">
      <c r="A200" s="101">
        <f>Masters!C204</f>
        <v>9462</v>
      </c>
      <c r="B200" s="102" t="str">
        <f>Masters!D204</f>
        <v>Trimmers</v>
      </c>
      <c r="C200" s="102" t="str">
        <f>Masters!E204</f>
        <v>Industrial butchers and meat cutters, poultry preparers and related workers</v>
      </c>
      <c r="D200" s="101">
        <f>Masters!F204</f>
        <v>3</v>
      </c>
      <c r="E200" s="101">
        <f>Masters!G204</f>
        <v>4</v>
      </c>
      <c r="F200" s="101">
        <f>Masters!H204</f>
        <v>4</v>
      </c>
      <c r="G200" s="101">
        <f>Masters!I204</f>
        <v>4</v>
      </c>
      <c r="H200" s="101">
        <f>Masters!J204</f>
        <v>4</v>
      </c>
      <c r="I200" s="101">
        <f>Masters!K204</f>
        <v>5</v>
      </c>
      <c r="J200" s="101">
        <f>Masters!L204</f>
        <v>4</v>
      </c>
      <c r="K200" s="101">
        <f>Masters!M204</f>
        <v>4</v>
      </c>
      <c r="L200" s="101">
        <f>Masters!N204</f>
        <v>3</v>
      </c>
    </row>
    <row r="201">
      <c r="A201" s="101">
        <f>Masters!C205</f>
        <v>2153</v>
      </c>
      <c r="B201" s="102" t="str">
        <f>Masters!D205</f>
        <v>Urban and Land Use Planners</v>
      </c>
      <c r="C201" s="102" t="str">
        <f>Masters!E205</f>
        <v>Urban and land use planners</v>
      </c>
      <c r="D201" s="101">
        <f>Masters!F205</f>
        <v>2</v>
      </c>
      <c r="E201" s="101">
        <f>Masters!G205</f>
        <v>2</v>
      </c>
      <c r="F201" s="101">
        <f>Masters!H205</f>
        <v>2</v>
      </c>
      <c r="G201" s="101">
        <f>Masters!I205</f>
        <v>3</v>
      </c>
      <c r="H201" s="101">
        <f>Masters!J205</f>
        <v>3</v>
      </c>
      <c r="I201" s="101">
        <f>Masters!K205</f>
        <v>3</v>
      </c>
      <c r="J201" s="101">
        <f>Masters!L205</f>
        <v>4</v>
      </c>
      <c r="K201" s="101">
        <f>Masters!M205</f>
        <v>4</v>
      </c>
      <c r="L201" s="101">
        <f>Masters!N205</f>
        <v>4</v>
      </c>
    </row>
    <row r="202">
      <c r="A202" s="101">
        <f>Masters!C206</f>
        <v>912</v>
      </c>
      <c r="B202" s="102" t="str">
        <f>Masters!D206</f>
        <v>Waste Systems Managers</v>
      </c>
      <c r="C202" s="102" t="str">
        <f>Masters!E206</f>
        <v>Utilities managers</v>
      </c>
      <c r="D202" s="101">
        <f>Masters!F206</f>
        <v>2</v>
      </c>
      <c r="E202" s="101">
        <f>Masters!G206</f>
        <v>2</v>
      </c>
      <c r="F202" s="101">
        <f>Masters!H206</f>
        <v>2</v>
      </c>
      <c r="G202" s="101">
        <f>Masters!I206</f>
        <v>3</v>
      </c>
      <c r="H202" s="101">
        <f>Masters!J206</f>
        <v>3</v>
      </c>
      <c r="I202" s="101">
        <f>Masters!K206</f>
        <v>3</v>
      </c>
      <c r="J202" s="101">
        <f>Masters!L206</f>
        <v>4</v>
      </c>
      <c r="K202" s="101">
        <f>Masters!M206</f>
        <v>4</v>
      </c>
      <c r="L202" s="101">
        <f>Masters!N206</f>
        <v>4</v>
      </c>
    </row>
    <row r="203">
      <c r="A203" s="101">
        <f>Masters!C207</f>
        <v>912</v>
      </c>
      <c r="B203" s="102" t="str">
        <f>Masters!D207</f>
        <v>Water Pollution Control Managers</v>
      </c>
      <c r="C203" s="102" t="str">
        <f>Masters!E207</f>
        <v>Utilities managers</v>
      </c>
      <c r="D203" s="101">
        <f>Masters!F207</f>
        <v>2</v>
      </c>
      <c r="E203" s="101">
        <f>Masters!G207</f>
        <v>2</v>
      </c>
      <c r="F203" s="101">
        <f>Masters!H207</f>
        <v>2</v>
      </c>
      <c r="G203" s="101">
        <f>Masters!I207</f>
        <v>3</v>
      </c>
      <c r="H203" s="101">
        <f>Masters!J207</f>
        <v>3</v>
      </c>
      <c r="I203" s="101">
        <f>Masters!K207</f>
        <v>3</v>
      </c>
      <c r="J203" s="101">
        <f>Masters!L207</f>
        <v>4</v>
      </c>
      <c r="K203" s="101">
        <f>Masters!M207</f>
        <v>4</v>
      </c>
      <c r="L203" s="101">
        <f>Masters!N207</f>
        <v>4</v>
      </c>
    </row>
    <row r="204">
      <c r="A204" s="101">
        <f>Masters!C208</f>
        <v>912</v>
      </c>
      <c r="B204" s="102" t="str">
        <f>Masters!D208</f>
        <v>Water Supply Managers</v>
      </c>
      <c r="C204" s="102" t="str">
        <f>Masters!E208</f>
        <v>Utilities managers</v>
      </c>
      <c r="D204" s="101">
        <f>Masters!F208</f>
        <v>2</v>
      </c>
      <c r="E204" s="101">
        <f>Masters!G208</f>
        <v>2</v>
      </c>
      <c r="F204" s="101">
        <f>Masters!H208</f>
        <v>2</v>
      </c>
      <c r="G204" s="101">
        <f>Masters!I208</f>
        <v>3</v>
      </c>
      <c r="H204" s="101">
        <f>Masters!J208</f>
        <v>3</v>
      </c>
      <c r="I204" s="101">
        <f>Masters!K208</f>
        <v>3</v>
      </c>
      <c r="J204" s="101">
        <f>Masters!L208</f>
        <v>4</v>
      </c>
      <c r="K204" s="101">
        <f>Masters!M208</f>
        <v>4</v>
      </c>
      <c r="L204" s="101">
        <f>Masters!N208</f>
        <v>4</v>
      </c>
    </row>
    <row r="205">
      <c r="A205" s="101">
        <f>Masters!C209</f>
        <v>6561</v>
      </c>
      <c r="B205" s="102" t="str">
        <f>Masters!D209</f>
        <v>Wedding Consultants</v>
      </c>
      <c r="C205" s="102" t="str">
        <f>Masters!E209</f>
        <v>Image, social and other personal consultants</v>
      </c>
      <c r="D205" s="101">
        <f>Masters!F209</f>
        <v>3</v>
      </c>
      <c r="E205" s="101">
        <f>Masters!G209</f>
        <v>3</v>
      </c>
      <c r="F205" s="101">
        <f>Masters!H209</f>
        <v>3</v>
      </c>
      <c r="G205" s="101">
        <f>Masters!I209</f>
        <v>4</v>
      </c>
      <c r="H205" s="101">
        <f>Masters!J209</f>
        <v>3</v>
      </c>
      <c r="I205" s="101">
        <f>Masters!K209</f>
        <v>3</v>
      </c>
      <c r="J205" s="101">
        <f>Masters!L209</f>
        <v>4</v>
      </c>
      <c r="K205" s="101">
        <f>Masters!M209</f>
        <v>4</v>
      </c>
      <c r="L205" s="101">
        <f>Masters!N209</f>
        <v>4</v>
      </c>
    </row>
    <row r="206">
      <c r="A206" s="101">
        <f>Masters!C210</f>
        <v>632</v>
      </c>
      <c r="B206" s="102" t="str">
        <f>Masters!D210</f>
        <v>Accommodation Service Managers</v>
      </c>
      <c r="C206" s="102" t="str">
        <f>Masters!E210</f>
        <v>Accommodation service managers</v>
      </c>
      <c r="D206" s="101">
        <f>Masters!F210</f>
        <v>3</v>
      </c>
      <c r="E206" s="101">
        <f>Masters!G210</f>
        <v>3</v>
      </c>
      <c r="F206" s="101">
        <f>Masters!H210</f>
        <v>3</v>
      </c>
      <c r="G206" s="101">
        <f>Masters!I210</f>
        <v>4</v>
      </c>
      <c r="H206" s="101">
        <f>Masters!J210</f>
        <v>4</v>
      </c>
      <c r="I206" s="101">
        <f>Masters!K210</f>
        <v>3</v>
      </c>
      <c r="J206" s="101">
        <f>Masters!L210</f>
        <v>4</v>
      </c>
      <c r="K206" s="101">
        <f>Masters!M210</f>
        <v>4</v>
      </c>
      <c r="L206" s="101">
        <f>Masters!N210</f>
        <v>4</v>
      </c>
    </row>
    <row r="207">
      <c r="A207" s="101">
        <f>Masters!C211</f>
        <v>1431</v>
      </c>
      <c r="B207" s="102" t="str">
        <f>Masters!D211</f>
        <v>Accounting and Related Clerks</v>
      </c>
      <c r="C207" s="102" t="str">
        <f>Masters!E211</f>
        <v>Accounting and related clerks</v>
      </c>
      <c r="D207" s="101">
        <f>Masters!F211</f>
        <v>3</v>
      </c>
      <c r="E207" s="101">
        <f>Masters!G211</f>
        <v>3</v>
      </c>
      <c r="F207" s="101">
        <f>Masters!H211</f>
        <v>3</v>
      </c>
      <c r="G207" s="101">
        <f>Masters!I211</f>
        <v>4</v>
      </c>
      <c r="H207" s="101">
        <f>Masters!J211</f>
        <v>4</v>
      </c>
      <c r="I207" s="101">
        <f>Masters!K211</f>
        <v>2</v>
      </c>
      <c r="J207" s="101">
        <f>Masters!L211</f>
        <v>4</v>
      </c>
      <c r="K207" s="101">
        <f>Masters!M211</f>
        <v>3</v>
      </c>
      <c r="L207" s="101">
        <f>Masters!N211</f>
        <v>4</v>
      </c>
    </row>
    <row r="208">
      <c r="A208" s="101">
        <f>Masters!C212</f>
        <v>212</v>
      </c>
      <c r="B208" s="102" t="str">
        <f>Masters!D212</f>
        <v>Architecture and Science Managers</v>
      </c>
      <c r="C208" s="102" t="str">
        <f>Masters!E212</f>
        <v>Architecture and science managers</v>
      </c>
      <c r="D208" s="101">
        <f>Masters!F212</f>
        <v>1</v>
      </c>
      <c r="E208" s="101">
        <f>Masters!G212</f>
        <v>2</v>
      </c>
      <c r="F208" s="101">
        <f>Masters!H212</f>
        <v>1</v>
      </c>
      <c r="G208" s="101">
        <f>Masters!I212</f>
        <v>2</v>
      </c>
      <c r="H208" s="101">
        <f>Masters!J212</f>
        <v>3</v>
      </c>
      <c r="I208" s="101">
        <f>Masters!K212</f>
        <v>3</v>
      </c>
      <c r="J208" s="101">
        <f>Masters!L212</f>
        <v>4</v>
      </c>
      <c r="K208" s="101">
        <f>Masters!M212</f>
        <v>4</v>
      </c>
      <c r="L208" s="101">
        <f>Masters!N212</f>
        <v>4</v>
      </c>
    </row>
    <row r="209">
      <c r="A209" s="101">
        <f>Masters!C213</f>
        <v>5211</v>
      </c>
      <c r="B209" s="102" t="str">
        <f>Masters!D213</f>
        <v>Archive Technicians and Assistants</v>
      </c>
      <c r="C209" s="102" t="str">
        <f>Masters!E213</f>
        <v>Library and public archive technicians</v>
      </c>
      <c r="D209" s="101">
        <f>Masters!F213</f>
        <v>3</v>
      </c>
      <c r="E209" s="101">
        <f>Masters!G213</f>
        <v>3</v>
      </c>
      <c r="F209" s="101">
        <f>Masters!H213</f>
        <v>4</v>
      </c>
      <c r="G209" s="101">
        <f>Masters!I213</f>
        <v>4</v>
      </c>
      <c r="H209" s="101">
        <f>Masters!J213</f>
        <v>4</v>
      </c>
      <c r="I209" s="101">
        <f>Masters!K213</f>
        <v>2</v>
      </c>
      <c r="J209" s="101">
        <f>Masters!L213</f>
        <v>4</v>
      </c>
      <c r="K209" s="101">
        <f>Masters!M213</f>
        <v>4</v>
      </c>
      <c r="L209" s="101">
        <f>Masters!N213</f>
        <v>4</v>
      </c>
    </row>
    <row r="210">
      <c r="A210" s="101">
        <f>Masters!C214</f>
        <v>5113</v>
      </c>
      <c r="B210" s="102" t="str">
        <f>Masters!D214</f>
        <v>Archivists</v>
      </c>
      <c r="C210" s="102" t="str">
        <f>Masters!E214</f>
        <v>Archivists</v>
      </c>
      <c r="D210" s="101">
        <f>Masters!F214</f>
        <v>2</v>
      </c>
      <c r="E210" s="101">
        <f>Masters!G214</f>
        <v>2</v>
      </c>
      <c r="F210" s="101">
        <f>Masters!H214</f>
        <v>3</v>
      </c>
      <c r="G210" s="101">
        <f>Masters!I214</f>
        <v>3</v>
      </c>
      <c r="H210" s="101">
        <f>Masters!J214</f>
        <v>2</v>
      </c>
      <c r="I210" s="101">
        <f>Masters!K214</f>
        <v>2</v>
      </c>
      <c r="J210" s="101">
        <f>Masters!L214</f>
        <v>4</v>
      </c>
      <c r="K210" s="101">
        <f>Masters!M214</f>
        <v>4</v>
      </c>
      <c r="L210" s="101">
        <f>Masters!N214</f>
        <v>4</v>
      </c>
    </row>
    <row r="211">
      <c r="A211" s="101">
        <f>Masters!C215</f>
        <v>7535</v>
      </c>
      <c r="B211" s="102" t="str">
        <f>Masters!D215</f>
        <v>Automotive Mechanical Installers and Servicers</v>
      </c>
      <c r="C211" s="102" t="str">
        <f>Masters!E215</f>
        <v>Other automotive mechanical installers and servicers</v>
      </c>
      <c r="D211" s="101">
        <f>Masters!F215</f>
        <v>4</v>
      </c>
      <c r="E211" s="101">
        <f>Masters!G215</f>
        <v>4</v>
      </c>
      <c r="F211" s="101">
        <f>Masters!H215</f>
        <v>4</v>
      </c>
      <c r="G211" s="101">
        <f>Masters!I215</f>
        <v>4</v>
      </c>
      <c r="H211" s="101">
        <f>Masters!J215</f>
        <v>4</v>
      </c>
      <c r="I211" s="101">
        <f>Masters!K215</f>
        <v>5</v>
      </c>
      <c r="J211" s="101">
        <f>Masters!L215</f>
        <v>4</v>
      </c>
      <c r="K211" s="101">
        <f>Masters!M215</f>
        <v>4</v>
      </c>
      <c r="L211" s="101">
        <f>Masters!N215</f>
        <v>3</v>
      </c>
    </row>
    <row r="212">
      <c r="A212" s="101">
        <f>Masters!C216</f>
        <v>4411</v>
      </c>
      <c r="B212" s="102" t="str">
        <f>Masters!D216</f>
        <v>Babysitters</v>
      </c>
      <c r="C212" s="102" t="str">
        <f>Masters!E216</f>
        <v>Home child care providers</v>
      </c>
      <c r="D212" s="101">
        <f>Masters!F216</f>
        <v>4</v>
      </c>
      <c r="E212" s="101">
        <f>Masters!G216</f>
        <v>4</v>
      </c>
      <c r="F212" s="101">
        <f>Masters!H216</f>
        <v>4</v>
      </c>
      <c r="G212" s="101">
        <f>Masters!I216</f>
        <v>4</v>
      </c>
      <c r="H212" s="101">
        <f>Masters!J216</f>
        <v>4</v>
      </c>
      <c r="I212" s="101">
        <f>Masters!K216</f>
        <v>5</v>
      </c>
      <c r="J212" s="101">
        <f>Masters!L216</f>
        <v>4</v>
      </c>
      <c r="K212" s="101">
        <f>Masters!M216</f>
        <v>4</v>
      </c>
      <c r="L212" s="101">
        <f>Masters!N216</f>
        <v>3</v>
      </c>
    </row>
    <row r="213">
      <c r="A213" s="101">
        <f>Masters!C217</f>
        <v>2121</v>
      </c>
      <c r="B213" s="102" t="str">
        <f>Masters!D217</f>
        <v>Biologists</v>
      </c>
      <c r="C213" s="102" t="str">
        <f>Masters!E217</f>
        <v>Biologists and related scientists</v>
      </c>
      <c r="D213" s="101">
        <f>Masters!F217</f>
        <v>1</v>
      </c>
      <c r="E213" s="101">
        <f>Masters!G217</f>
        <v>1</v>
      </c>
      <c r="F213" s="101">
        <f>Masters!H217</f>
        <v>1</v>
      </c>
      <c r="G213" s="101">
        <f>Masters!I217</f>
        <v>2</v>
      </c>
      <c r="H213" s="101">
        <f>Masters!J217</f>
        <v>2</v>
      </c>
      <c r="I213" s="101">
        <f>Masters!K217</f>
        <v>3</v>
      </c>
      <c r="J213" s="101">
        <f>Masters!L217</f>
        <v>4</v>
      </c>
      <c r="K213" s="101">
        <f>Masters!M217</f>
        <v>3</v>
      </c>
      <c r="L213" s="101">
        <f>Masters!N217</f>
        <v>3</v>
      </c>
    </row>
    <row r="214">
      <c r="A214" s="101">
        <f>Masters!C218</f>
        <v>7533</v>
      </c>
      <c r="B214" s="102" t="str">
        <f>Masters!D218</f>
        <v>Boat Operators</v>
      </c>
      <c r="C214" s="102" t="str">
        <f>Masters!E218</f>
        <v>Boat and cable ferry operators and related occupations</v>
      </c>
      <c r="D214" s="101">
        <f>Masters!F218</f>
        <v>4</v>
      </c>
      <c r="E214" s="101">
        <f>Masters!G218</f>
        <v>3</v>
      </c>
      <c r="F214" s="101">
        <f>Masters!H218</f>
        <v>5</v>
      </c>
      <c r="G214" s="101">
        <f>Masters!I218</f>
        <v>3</v>
      </c>
      <c r="H214" s="101">
        <f>Masters!J218</f>
        <v>4</v>
      </c>
      <c r="I214" s="101">
        <f>Masters!K218</f>
        <v>5</v>
      </c>
      <c r="J214" s="101">
        <f>Masters!L218</f>
        <v>3</v>
      </c>
      <c r="K214" s="101">
        <f>Masters!M218</f>
        <v>4</v>
      </c>
      <c r="L214" s="101">
        <f>Masters!N218</f>
        <v>3</v>
      </c>
    </row>
    <row r="215">
      <c r="A215" s="101">
        <f>Masters!C219</f>
        <v>1311</v>
      </c>
      <c r="B215" s="102" t="str">
        <f>Masters!D219</f>
        <v>Bookkeepers</v>
      </c>
      <c r="C215" s="102" t="str">
        <f>Masters!E219</f>
        <v>Accounting technicians and bookkeepers</v>
      </c>
      <c r="D215" s="101">
        <f>Masters!F219</f>
        <v>3</v>
      </c>
      <c r="E215" s="101">
        <f>Masters!G219</f>
        <v>3</v>
      </c>
      <c r="F215" s="101">
        <f>Masters!H219</f>
        <v>2</v>
      </c>
      <c r="G215" s="101">
        <f>Masters!I219</f>
        <v>4</v>
      </c>
      <c r="H215" s="101">
        <f>Masters!J219</f>
        <v>4</v>
      </c>
      <c r="I215" s="101">
        <f>Masters!K219</f>
        <v>2</v>
      </c>
      <c r="J215" s="101">
        <f>Masters!L219</f>
        <v>3</v>
      </c>
      <c r="K215" s="101">
        <f>Masters!M219</f>
        <v>3</v>
      </c>
      <c r="L215" s="101">
        <f>Masters!N219</f>
        <v>4</v>
      </c>
    </row>
    <row r="216">
      <c r="A216" s="101">
        <f>Masters!C220</f>
        <v>4423</v>
      </c>
      <c r="B216" s="102" t="str">
        <f>Masters!D220</f>
        <v>By-law Enforcement Officers</v>
      </c>
      <c r="C216" s="102" t="str">
        <f>Masters!E220</f>
        <v>By-law enforcement and other regulatory officers, n.e.c.</v>
      </c>
      <c r="D216" s="101">
        <f>Masters!F220</f>
        <v>3</v>
      </c>
      <c r="E216" s="101">
        <f>Masters!G220</f>
        <v>3</v>
      </c>
      <c r="F216" s="101">
        <f>Masters!H220</f>
        <v>4</v>
      </c>
      <c r="G216" s="101">
        <f>Masters!I220</f>
        <v>4</v>
      </c>
      <c r="H216" s="101">
        <f>Masters!J220</f>
        <v>4</v>
      </c>
      <c r="I216" s="101">
        <f>Masters!K220</f>
        <v>4</v>
      </c>
      <c r="J216" s="101">
        <f>Masters!L220</f>
        <v>4</v>
      </c>
      <c r="K216" s="101">
        <f>Masters!M220</f>
        <v>4</v>
      </c>
      <c r="L216" s="101">
        <f>Masters!N220</f>
        <v>4</v>
      </c>
    </row>
    <row r="217">
      <c r="A217" s="101">
        <f>Masters!C221</f>
        <v>6564</v>
      </c>
      <c r="B217" s="102" t="str">
        <f>Masters!D221</f>
        <v>Call Centre Agents</v>
      </c>
      <c r="C217" s="102" t="str">
        <f>Masters!E221</f>
        <v>Other personal service occupations</v>
      </c>
      <c r="D217" s="101">
        <f>Masters!F221</f>
        <v>3</v>
      </c>
      <c r="E217" s="101">
        <f>Masters!G221</f>
        <v>3</v>
      </c>
      <c r="F217" s="101">
        <f>Masters!H221</f>
        <v>3</v>
      </c>
      <c r="G217" s="101">
        <f>Masters!I221</f>
        <v>4</v>
      </c>
      <c r="H217" s="101">
        <f>Masters!J221</f>
        <v>4</v>
      </c>
      <c r="I217" s="101">
        <f>Masters!K221</f>
        <v>3</v>
      </c>
      <c r="J217" s="101">
        <f>Masters!L221</f>
        <v>4</v>
      </c>
      <c r="K217" s="101">
        <f>Masters!M221</f>
        <v>4</v>
      </c>
      <c r="L217" s="101">
        <f>Masters!N221</f>
        <v>4</v>
      </c>
    </row>
    <row r="218">
      <c r="A218" s="101">
        <f>Masters!C222</f>
        <v>6524</v>
      </c>
      <c r="B218" s="102" t="str">
        <f>Masters!D222</f>
        <v>Cargo Service Representatives (Except Airline)</v>
      </c>
      <c r="C218" s="102" t="str">
        <f>Masters!E222</f>
        <v>Ground and water transport ticket agents, cargo service representatives and related clerks</v>
      </c>
      <c r="D218" s="101">
        <f>Masters!F222</f>
        <v>3</v>
      </c>
      <c r="E218" s="101">
        <f>Masters!G222</f>
        <v>3</v>
      </c>
      <c r="F218" s="101">
        <f>Masters!H222</f>
        <v>3</v>
      </c>
      <c r="G218" s="101">
        <f>Masters!I222</f>
        <v>4</v>
      </c>
      <c r="H218" s="101">
        <f>Masters!J222</f>
        <v>4</v>
      </c>
      <c r="I218" s="101">
        <f>Masters!K222</f>
        <v>3</v>
      </c>
      <c r="J218" s="101">
        <f>Masters!L222</f>
        <v>4</v>
      </c>
      <c r="K218" s="101">
        <f>Masters!M222</f>
        <v>4</v>
      </c>
      <c r="L218" s="101">
        <f>Masters!N222</f>
        <v>4</v>
      </c>
    </row>
    <row r="219">
      <c r="A219" s="101">
        <f>Masters!C223</f>
        <v>3414</v>
      </c>
      <c r="B219" s="102" t="str">
        <f>Masters!D223</f>
        <v>Central Supply Aides</v>
      </c>
      <c r="C219" s="102" t="str">
        <f>Masters!E223</f>
        <v>Other assisting occupations in support of health services</v>
      </c>
      <c r="D219" s="101">
        <f>Masters!F223</f>
        <v>4</v>
      </c>
      <c r="E219" s="101">
        <f>Masters!G223</f>
        <v>4</v>
      </c>
      <c r="F219" s="101">
        <f>Masters!H223</f>
        <v>4</v>
      </c>
      <c r="G219" s="101">
        <f>Masters!I223</f>
        <v>4</v>
      </c>
      <c r="H219" s="101">
        <f>Masters!J223</f>
        <v>4</v>
      </c>
      <c r="I219" s="101">
        <f>Masters!K223</f>
        <v>4</v>
      </c>
      <c r="J219" s="101">
        <f>Masters!L223</f>
        <v>4</v>
      </c>
      <c r="K219" s="101">
        <f>Masters!M223</f>
        <v>4</v>
      </c>
      <c r="L219" s="101">
        <f>Masters!N223</f>
        <v>4</v>
      </c>
    </row>
    <row r="220">
      <c r="A220" s="101">
        <f>Masters!C224</f>
        <v>6732</v>
      </c>
      <c r="B220" s="102" t="str">
        <f>Masters!D224</f>
        <v>Chimney Cleaners</v>
      </c>
      <c r="C220" s="102" t="str">
        <f>Masters!E224</f>
        <v>Specialized cleaners</v>
      </c>
      <c r="D220" s="101">
        <f>Masters!F224</f>
        <v>4</v>
      </c>
      <c r="E220" s="101">
        <f>Masters!G224</f>
        <v>4</v>
      </c>
      <c r="F220" s="101">
        <f>Masters!H224</f>
        <v>4</v>
      </c>
      <c r="G220" s="101">
        <f>Masters!I224</f>
        <v>4</v>
      </c>
      <c r="H220" s="101">
        <f>Masters!J224</f>
        <v>4</v>
      </c>
      <c r="I220" s="101">
        <f>Masters!K224</f>
        <v>5</v>
      </c>
      <c r="J220" s="101">
        <f>Masters!L224</f>
        <v>4</v>
      </c>
      <c r="K220" s="101">
        <f>Masters!M224</f>
        <v>4</v>
      </c>
      <c r="L220" s="101">
        <f>Masters!N224</f>
        <v>3</v>
      </c>
    </row>
    <row r="221">
      <c r="A221" s="101">
        <f>Masters!C225</f>
        <v>4155</v>
      </c>
      <c r="B221" s="102" t="str">
        <f>Masters!D225</f>
        <v>Classification Officers, Correctional Institutions</v>
      </c>
      <c r="C221" s="102" t="str">
        <f>Masters!E225</f>
        <v>Probation and parole officers and related occupations</v>
      </c>
      <c r="D221" s="101">
        <f>Masters!F225</f>
        <v>2</v>
      </c>
      <c r="E221" s="101">
        <f>Masters!G225</f>
        <v>2</v>
      </c>
      <c r="F221" s="101">
        <f>Masters!H225</f>
        <v>3</v>
      </c>
      <c r="G221" s="101">
        <f>Masters!I225</f>
        <v>4</v>
      </c>
      <c r="H221" s="101">
        <f>Masters!J225</f>
        <v>4</v>
      </c>
      <c r="I221" s="101">
        <f>Masters!K225</f>
        <v>3</v>
      </c>
      <c r="J221" s="101">
        <f>Masters!L225</f>
        <v>4</v>
      </c>
      <c r="K221" s="101">
        <f>Masters!M225</f>
        <v>4</v>
      </c>
      <c r="L221" s="101">
        <f>Masters!N225</f>
        <v>4</v>
      </c>
    </row>
    <row r="222">
      <c r="A222" s="101">
        <f>Masters!C226</f>
        <v>6315</v>
      </c>
      <c r="B222" s="102" t="str">
        <f>Masters!D226</f>
        <v>Cleaning Supervisors</v>
      </c>
      <c r="C222" s="102" t="str">
        <f>Masters!E226</f>
        <v>Cleaning supervisors</v>
      </c>
      <c r="D222" s="101">
        <f>Masters!F226</f>
        <v>3</v>
      </c>
      <c r="E222" s="101">
        <f>Masters!G226</f>
        <v>3</v>
      </c>
      <c r="F222" s="101">
        <f>Masters!H226</f>
        <v>3</v>
      </c>
      <c r="G222" s="101">
        <f>Masters!I226</f>
        <v>4</v>
      </c>
      <c r="H222" s="101">
        <f>Masters!J226</f>
        <v>4</v>
      </c>
      <c r="I222" s="101">
        <f>Masters!K226</f>
        <v>3</v>
      </c>
      <c r="J222" s="101">
        <f>Masters!L226</f>
        <v>4</v>
      </c>
      <c r="K222" s="101">
        <f>Masters!M226</f>
        <v>4</v>
      </c>
      <c r="L222" s="101">
        <f>Masters!N226</f>
        <v>4</v>
      </c>
    </row>
    <row r="223">
      <c r="A223" s="101">
        <f>Masters!C227</f>
        <v>1435</v>
      </c>
      <c r="B223" s="102" t="str">
        <f>Masters!D227</f>
        <v>Collectors</v>
      </c>
      <c r="C223" s="102" t="str">
        <f>Masters!E227</f>
        <v>Collectors</v>
      </c>
      <c r="D223" s="101">
        <f>Masters!F227</f>
        <v>3</v>
      </c>
      <c r="E223" s="101">
        <f>Masters!G227</f>
        <v>3</v>
      </c>
      <c r="F223" s="101">
        <f>Masters!H227</f>
        <v>3</v>
      </c>
      <c r="G223" s="101">
        <f>Masters!I227</f>
        <v>4</v>
      </c>
      <c r="H223" s="101">
        <f>Masters!J227</f>
        <v>4</v>
      </c>
      <c r="I223" s="101">
        <f>Masters!K227</f>
        <v>3</v>
      </c>
      <c r="J223" s="101">
        <f>Masters!L227</f>
        <v>4</v>
      </c>
      <c r="K223" s="101">
        <f>Masters!M227</f>
        <v>4</v>
      </c>
      <c r="L223" s="101">
        <f>Masters!N227</f>
        <v>4</v>
      </c>
    </row>
    <row r="224">
      <c r="A224" s="101">
        <f>Masters!C228</f>
        <v>4423</v>
      </c>
      <c r="B224" s="102" t="str">
        <f>Masters!D228</f>
        <v>Commercial Transport Inspectors</v>
      </c>
      <c r="C224" s="102" t="str">
        <f>Masters!E228</f>
        <v>By-law enforcement and other regulatory officers, n.e.c.</v>
      </c>
      <c r="D224" s="101">
        <f>Masters!F228</f>
        <v>3</v>
      </c>
      <c r="E224" s="101">
        <f>Masters!G228</f>
        <v>3</v>
      </c>
      <c r="F224" s="101">
        <f>Masters!H228</f>
        <v>3</v>
      </c>
      <c r="G224" s="101">
        <f>Masters!I228</f>
        <v>4</v>
      </c>
      <c r="H224" s="101">
        <f>Masters!J228</f>
        <v>4</v>
      </c>
      <c r="I224" s="101">
        <f>Masters!K228</f>
        <v>3</v>
      </c>
      <c r="J224" s="101">
        <f>Masters!L228</f>
        <v>4</v>
      </c>
      <c r="K224" s="101">
        <f>Masters!M228</f>
        <v>4</v>
      </c>
      <c r="L224" s="101">
        <f>Masters!N228</f>
        <v>4</v>
      </c>
    </row>
    <row r="225">
      <c r="A225" s="101">
        <f>Masters!C229</f>
        <v>4212</v>
      </c>
      <c r="B225" s="102" t="str">
        <f>Masters!D229</f>
        <v>Community and Social Service Workers</v>
      </c>
      <c r="C225" s="102" t="str">
        <f>Masters!E229</f>
        <v>Social and community service workers</v>
      </c>
      <c r="D225" s="101">
        <f>Masters!F229</f>
        <v>3</v>
      </c>
      <c r="E225" s="101">
        <f>Masters!G229</f>
        <v>3</v>
      </c>
      <c r="F225" s="101">
        <f>Masters!H229</f>
        <v>3</v>
      </c>
      <c r="G225" s="101">
        <f>Masters!I229</f>
        <v>4</v>
      </c>
      <c r="H225" s="101">
        <f>Masters!J229</f>
        <v>4</v>
      </c>
      <c r="I225" s="101">
        <f>Masters!K229</f>
        <v>3</v>
      </c>
      <c r="J225" s="101">
        <f>Masters!L229</f>
        <v>4</v>
      </c>
      <c r="K225" s="101">
        <f>Masters!M229</f>
        <v>4</v>
      </c>
      <c r="L225" s="101">
        <f>Masters!N229</f>
        <v>4</v>
      </c>
    </row>
    <row r="226">
      <c r="A226" s="101">
        <f>Masters!C230</f>
        <v>4412</v>
      </c>
      <c r="B226" s="102" t="str">
        <f>Masters!D230</f>
        <v>Companions</v>
      </c>
      <c r="C226" s="102" t="str">
        <f>Masters!E230</f>
        <v>Home support workers, housekeepers and related occupations</v>
      </c>
      <c r="D226" s="101">
        <f>Masters!F230</f>
        <v>4</v>
      </c>
      <c r="E226" s="101">
        <f>Masters!G230</f>
        <v>4</v>
      </c>
      <c r="F226" s="101">
        <f>Masters!H230</f>
        <v>4</v>
      </c>
      <c r="G226" s="101">
        <f>Masters!I230</f>
        <v>4</v>
      </c>
      <c r="H226" s="101">
        <f>Masters!J230</f>
        <v>4</v>
      </c>
      <c r="I226" s="101">
        <f>Masters!K230</f>
        <v>4</v>
      </c>
      <c r="J226" s="101">
        <f>Masters!L230</f>
        <v>4</v>
      </c>
      <c r="K226" s="101">
        <f>Masters!M230</f>
        <v>4</v>
      </c>
      <c r="L226" s="101">
        <f>Masters!N230</f>
        <v>4</v>
      </c>
    </row>
    <row r="227">
      <c r="A227" s="101">
        <f>Masters!C231</f>
        <v>213</v>
      </c>
      <c r="B227" s="102" t="str">
        <f>Masters!D231</f>
        <v>Computer and Information Systems Managers</v>
      </c>
      <c r="C227" s="102" t="str">
        <f>Masters!E231</f>
        <v>Computer and information systems managers</v>
      </c>
      <c r="D227" s="101">
        <f>Masters!F231</f>
        <v>1</v>
      </c>
      <c r="E227" s="101">
        <f>Masters!G231</f>
        <v>2</v>
      </c>
      <c r="F227" s="101">
        <f>Masters!H231</f>
        <v>1</v>
      </c>
      <c r="G227" s="101">
        <f>Masters!I231</f>
        <v>2</v>
      </c>
      <c r="H227" s="101">
        <f>Masters!J231</f>
        <v>3</v>
      </c>
      <c r="I227" s="101">
        <f>Masters!K231</f>
        <v>3</v>
      </c>
      <c r="J227" s="101">
        <f>Masters!L231</f>
        <v>4</v>
      </c>
      <c r="K227" s="101">
        <f>Masters!M231</f>
        <v>4</v>
      </c>
      <c r="L227" s="101">
        <f>Masters!N231</f>
        <v>4</v>
      </c>
    </row>
    <row r="228">
      <c r="A228" s="101">
        <f>Masters!C232</f>
        <v>6541</v>
      </c>
      <c r="B228" s="102" t="str">
        <f>Masters!D232</f>
        <v>Corporate Security Officers</v>
      </c>
      <c r="C228" s="102" t="str">
        <f>Masters!E232</f>
        <v>Security guards and related security service occupations</v>
      </c>
      <c r="D228" s="101">
        <f>Masters!F232</f>
        <v>3</v>
      </c>
      <c r="E228" s="101">
        <f>Masters!G232</f>
        <v>3</v>
      </c>
      <c r="F228" s="101">
        <f>Masters!H232</f>
        <v>4</v>
      </c>
      <c r="G228" s="101">
        <f>Masters!I232</f>
        <v>4</v>
      </c>
      <c r="H228" s="101">
        <f>Masters!J232</f>
        <v>4</v>
      </c>
      <c r="I228" s="101">
        <f>Masters!K232</f>
        <v>4</v>
      </c>
      <c r="J228" s="101">
        <f>Masters!L232</f>
        <v>4</v>
      </c>
      <c r="K228" s="101">
        <f>Masters!M232</f>
        <v>4</v>
      </c>
      <c r="L228" s="101">
        <f>Masters!N232</f>
        <v>4</v>
      </c>
    </row>
    <row r="229">
      <c r="A229" s="101">
        <f>Masters!C233</f>
        <v>1416</v>
      </c>
      <c r="B229" s="102" t="str">
        <f>Masters!D233</f>
        <v>Court Clerks</v>
      </c>
      <c r="C229" s="102" t="str">
        <f>Masters!E233</f>
        <v>Court clerks</v>
      </c>
      <c r="D229" s="101">
        <f>Masters!F233</f>
        <v>3</v>
      </c>
      <c r="E229" s="101">
        <f>Masters!G233</f>
        <v>3</v>
      </c>
      <c r="F229" s="101">
        <f>Masters!H233</f>
        <v>3</v>
      </c>
      <c r="G229" s="101">
        <f>Masters!I233</f>
        <v>4</v>
      </c>
      <c r="H229" s="101">
        <f>Masters!J233</f>
        <v>4</v>
      </c>
      <c r="I229" s="101">
        <f>Masters!K233</f>
        <v>3</v>
      </c>
      <c r="J229" s="101">
        <f>Masters!L233</f>
        <v>4</v>
      </c>
      <c r="K229" s="101">
        <f>Masters!M233</f>
        <v>4</v>
      </c>
      <c r="L229" s="101">
        <f>Masters!N233</f>
        <v>4</v>
      </c>
    </row>
    <row r="230">
      <c r="A230" s="101">
        <f>Masters!C234</f>
        <v>1227</v>
      </c>
      <c r="B230" s="102" t="str">
        <f>Masters!D234</f>
        <v>Court Officers</v>
      </c>
      <c r="C230" s="102" t="str">
        <f>Masters!E234</f>
        <v>Court officers and justices of the peace</v>
      </c>
      <c r="D230" s="101">
        <f>Masters!F234</f>
        <v>3</v>
      </c>
      <c r="E230" s="101">
        <f>Masters!G234</f>
        <v>3</v>
      </c>
      <c r="F230" s="101">
        <f>Masters!H234</f>
        <v>3</v>
      </c>
      <c r="G230" s="101">
        <f>Masters!I234</f>
        <v>4</v>
      </c>
      <c r="H230" s="101">
        <f>Masters!J234</f>
        <v>4</v>
      </c>
      <c r="I230" s="101">
        <f>Masters!K234</f>
        <v>3</v>
      </c>
      <c r="J230" s="101">
        <f>Masters!L234</f>
        <v>4</v>
      </c>
      <c r="K230" s="101">
        <f>Masters!M234</f>
        <v>4</v>
      </c>
      <c r="L230" s="101">
        <f>Masters!N234</f>
        <v>4</v>
      </c>
    </row>
    <row r="231">
      <c r="A231" s="101">
        <f>Masters!C235</f>
        <v>5121</v>
      </c>
      <c r="B231" s="102" t="str">
        <f>Masters!D235</f>
        <v>Creative Writers</v>
      </c>
      <c r="C231" s="102" t="str">
        <f>Masters!E235</f>
        <v>Authors and writers</v>
      </c>
      <c r="D231" s="101">
        <f>Masters!F235</f>
        <v>2</v>
      </c>
      <c r="E231" s="101">
        <f>Masters!G235</f>
        <v>1</v>
      </c>
      <c r="F231" s="101">
        <f>Masters!H235</f>
        <v>4</v>
      </c>
      <c r="G231" s="101">
        <f>Masters!I235</f>
        <v>4</v>
      </c>
      <c r="H231" s="101">
        <f>Masters!J235</f>
        <v>4</v>
      </c>
      <c r="I231" s="101">
        <f>Masters!K235</f>
        <v>3</v>
      </c>
      <c r="J231" s="101">
        <f>Masters!L235</f>
        <v>4</v>
      </c>
      <c r="K231" s="101">
        <f>Masters!M235</f>
        <v>4</v>
      </c>
      <c r="L231" s="101">
        <f>Masters!N235</f>
        <v>4</v>
      </c>
    </row>
    <row r="232">
      <c r="A232" s="101">
        <f>Masters!C236</f>
        <v>6314</v>
      </c>
      <c r="B232" s="102" t="str">
        <f>Masters!D236</f>
        <v>Customer Service Clerks in Insurance, Telephone, Utility and Similar Companies</v>
      </c>
      <c r="C232" s="102" t="str">
        <f>Masters!E236</f>
        <v>Customer and information services supervisors</v>
      </c>
      <c r="D232" s="101">
        <f>Masters!F236</f>
        <v>3</v>
      </c>
      <c r="E232" s="101">
        <f>Masters!G236</f>
        <v>3</v>
      </c>
      <c r="F232" s="101">
        <f>Masters!H236</f>
        <v>3</v>
      </c>
      <c r="G232" s="101">
        <f>Masters!I236</f>
        <v>4</v>
      </c>
      <c r="H232" s="101">
        <f>Masters!J236</f>
        <v>4</v>
      </c>
      <c r="I232" s="101">
        <f>Masters!K236</f>
        <v>3</v>
      </c>
      <c r="J232" s="101">
        <f>Masters!L236</f>
        <v>4</v>
      </c>
      <c r="K232" s="101">
        <f>Masters!M236</f>
        <v>4</v>
      </c>
      <c r="L232" s="101">
        <f>Masters!N236</f>
        <v>4</v>
      </c>
    </row>
    <row r="233">
      <c r="A233" s="101">
        <f>Masters!C237</f>
        <v>6552</v>
      </c>
      <c r="B233" s="102" t="str">
        <f>Masters!D237</f>
        <v>Customer Service Clerks in Retail Establishments</v>
      </c>
      <c r="C233" s="102" t="str">
        <f>Masters!E237</f>
        <v>Other customer and information services representatives</v>
      </c>
      <c r="D233" s="101">
        <f>Masters!F237</f>
        <v>3</v>
      </c>
      <c r="E233" s="101">
        <f>Masters!G237</f>
        <v>3</v>
      </c>
      <c r="F233" s="101">
        <f>Masters!H237</f>
        <v>3</v>
      </c>
      <c r="G233" s="101">
        <f>Masters!I237</f>
        <v>4</v>
      </c>
      <c r="H233" s="101">
        <f>Masters!J237</f>
        <v>4</v>
      </c>
      <c r="I233" s="101">
        <f>Masters!K237</f>
        <v>3</v>
      </c>
      <c r="J233" s="101">
        <f>Masters!L237</f>
        <v>4</v>
      </c>
      <c r="K233" s="101">
        <f>Masters!M237</f>
        <v>4</v>
      </c>
      <c r="L233" s="101">
        <f>Masters!N237</f>
        <v>4</v>
      </c>
    </row>
    <row r="234">
      <c r="A234" s="101">
        <f>Masters!C238</f>
        <v>6551</v>
      </c>
      <c r="B234" s="102" t="str">
        <f>Masters!D238</f>
        <v>Customer Service Representatives - Financial Services</v>
      </c>
      <c r="C234" s="102" t="str">
        <f>Masters!E238</f>
        <v>Customer services representatives - financial institutions</v>
      </c>
      <c r="D234" s="101">
        <f>Masters!F238</f>
        <v>3</v>
      </c>
      <c r="E234" s="101">
        <f>Masters!G238</f>
        <v>3</v>
      </c>
      <c r="F234" s="101">
        <f>Masters!H238</f>
        <v>3</v>
      </c>
      <c r="G234" s="101">
        <f>Masters!I238</f>
        <v>4</v>
      </c>
      <c r="H234" s="101">
        <f>Masters!J238</f>
        <v>4</v>
      </c>
      <c r="I234" s="101">
        <f>Masters!K238</f>
        <v>2</v>
      </c>
      <c r="J234" s="101">
        <f>Masters!L238</f>
        <v>4</v>
      </c>
      <c r="K234" s="101">
        <f>Masters!M238</f>
        <v>3</v>
      </c>
      <c r="L234" s="101">
        <f>Masters!N238</f>
        <v>4</v>
      </c>
    </row>
    <row r="235">
      <c r="A235" s="101">
        <f>Masters!C239</f>
        <v>1315</v>
      </c>
      <c r="B235" s="102" t="str">
        <f>Masters!D239</f>
        <v>Customs Brokers</v>
      </c>
      <c r="C235" s="102" t="str">
        <f>Masters!E239</f>
        <v>Customs, ship and other brokers</v>
      </c>
      <c r="D235" s="101">
        <f>Masters!F239</f>
        <v>2</v>
      </c>
      <c r="E235" s="101">
        <f>Masters!G239</f>
        <v>2</v>
      </c>
      <c r="F235" s="101">
        <f>Masters!H239</f>
        <v>3</v>
      </c>
      <c r="G235" s="101">
        <f>Masters!I239</f>
        <v>4</v>
      </c>
      <c r="H235" s="101">
        <f>Masters!J239</f>
        <v>4</v>
      </c>
      <c r="I235" s="101">
        <f>Masters!K239</f>
        <v>3</v>
      </c>
      <c r="J235" s="101">
        <f>Masters!L239</f>
        <v>4</v>
      </c>
      <c r="K235" s="101">
        <f>Masters!M239</f>
        <v>4</v>
      </c>
      <c r="L235" s="101">
        <f>Masters!N239</f>
        <v>4</v>
      </c>
    </row>
    <row r="236">
      <c r="A236" s="101">
        <f>Masters!C240</f>
        <v>3219</v>
      </c>
      <c r="B236" s="102" t="str">
        <f>Masters!D240</f>
        <v>Dietary Technicians</v>
      </c>
      <c r="C236" s="102" t="str">
        <f>Masters!E240</f>
        <v>Other medical technologists and technicians (except dental health)</v>
      </c>
      <c r="D236" s="101">
        <f>Masters!F240</f>
        <v>3</v>
      </c>
      <c r="E236" s="101">
        <f>Masters!G240</f>
        <v>3</v>
      </c>
      <c r="F236" s="101">
        <f>Masters!H240</f>
        <v>3</v>
      </c>
      <c r="G236" s="101">
        <f>Masters!I240</f>
        <v>4</v>
      </c>
      <c r="H236" s="101">
        <f>Masters!J240</f>
        <v>4</v>
      </c>
      <c r="I236" s="101">
        <f>Masters!K240</f>
        <v>3</v>
      </c>
      <c r="J236" s="101">
        <f>Masters!L240</f>
        <v>4</v>
      </c>
      <c r="K236" s="101">
        <f>Masters!M240</f>
        <v>4</v>
      </c>
      <c r="L236" s="101">
        <f>Masters!N240</f>
        <v>4</v>
      </c>
    </row>
    <row r="237">
      <c r="A237" s="101">
        <f>Masters!C241</f>
        <v>3132</v>
      </c>
      <c r="B237" s="102" t="str">
        <f>Masters!D241</f>
        <v>Dietitians and Nutritionists</v>
      </c>
      <c r="C237" s="102" t="str">
        <f>Masters!E241</f>
        <v>Dietitians and nutritionists</v>
      </c>
      <c r="D237" s="101">
        <f>Masters!F241</f>
        <v>2</v>
      </c>
      <c r="E237" s="101">
        <f>Masters!G241</f>
        <v>2</v>
      </c>
      <c r="F237" s="101">
        <f>Masters!H241</f>
        <v>2</v>
      </c>
      <c r="G237" s="101">
        <f>Masters!I241</f>
        <v>3</v>
      </c>
      <c r="H237" s="101">
        <f>Masters!J241</f>
        <v>3</v>
      </c>
      <c r="I237" s="101">
        <f>Masters!K241</f>
        <v>4</v>
      </c>
      <c r="J237" s="101">
        <f>Masters!L241</f>
        <v>4</v>
      </c>
      <c r="K237" s="101">
        <f>Masters!M241</f>
        <v>4</v>
      </c>
      <c r="L237" s="101">
        <f>Masters!N241</f>
        <v>4</v>
      </c>
    </row>
    <row r="238">
      <c r="A238" s="101">
        <f>Masters!C242</f>
        <v>1525</v>
      </c>
      <c r="B238" s="102" t="str">
        <f>Masters!D242</f>
        <v>Dispatchers</v>
      </c>
      <c r="C238" s="102" t="str">
        <f>Masters!E242</f>
        <v>Dispatchers</v>
      </c>
      <c r="D238" s="101">
        <f>Masters!F242</f>
        <v>3</v>
      </c>
      <c r="E238" s="101">
        <f>Masters!G242</f>
        <v>3</v>
      </c>
      <c r="F238" s="101">
        <f>Masters!H242</f>
        <v>3</v>
      </c>
      <c r="G238" s="101">
        <f>Masters!I242</f>
        <v>4</v>
      </c>
      <c r="H238" s="101">
        <f>Masters!J242</f>
        <v>4</v>
      </c>
      <c r="I238" s="101">
        <f>Masters!K242</f>
        <v>3</v>
      </c>
      <c r="J238" s="101">
        <f>Masters!L242</f>
        <v>4</v>
      </c>
      <c r="K238" s="101">
        <f>Masters!M242</f>
        <v>4</v>
      </c>
      <c r="L238" s="101">
        <f>Masters!N242</f>
        <v>4</v>
      </c>
    </row>
    <row r="239">
      <c r="A239" s="101">
        <f>Masters!C243</f>
        <v>4214</v>
      </c>
      <c r="B239" s="102" t="str">
        <f>Masters!D243</f>
        <v>Early Childhood Educator Assistants</v>
      </c>
      <c r="C239" s="102" t="str">
        <f>Masters!E243</f>
        <v>Early childhood educators and assistants</v>
      </c>
      <c r="D239" s="101">
        <f>Masters!F243</f>
        <v>3</v>
      </c>
      <c r="E239" s="101">
        <f>Masters!G243</f>
        <v>3</v>
      </c>
      <c r="F239" s="101">
        <f>Masters!H243</f>
        <v>4</v>
      </c>
      <c r="G239" s="101">
        <f>Masters!I243</f>
        <v>4</v>
      </c>
      <c r="H239" s="101">
        <f>Masters!J243</f>
        <v>4</v>
      </c>
      <c r="I239" s="101">
        <f>Masters!K243</f>
        <v>4</v>
      </c>
      <c r="J239" s="101">
        <f>Masters!L243</f>
        <v>4</v>
      </c>
      <c r="K239" s="101">
        <f>Masters!M243</f>
        <v>4</v>
      </c>
      <c r="L239" s="101">
        <f>Masters!N243</f>
        <v>4</v>
      </c>
    </row>
    <row r="240">
      <c r="A240" s="101">
        <f>Masters!C244</f>
        <v>4214</v>
      </c>
      <c r="B240" s="102" t="str">
        <f>Masters!D244</f>
        <v>Early Childhood Educators</v>
      </c>
      <c r="C240" s="102" t="str">
        <f>Masters!E244</f>
        <v>Early childhood educators and assistants</v>
      </c>
      <c r="D240" s="101">
        <f>Masters!F244</f>
        <v>3</v>
      </c>
      <c r="E240" s="101">
        <f>Masters!G244</f>
        <v>3</v>
      </c>
      <c r="F240" s="101">
        <f>Masters!H244</f>
        <v>4</v>
      </c>
      <c r="G240" s="101">
        <f>Masters!I244</f>
        <v>4</v>
      </c>
      <c r="H240" s="101">
        <f>Masters!J244</f>
        <v>4</v>
      </c>
      <c r="I240" s="101">
        <f>Masters!K244</f>
        <v>4</v>
      </c>
      <c r="J240" s="101">
        <f>Masters!L244</f>
        <v>4</v>
      </c>
      <c r="K240" s="101">
        <f>Masters!M244</f>
        <v>4</v>
      </c>
      <c r="L240" s="101">
        <f>Masters!N244</f>
        <v>4</v>
      </c>
    </row>
    <row r="241">
      <c r="A241" s="101">
        <f>Masters!C245</f>
        <v>5122</v>
      </c>
      <c r="B241" s="102" t="str">
        <f>Masters!D245</f>
        <v>Editors</v>
      </c>
      <c r="C241" s="102" t="str">
        <f>Masters!E245</f>
        <v>Editors</v>
      </c>
      <c r="D241" s="101">
        <f>Masters!F245</f>
        <v>2</v>
      </c>
      <c r="E241" s="101">
        <f>Masters!G245</f>
        <v>1</v>
      </c>
      <c r="F241" s="101">
        <f>Masters!H245</f>
        <v>3</v>
      </c>
      <c r="G241" s="101">
        <f>Masters!I245</f>
        <v>3</v>
      </c>
      <c r="H241" s="101">
        <f>Masters!J245</f>
        <v>4</v>
      </c>
      <c r="I241" s="101">
        <f>Masters!K245</f>
        <v>3</v>
      </c>
      <c r="J241" s="101">
        <f>Masters!L245</f>
        <v>4</v>
      </c>
      <c r="K241" s="101">
        <f>Masters!M245</f>
        <v>4</v>
      </c>
      <c r="L241" s="101">
        <f>Masters!N245</f>
        <v>4</v>
      </c>
    </row>
    <row r="242">
      <c r="A242" s="101">
        <f>Masters!C246</f>
        <v>4166</v>
      </c>
      <c r="B242" s="102" t="str">
        <f>Masters!D246</f>
        <v>Education Policy Researchers, Consultants and Program Officers</v>
      </c>
      <c r="C242" s="102" t="str">
        <f>Masters!E246</f>
        <v>Education policy researchers, consultants and program officers</v>
      </c>
      <c r="D242" s="101">
        <f>Masters!F246</f>
        <v>2</v>
      </c>
      <c r="E242" s="101">
        <f>Masters!G246</f>
        <v>2</v>
      </c>
      <c r="F242" s="101">
        <f>Masters!H246</f>
        <v>3</v>
      </c>
      <c r="G242" s="101">
        <f>Masters!I246</f>
        <v>4</v>
      </c>
      <c r="H242" s="101">
        <f>Masters!J246</f>
        <v>4</v>
      </c>
      <c r="I242" s="101">
        <f>Masters!K246</f>
        <v>3</v>
      </c>
      <c r="J242" s="101">
        <f>Masters!L246</f>
        <v>4</v>
      </c>
      <c r="K242" s="101">
        <f>Masters!M246</f>
        <v>4</v>
      </c>
      <c r="L242" s="101">
        <f>Masters!N246</f>
        <v>4</v>
      </c>
    </row>
    <row r="243">
      <c r="A243" s="101">
        <f>Masters!C247</f>
        <v>4032</v>
      </c>
      <c r="B243" s="102" t="str">
        <f>Masters!D247</f>
        <v>Elementary School and Kindergarten Teachers</v>
      </c>
      <c r="C243" s="102" t="str">
        <f>Masters!E247</f>
        <v>Elementary school and kindergarten teachers</v>
      </c>
      <c r="D243" s="101">
        <f>Masters!F247</f>
        <v>2</v>
      </c>
      <c r="E243" s="101">
        <f>Masters!G247</f>
        <v>2</v>
      </c>
      <c r="F243" s="101">
        <f>Masters!H247</f>
        <v>3</v>
      </c>
      <c r="G243" s="101">
        <f>Masters!I247</f>
        <v>4</v>
      </c>
      <c r="H243" s="101">
        <f>Masters!J247</f>
        <v>4</v>
      </c>
      <c r="I243" s="101">
        <f>Masters!K247</f>
        <v>3</v>
      </c>
      <c r="J243" s="101">
        <f>Masters!L247</f>
        <v>4</v>
      </c>
      <c r="K243" s="101">
        <f>Masters!M247</f>
        <v>4</v>
      </c>
      <c r="L243" s="101">
        <f>Masters!N247</f>
        <v>4</v>
      </c>
    </row>
    <row r="244">
      <c r="A244" s="101">
        <f>Masters!C248</f>
        <v>211</v>
      </c>
      <c r="B244" s="102" t="str">
        <f>Masters!D248</f>
        <v>Engineering Managers</v>
      </c>
      <c r="C244" s="102" t="str">
        <f>Masters!E248</f>
        <v>Engineering managers</v>
      </c>
      <c r="D244" s="101">
        <f>Masters!F248</f>
        <v>1</v>
      </c>
      <c r="E244" s="101">
        <f>Masters!G248</f>
        <v>2</v>
      </c>
      <c r="F244" s="101">
        <f>Masters!H248</f>
        <v>1</v>
      </c>
      <c r="G244" s="101">
        <f>Masters!I248</f>
        <v>2</v>
      </c>
      <c r="H244" s="101">
        <f>Masters!J248</f>
        <v>3</v>
      </c>
      <c r="I244" s="101">
        <f>Masters!K248</f>
        <v>3</v>
      </c>
      <c r="J244" s="101">
        <f>Masters!L248</f>
        <v>4</v>
      </c>
      <c r="K244" s="101">
        <f>Masters!M248</f>
        <v>4</v>
      </c>
      <c r="L244" s="101">
        <f>Masters!N248</f>
        <v>4</v>
      </c>
    </row>
    <row r="245">
      <c r="A245" s="101">
        <f>Masters!C249</f>
        <v>1228</v>
      </c>
      <c r="B245" s="102" t="str">
        <f>Masters!D249</f>
        <v>Excise Tax Revenue Officers</v>
      </c>
      <c r="C245" s="102" t="str">
        <f>Masters!E249</f>
        <v>Employment insurance, immigration, border services and revenue officers</v>
      </c>
      <c r="D245" s="101">
        <f>Masters!F249</f>
        <v>2</v>
      </c>
      <c r="E245" s="101">
        <f>Masters!G249</f>
        <v>2</v>
      </c>
      <c r="F245" s="101">
        <f>Masters!H249</f>
        <v>2</v>
      </c>
      <c r="G245" s="101">
        <f>Masters!I249</f>
        <v>4</v>
      </c>
      <c r="H245" s="101">
        <f>Masters!J249</f>
        <v>3</v>
      </c>
      <c r="I245" s="101">
        <f>Masters!K249</f>
        <v>2</v>
      </c>
      <c r="J245" s="101">
        <f>Masters!L249</f>
        <v>4</v>
      </c>
      <c r="K245" s="101">
        <f>Masters!M249</f>
        <v>4</v>
      </c>
      <c r="L245" s="101">
        <f>Masters!N249</f>
        <v>3</v>
      </c>
    </row>
    <row r="246">
      <c r="A246" s="101">
        <f>Masters!C250</f>
        <v>1222</v>
      </c>
      <c r="B246" s="102" t="str">
        <f>Masters!D250</f>
        <v>Executive Assistants</v>
      </c>
      <c r="C246" s="102" t="str">
        <f>Masters!E250</f>
        <v>Executive assistants</v>
      </c>
      <c r="D246" s="101">
        <f>Masters!F250</f>
        <v>2</v>
      </c>
      <c r="E246" s="101">
        <f>Masters!G250</f>
        <v>2</v>
      </c>
      <c r="F246" s="101">
        <f>Masters!H250</f>
        <v>3</v>
      </c>
      <c r="G246" s="101">
        <f>Masters!I250</f>
        <v>4</v>
      </c>
      <c r="H246" s="101">
        <f>Masters!J250</f>
        <v>4</v>
      </c>
      <c r="I246" s="101">
        <f>Masters!K250</f>
        <v>3</v>
      </c>
      <c r="J246" s="101">
        <f>Masters!L250</f>
        <v>4</v>
      </c>
      <c r="K246" s="101">
        <f>Masters!M250</f>
        <v>4</v>
      </c>
      <c r="L246" s="101">
        <f>Masters!N250</f>
        <v>4</v>
      </c>
    </row>
    <row r="247">
      <c r="A247" s="101">
        <f>Masters!C251</f>
        <v>6321</v>
      </c>
      <c r="B247" s="102" t="str">
        <f>Masters!D251</f>
        <v>Executive Chefs</v>
      </c>
      <c r="C247" s="102" t="str">
        <f>Masters!E251</f>
        <v>Chefs</v>
      </c>
      <c r="D247" s="101">
        <f>Masters!F251</f>
        <v>3</v>
      </c>
      <c r="E247" s="101">
        <f>Masters!G251</f>
        <v>3</v>
      </c>
      <c r="F247" s="101">
        <f>Masters!H251</f>
        <v>3</v>
      </c>
      <c r="G247" s="101">
        <f>Masters!I251</f>
        <v>4</v>
      </c>
      <c r="H247" s="101">
        <f>Masters!J251</f>
        <v>4</v>
      </c>
      <c r="I247" s="101">
        <f>Masters!K251</f>
        <v>3</v>
      </c>
      <c r="J247" s="101">
        <f>Masters!L251</f>
        <v>4</v>
      </c>
      <c r="K247" s="101">
        <f>Masters!M251</f>
        <v>4</v>
      </c>
      <c r="L247" s="101">
        <f>Masters!N251</f>
        <v>4</v>
      </c>
    </row>
    <row r="248">
      <c r="A248" s="101">
        <f>Masters!C252</f>
        <v>6312</v>
      </c>
      <c r="B248" s="102" t="str">
        <f>Masters!D252</f>
        <v>Executive Housekeepers</v>
      </c>
      <c r="C248" s="102" t="str">
        <f>Masters!E252</f>
        <v>Executive housekeepers</v>
      </c>
      <c r="D248" s="101">
        <f>Masters!F252</f>
        <v>3</v>
      </c>
      <c r="E248" s="101">
        <f>Masters!G252</f>
        <v>3</v>
      </c>
      <c r="F248" s="101">
        <f>Masters!H252</f>
        <v>3</v>
      </c>
      <c r="G248" s="101">
        <f>Masters!I252</f>
        <v>4</v>
      </c>
      <c r="H248" s="101">
        <f>Masters!J252</f>
        <v>4</v>
      </c>
      <c r="I248" s="101">
        <f>Masters!K252</f>
        <v>3</v>
      </c>
      <c r="J248" s="101">
        <f>Masters!L252</f>
        <v>4</v>
      </c>
      <c r="K248" s="101">
        <f>Masters!M252</f>
        <v>4</v>
      </c>
      <c r="L248" s="101">
        <f>Masters!N252</f>
        <v>4</v>
      </c>
    </row>
    <row r="249">
      <c r="A249" s="101">
        <f>Masters!C253</f>
        <v>714</v>
      </c>
      <c r="B249" s="102" t="str">
        <f>Masters!D253</f>
        <v>Facility Operation Managers</v>
      </c>
      <c r="C249" s="102" t="str">
        <f>Masters!E253</f>
        <v>Facility operation and maintenance managers</v>
      </c>
      <c r="D249" s="101">
        <f>Masters!F253</f>
        <v>2</v>
      </c>
      <c r="E249" s="101">
        <f>Masters!G253</f>
        <v>2</v>
      </c>
      <c r="F249" s="101">
        <f>Masters!H253</f>
        <v>3</v>
      </c>
      <c r="G249" s="101">
        <f>Masters!I253</f>
        <v>4</v>
      </c>
      <c r="H249" s="101">
        <f>Masters!J253</f>
        <v>4</v>
      </c>
      <c r="I249" s="101">
        <f>Masters!K253</f>
        <v>3</v>
      </c>
      <c r="J249" s="101">
        <f>Masters!L253</f>
        <v>4</v>
      </c>
      <c r="K249" s="101">
        <f>Masters!M253</f>
        <v>4</v>
      </c>
      <c r="L249" s="101">
        <f>Masters!N253</f>
        <v>4</v>
      </c>
    </row>
    <row r="250">
      <c r="A250" s="101">
        <f>Masters!C254</f>
        <v>7533</v>
      </c>
      <c r="B250" s="102" t="str">
        <f>Masters!D254</f>
        <v>Ferry Terminal Workers</v>
      </c>
      <c r="C250" s="102" t="str">
        <f>Masters!E254</f>
        <v>Boat and cable ferry operators and related occupations</v>
      </c>
      <c r="D250" s="101">
        <f>Masters!F254</f>
        <v>4</v>
      </c>
      <c r="E250" s="101">
        <f>Masters!G254</f>
        <v>4</v>
      </c>
      <c r="F250" s="101">
        <f>Masters!H254</f>
        <v>4</v>
      </c>
      <c r="G250" s="101">
        <f>Masters!I254</f>
        <v>4</v>
      </c>
      <c r="H250" s="101">
        <f>Masters!J254</f>
        <v>4</v>
      </c>
      <c r="I250" s="101">
        <f>Masters!K254</f>
        <v>4</v>
      </c>
      <c r="J250" s="101">
        <f>Masters!L254</f>
        <v>4</v>
      </c>
      <c r="K250" s="101">
        <f>Masters!M254</f>
        <v>4</v>
      </c>
      <c r="L250" s="101">
        <f>Masters!N254</f>
        <v>4</v>
      </c>
    </row>
    <row r="251">
      <c r="A251" s="101">
        <f>Masters!C255</f>
        <v>1411</v>
      </c>
      <c r="B251" s="102" t="str">
        <f>Masters!D255</f>
        <v>File Clerks</v>
      </c>
      <c r="C251" s="102" t="str">
        <f>Masters!E255</f>
        <v>General office support workers</v>
      </c>
      <c r="D251" s="101">
        <f>Masters!F255</f>
        <v>3</v>
      </c>
      <c r="E251" s="101">
        <f>Masters!G255</f>
        <v>3</v>
      </c>
      <c r="F251" s="101">
        <f>Masters!H255</f>
        <v>3</v>
      </c>
      <c r="G251" s="101">
        <f>Masters!I255</f>
        <v>4</v>
      </c>
      <c r="H251" s="101">
        <f>Masters!J255</f>
        <v>4</v>
      </c>
      <c r="I251" s="101">
        <f>Masters!K255</f>
        <v>3</v>
      </c>
      <c r="J251" s="101">
        <f>Masters!L255</f>
        <v>4</v>
      </c>
      <c r="K251" s="101">
        <f>Masters!M255</f>
        <v>4</v>
      </c>
      <c r="L251" s="101">
        <f>Masters!N255</f>
        <v>4</v>
      </c>
    </row>
    <row r="252">
      <c r="A252" s="101">
        <f>Masters!C256</f>
        <v>9463</v>
      </c>
      <c r="B252" s="102" t="str">
        <f>Masters!D256</f>
        <v>Fish Plant Machine Operators</v>
      </c>
      <c r="C252" s="102" t="str">
        <f>Masters!E256</f>
        <v>Fish and seafood plant workers</v>
      </c>
      <c r="D252" s="101">
        <f>Masters!F256</f>
        <v>4</v>
      </c>
      <c r="E252" s="101">
        <f>Masters!G256</f>
        <v>4</v>
      </c>
      <c r="F252" s="101">
        <f>Masters!H256</f>
        <v>5</v>
      </c>
      <c r="G252" s="101">
        <f>Masters!I256</f>
        <v>4</v>
      </c>
      <c r="H252" s="101">
        <f>Masters!J256</f>
        <v>3</v>
      </c>
      <c r="I252" s="101">
        <f>Masters!K256</f>
        <v>5</v>
      </c>
      <c r="J252" s="101">
        <f>Masters!L256</f>
        <v>4</v>
      </c>
      <c r="K252" s="101">
        <f>Masters!M256</f>
        <v>4</v>
      </c>
      <c r="L252" s="101">
        <f>Masters!N256</f>
        <v>3</v>
      </c>
    </row>
    <row r="253">
      <c r="A253" s="101">
        <f>Masters!C257</f>
        <v>6513</v>
      </c>
      <c r="B253" s="102" t="str">
        <f>Masters!D257</f>
        <v>Food and Beverage Servers</v>
      </c>
      <c r="C253" s="102" t="str">
        <f>Masters!E257</f>
        <v>Food and beverage servers</v>
      </c>
      <c r="D253" s="101">
        <f>Masters!F257</f>
        <v>4</v>
      </c>
      <c r="E253" s="101">
        <f>Masters!G257</f>
        <v>4</v>
      </c>
      <c r="F253" s="101">
        <f>Masters!H257</f>
        <v>4</v>
      </c>
      <c r="G253" s="101">
        <f>Masters!I257</f>
        <v>4</v>
      </c>
      <c r="H253" s="101">
        <f>Masters!J257</f>
        <v>4</v>
      </c>
      <c r="I253" s="101">
        <f>Masters!K257</f>
        <v>4</v>
      </c>
      <c r="J253" s="101">
        <f>Masters!L257</f>
        <v>4</v>
      </c>
      <c r="K253" s="101">
        <f>Masters!M257</f>
        <v>4</v>
      </c>
      <c r="L253" s="101">
        <f>Masters!N257</f>
        <v>4</v>
      </c>
    </row>
    <row r="254">
      <c r="A254" s="101">
        <f>Masters!C258</f>
        <v>6711</v>
      </c>
      <c r="B254" s="102" t="str">
        <f>Masters!D258</f>
        <v>Food Service Counter Attendants and Food Preparers</v>
      </c>
      <c r="C254" s="102" t="str">
        <f>Masters!E258</f>
        <v>Food counter attendants, kitchen helpers and related support occupations</v>
      </c>
      <c r="D254" s="101">
        <f>Masters!F258</f>
        <v>4</v>
      </c>
      <c r="E254" s="101">
        <f>Masters!G258</f>
        <v>4</v>
      </c>
      <c r="F254" s="101">
        <f>Masters!H258</f>
        <v>4</v>
      </c>
      <c r="G254" s="101">
        <f>Masters!I258</f>
        <v>4</v>
      </c>
      <c r="H254" s="101">
        <f>Masters!J258</f>
        <v>4</v>
      </c>
      <c r="I254" s="101">
        <f>Masters!K258</f>
        <v>4</v>
      </c>
      <c r="J254" s="101">
        <f>Masters!L258</f>
        <v>4</v>
      </c>
      <c r="K254" s="101">
        <f>Masters!M258</f>
        <v>4</v>
      </c>
      <c r="L254" s="101">
        <f>Masters!N258</f>
        <v>4</v>
      </c>
    </row>
    <row r="255">
      <c r="A255" s="101">
        <f>Masters!C259</f>
        <v>6311</v>
      </c>
      <c r="B255" s="102" t="str">
        <f>Masters!D259</f>
        <v>Food Service Supervisors</v>
      </c>
      <c r="C255" s="102" t="str">
        <f>Masters!E259</f>
        <v>Food service supervisors</v>
      </c>
      <c r="D255" s="101">
        <f>Masters!F259</f>
        <v>3</v>
      </c>
      <c r="E255" s="101">
        <f>Masters!G259</f>
        <v>3</v>
      </c>
      <c r="F255" s="101">
        <f>Masters!H259</f>
        <v>3</v>
      </c>
      <c r="G255" s="101">
        <f>Masters!I259</f>
        <v>4</v>
      </c>
      <c r="H255" s="101">
        <f>Masters!J259</f>
        <v>4</v>
      </c>
      <c r="I255" s="101">
        <f>Masters!K259</f>
        <v>3</v>
      </c>
      <c r="J255" s="101">
        <f>Masters!L259</f>
        <v>4</v>
      </c>
      <c r="K255" s="101">
        <f>Masters!M259</f>
        <v>4</v>
      </c>
      <c r="L255" s="101">
        <f>Masters!N259</f>
        <v>4</v>
      </c>
    </row>
    <row r="256">
      <c r="A256" s="101">
        <f>Masters!C260</f>
        <v>6732</v>
      </c>
      <c r="B256" s="102" t="str">
        <f>Masters!D260</f>
        <v>Furnace and Ventilation System Cleaners</v>
      </c>
      <c r="C256" s="102" t="str">
        <f>Masters!E260</f>
        <v>Specialized cleaners</v>
      </c>
      <c r="D256" s="101">
        <f>Masters!F260</f>
        <v>4</v>
      </c>
      <c r="E256" s="101">
        <f>Masters!G260</f>
        <v>4</v>
      </c>
      <c r="F256" s="101">
        <f>Masters!H260</f>
        <v>5</v>
      </c>
      <c r="G256" s="101">
        <f>Masters!I260</f>
        <v>4</v>
      </c>
      <c r="H256" s="101">
        <f>Masters!J260</f>
        <v>4</v>
      </c>
      <c r="I256" s="101">
        <f>Masters!K260</f>
        <v>5</v>
      </c>
      <c r="J256" s="101">
        <f>Masters!L260</f>
        <v>3</v>
      </c>
      <c r="K256" s="101">
        <f>Masters!M260</f>
        <v>4</v>
      </c>
      <c r="L256" s="101">
        <f>Masters!N260</f>
        <v>3</v>
      </c>
    </row>
    <row r="257">
      <c r="A257" s="101">
        <f>Masters!C261</f>
        <v>6533</v>
      </c>
      <c r="B257" s="102" t="str">
        <f>Masters!D261</f>
        <v>Gambling Casino Workers</v>
      </c>
      <c r="C257" s="102" t="str">
        <f>Masters!E261</f>
        <v>Casino occupations</v>
      </c>
      <c r="D257" s="101">
        <f>Masters!F261</f>
        <v>3</v>
      </c>
      <c r="E257" s="101">
        <f>Masters!G261</f>
        <v>3</v>
      </c>
      <c r="F257" s="101">
        <f>Masters!H261</f>
        <v>3</v>
      </c>
      <c r="G257" s="101">
        <f>Masters!I261</f>
        <v>4</v>
      </c>
      <c r="H257" s="101">
        <f>Masters!J261</f>
        <v>4</v>
      </c>
      <c r="I257" s="101">
        <f>Masters!K261</f>
        <v>4</v>
      </c>
      <c r="J257" s="101">
        <f>Masters!L261</f>
        <v>4</v>
      </c>
      <c r="K257" s="101">
        <f>Masters!M261</f>
        <v>4</v>
      </c>
      <c r="L257" s="101">
        <f>Masters!N261</f>
        <v>3</v>
      </c>
    </row>
    <row r="258">
      <c r="A258" s="101">
        <f>Masters!C262</f>
        <v>4423</v>
      </c>
      <c r="B258" s="102" t="str">
        <f>Masters!D262</f>
        <v>Garbage Collection Inspectors</v>
      </c>
      <c r="C258" s="102" t="str">
        <f>Masters!E262</f>
        <v>By-law enforcement and other regulatory officers, n.e.c.</v>
      </c>
      <c r="D258" s="101">
        <f>Masters!F262</f>
        <v>3</v>
      </c>
      <c r="E258" s="101">
        <f>Masters!G262</f>
        <v>3</v>
      </c>
      <c r="F258" s="101">
        <f>Masters!H262</f>
        <v>4</v>
      </c>
      <c r="G258" s="101">
        <f>Masters!I262</f>
        <v>4</v>
      </c>
      <c r="H258" s="101">
        <f>Masters!J262</f>
        <v>4</v>
      </c>
      <c r="I258" s="101">
        <f>Masters!K262</f>
        <v>4</v>
      </c>
      <c r="J258" s="101">
        <f>Masters!L262</f>
        <v>4</v>
      </c>
      <c r="K258" s="101">
        <f>Masters!M262</f>
        <v>4</v>
      </c>
      <c r="L258" s="101">
        <f>Masters!N262</f>
        <v>4</v>
      </c>
    </row>
    <row r="259">
      <c r="A259" s="101">
        <f>Masters!C263</f>
        <v>2144</v>
      </c>
      <c r="B259" s="102" t="str">
        <f>Masters!D263</f>
        <v>Geological Engineers</v>
      </c>
      <c r="C259" s="102" t="str">
        <f>Masters!E263</f>
        <v>Geological engineers</v>
      </c>
      <c r="D259" s="101">
        <f>Masters!F263</f>
        <v>1</v>
      </c>
      <c r="E259" s="101">
        <f>Masters!G263</f>
        <v>2</v>
      </c>
      <c r="F259" s="101">
        <f>Masters!H263</f>
        <v>1</v>
      </c>
      <c r="G259" s="101">
        <f>Masters!I263</f>
        <v>2</v>
      </c>
      <c r="H259" s="101">
        <f>Masters!J263</f>
        <v>3</v>
      </c>
      <c r="I259" s="101">
        <f>Masters!K263</f>
        <v>3</v>
      </c>
      <c r="J259" s="101">
        <f>Masters!L263</f>
        <v>4</v>
      </c>
      <c r="K259" s="101">
        <f>Masters!M263</f>
        <v>4</v>
      </c>
      <c r="L259" s="101">
        <f>Masters!N263</f>
        <v>4</v>
      </c>
    </row>
    <row r="260">
      <c r="A260" s="101">
        <f>Masters!C264</f>
        <v>2113</v>
      </c>
      <c r="B260" s="102" t="str">
        <f>Masters!D264</f>
        <v>Geologists, Geochemists and Geophysicists</v>
      </c>
      <c r="C260" s="102" t="str">
        <f>Masters!E264</f>
        <v>Geoscientists and oceanographers</v>
      </c>
      <c r="D260" s="101">
        <f>Masters!F264</f>
        <v>1</v>
      </c>
      <c r="E260" s="101">
        <f>Masters!G264</f>
        <v>1</v>
      </c>
      <c r="F260" s="101">
        <f>Masters!H264</f>
        <v>1</v>
      </c>
      <c r="G260" s="101">
        <f>Masters!I264</f>
        <v>2</v>
      </c>
      <c r="H260" s="101">
        <f>Masters!J264</f>
        <v>2</v>
      </c>
      <c r="I260" s="101">
        <f>Masters!K264</f>
        <v>3</v>
      </c>
      <c r="J260" s="101">
        <f>Masters!L264</f>
        <v>3</v>
      </c>
      <c r="K260" s="101">
        <f>Masters!M264</f>
        <v>4</v>
      </c>
      <c r="L260" s="101">
        <f>Masters!N264</f>
        <v>3</v>
      </c>
    </row>
    <row r="261">
      <c r="A261" s="101">
        <f>Masters!C265</f>
        <v>6221</v>
      </c>
      <c r="B261" s="102" t="str">
        <f>Masters!D265</f>
        <v>Grain Elevator Operators</v>
      </c>
      <c r="C261" s="102" t="str">
        <f>Masters!E265</f>
        <v>Technical sales specialists - wholesale trade</v>
      </c>
      <c r="D261" s="101">
        <f>Masters!F265</f>
        <v>3</v>
      </c>
      <c r="E261" s="101">
        <f>Masters!G265</f>
        <v>3</v>
      </c>
      <c r="F261" s="101">
        <f>Masters!H265</f>
        <v>3</v>
      </c>
      <c r="G261" s="101">
        <f>Masters!I265</f>
        <v>4</v>
      </c>
      <c r="H261" s="101">
        <f>Masters!J265</f>
        <v>4</v>
      </c>
      <c r="I261" s="101">
        <f>Masters!K265</f>
        <v>3</v>
      </c>
      <c r="J261" s="101">
        <f>Masters!L265</f>
        <v>4</v>
      </c>
      <c r="K261" s="101">
        <f>Masters!M265</f>
        <v>4</v>
      </c>
      <c r="L261" s="101">
        <f>Masters!N265</f>
        <v>4</v>
      </c>
    </row>
    <row r="262">
      <c r="A262" s="101">
        <f>Masters!C266</f>
        <v>4165</v>
      </c>
      <c r="B262" s="102" t="str">
        <f>Masters!D266</f>
        <v>Health Policy Researchers, Consultants and Program Officers</v>
      </c>
      <c r="C262" s="102" t="str">
        <f>Masters!E266</f>
        <v>Health policy researchers, consultants and program officers</v>
      </c>
      <c r="D262" s="101">
        <f>Masters!F266</f>
        <v>2</v>
      </c>
      <c r="E262" s="101">
        <f>Masters!G266</f>
        <v>2</v>
      </c>
      <c r="F262" s="101">
        <f>Masters!H266</f>
        <v>2</v>
      </c>
      <c r="G262" s="101">
        <f>Masters!I266</f>
        <v>3</v>
      </c>
      <c r="H262" s="101">
        <f>Masters!J266</f>
        <v>3</v>
      </c>
      <c r="I262" s="101">
        <f>Masters!K266</f>
        <v>2</v>
      </c>
      <c r="J262" s="101">
        <f>Masters!L266</f>
        <v>4</v>
      </c>
      <c r="K262" s="101">
        <f>Masters!M266</f>
        <v>4</v>
      </c>
      <c r="L262" s="101">
        <f>Masters!N266</f>
        <v>4</v>
      </c>
    </row>
    <row r="263">
      <c r="A263" s="101">
        <f>Masters!C267</f>
        <v>6525</v>
      </c>
      <c r="B263" s="102" t="str">
        <f>Masters!D267</f>
        <v>Hotel Front Desk Clerks</v>
      </c>
      <c r="C263" s="102" t="str">
        <f>Masters!E267</f>
        <v>Hotel front desk clerks</v>
      </c>
      <c r="D263" s="101">
        <f>Masters!F267</f>
        <v>3</v>
      </c>
      <c r="E263" s="101">
        <f>Masters!G267</f>
        <v>3</v>
      </c>
      <c r="F263" s="101">
        <f>Masters!H267</f>
        <v>3</v>
      </c>
      <c r="G263" s="101">
        <f>Masters!I267</f>
        <v>4</v>
      </c>
      <c r="H263" s="101">
        <f>Masters!J267</f>
        <v>4</v>
      </c>
      <c r="I263" s="101">
        <f>Masters!K267</f>
        <v>3</v>
      </c>
      <c r="J263" s="101">
        <f>Masters!L267</f>
        <v>4</v>
      </c>
      <c r="K263" s="101">
        <f>Masters!M267</f>
        <v>4</v>
      </c>
      <c r="L263" s="101">
        <f>Masters!N267</f>
        <v>4</v>
      </c>
    </row>
    <row r="264">
      <c r="A264" s="101">
        <f>Masters!C268</f>
        <v>4164</v>
      </c>
      <c r="B264" s="102" t="str">
        <f>Masters!D268</f>
        <v>Housing Policy Analysts</v>
      </c>
      <c r="C264" s="102" t="str">
        <f>Masters!E268</f>
        <v>Social policy researchers, consultants and program officers</v>
      </c>
      <c r="D264" s="101">
        <f>Masters!F268</f>
        <v>2</v>
      </c>
      <c r="E264" s="101">
        <f>Masters!G268</f>
        <v>2</v>
      </c>
      <c r="F264" s="101">
        <f>Masters!H268</f>
        <v>3</v>
      </c>
      <c r="G264" s="101">
        <f>Masters!I268</f>
        <v>4</v>
      </c>
      <c r="H264" s="101">
        <f>Masters!J268</f>
        <v>4</v>
      </c>
      <c r="I264" s="101">
        <f>Masters!K268</f>
        <v>3</v>
      </c>
      <c r="J264" s="101">
        <f>Masters!L268</f>
        <v>4</v>
      </c>
      <c r="K264" s="101">
        <f>Masters!M268</f>
        <v>4</v>
      </c>
      <c r="L264" s="101">
        <f>Masters!N268</f>
        <v>4</v>
      </c>
    </row>
    <row r="265">
      <c r="A265" s="101">
        <f>Masters!C269</f>
        <v>8442</v>
      </c>
      <c r="B265" s="102" t="str">
        <f>Masters!D269</f>
        <v>Hunters</v>
      </c>
      <c r="C265" s="102" t="str">
        <f>Masters!E269</f>
        <v>Trappers and hunters</v>
      </c>
      <c r="D265" s="101">
        <f>Masters!F269</f>
        <v>4</v>
      </c>
      <c r="E265" s="101">
        <f>Masters!G269</f>
        <v>4</v>
      </c>
      <c r="F265" s="101">
        <f>Masters!H269</f>
        <v>5</v>
      </c>
      <c r="G265" s="101">
        <f>Masters!I269</f>
        <v>4</v>
      </c>
      <c r="H265" s="101">
        <f>Masters!J269</f>
        <v>4</v>
      </c>
      <c r="I265" s="101">
        <f>Masters!K269</f>
        <v>5</v>
      </c>
      <c r="J265" s="101">
        <f>Masters!L269</f>
        <v>3</v>
      </c>
      <c r="K265" s="101">
        <f>Masters!M269</f>
        <v>4</v>
      </c>
      <c r="L265" s="101">
        <f>Masters!N269</f>
        <v>3</v>
      </c>
    </row>
    <row r="266">
      <c r="A266" s="101">
        <f>Masters!C270</f>
        <v>6552</v>
      </c>
      <c r="B266" s="102" t="str">
        <f>Masters!D270</f>
        <v>Information Clerks</v>
      </c>
      <c r="C266" s="102" t="str">
        <f>Masters!E270</f>
        <v>Other customer and information services representatives</v>
      </c>
      <c r="D266" s="101">
        <f>Masters!F270</f>
        <v>3</v>
      </c>
      <c r="E266" s="101">
        <f>Masters!G270</f>
        <v>3</v>
      </c>
      <c r="F266" s="101">
        <f>Masters!H270</f>
        <v>3</v>
      </c>
      <c r="G266" s="101">
        <f>Masters!I270</f>
        <v>4</v>
      </c>
      <c r="H266" s="101">
        <f>Masters!J270</f>
        <v>4</v>
      </c>
      <c r="I266" s="101">
        <f>Masters!K270</f>
        <v>3</v>
      </c>
      <c r="J266" s="101">
        <f>Masters!L270</f>
        <v>4</v>
      </c>
      <c r="K266" s="101">
        <f>Masters!M270</f>
        <v>4</v>
      </c>
      <c r="L266" s="101">
        <f>Masters!N270</f>
        <v>4</v>
      </c>
    </row>
    <row r="267">
      <c r="A267" s="101">
        <f>Masters!C271</f>
        <v>2171</v>
      </c>
      <c r="B267" s="102" t="str">
        <f>Masters!D271</f>
        <v>Information Systems Business Analysts and Consultants</v>
      </c>
      <c r="C267" s="102" t="str">
        <f>Masters!E271</f>
        <v>Information systems analysts and consultants</v>
      </c>
      <c r="D267" s="101">
        <f>Masters!F271</f>
        <v>1</v>
      </c>
      <c r="E267" s="101">
        <f>Masters!G271</f>
        <v>2</v>
      </c>
      <c r="F267" s="101">
        <f>Masters!H271</f>
        <v>2</v>
      </c>
      <c r="G267" s="101">
        <f>Masters!I271</f>
        <v>2</v>
      </c>
      <c r="H267" s="101">
        <f>Masters!J271</f>
        <v>2</v>
      </c>
      <c r="I267" s="101">
        <f>Masters!K271</f>
        <v>3</v>
      </c>
      <c r="J267" s="101">
        <f>Masters!L271</f>
        <v>4</v>
      </c>
      <c r="K267" s="101">
        <f>Masters!M271</f>
        <v>4</v>
      </c>
      <c r="L267" s="101">
        <f>Masters!N271</f>
        <v>4</v>
      </c>
    </row>
    <row r="268">
      <c r="A268" s="101">
        <f>Masters!C272</f>
        <v>1312</v>
      </c>
      <c r="B268" s="102" t="str">
        <f>Masters!D272</f>
        <v>Insurance Adjusters</v>
      </c>
      <c r="C268" s="102" t="str">
        <f>Masters!E272</f>
        <v>Insurance adjusters and claims examiners</v>
      </c>
      <c r="D268" s="101">
        <f>Masters!F272</f>
        <v>3</v>
      </c>
      <c r="E268" s="101">
        <f>Masters!G272</f>
        <v>3</v>
      </c>
      <c r="F268" s="101">
        <f>Masters!H272</f>
        <v>3</v>
      </c>
      <c r="G268" s="101">
        <f>Masters!I272</f>
        <v>4</v>
      </c>
      <c r="H268" s="101">
        <f>Masters!J272</f>
        <v>4</v>
      </c>
      <c r="I268" s="101">
        <f>Masters!K272</f>
        <v>3</v>
      </c>
      <c r="J268" s="101">
        <f>Masters!L272</f>
        <v>4</v>
      </c>
      <c r="K268" s="101">
        <f>Masters!M272</f>
        <v>4</v>
      </c>
      <c r="L268" s="101">
        <f>Masters!N272</f>
        <v>4</v>
      </c>
    </row>
    <row r="269">
      <c r="A269" s="101">
        <f>Masters!C273</f>
        <v>6231</v>
      </c>
      <c r="B269" s="102" t="str">
        <f>Masters!D273</f>
        <v>Insurance Agents and Brokers</v>
      </c>
      <c r="C269" s="102" t="str">
        <f>Masters!E273</f>
        <v>Insurance agents and brokers</v>
      </c>
      <c r="D269" s="101">
        <f>Masters!F273</f>
        <v>3</v>
      </c>
      <c r="E269" s="101">
        <f>Masters!G273</f>
        <v>3</v>
      </c>
      <c r="F269" s="101">
        <f>Masters!H273</f>
        <v>3</v>
      </c>
      <c r="G269" s="101">
        <f>Masters!I273</f>
        <v>4</v>
      </c>
      <c r="H269" s="101">
        <f>Masters!J273</f>
        <v>4</v>
      </c>
      <c r="I269" s="101">
        <f>Masters!K273</f>
        <v>3</v>
      </c>
      <c r="J269" s="101">
        <f>Masters!L273</f>
        <v>4</v>
      </c>
      <c r="K269" s="101">
        <f>Masters!M273</f>
        <v>4</v>
      </c>
      <c r="L269" s="101">
        <f>Masters!N273</f>
        <v>4</v>
      </c>
    </row>
    <row r="270">
      <c r="A270" s="101">
        <f>Masters!C274</f>
        <v>1312</v>
      </c>
      <c r="B270" s="102" t="str">
        <f>Masters!D274</f>
        <v>Insurance Claims Examiners</v>
      </c>
      <c r="C270" s="102" t="str">
        <f>Masters!E274</f>
        <v>Insurance adjusters and claims examiners</v>
      </c>
      <c r="D270" s="101">
        <f>Masters!F274</f>
        <v>3</v>
      </c>
      <c r="E270" s="101">
        <f>Masters!G274</f>
        <v>3</v>
      </c>
      <c r="F270" s="101">
        <f>Masters!H274</f>
        <v>3</v>
      </c>
      <c r="G270" s="101">
        <f>Masters!I274</f>
        <v>4</v>
      </c>
      <c r="H270" s="101">
        <f>Masters!J274</f>
        <v>4</v>
      </c>
      <c r="I270" s="101">
        <f>Masters!K274</f>
        <v>3</v>
      </c>
      <c r="J270" s="101">
        <f>Masters!L274</f>
        <v>4</v>
      </c>
      <c r="K270" s="101">
        <f>Masters!M274</f>
        <v>4</v>
      </c>
      <c r="L270" s="101">
        <f>Masters!N274</f>
        <v>4</v>
      </c>
    </row>
    <row r="271">
      <c r="A271" s="101">
        <f>Masters!C275</f>
        <v>4164</v>
      </c>
      <c r="B271" s="102" t="str">
        <f>Masters!D275</f>
        <v>International Aid and Development Project Officers</v>
      </c>
      <c r="C271" s="102" t="str">
        <f>Masters!E275</f>
        <v>Social policy researchers, consultants and program officers</v>
      </c>
      <c r="D271" s="101">
        <f>Masters!F275</f>
        <v>2</v>
      </c>
      <c r="E271" s="101">
        <f>Masters!G275</f>
        <v>2</v>
      </c>
      <c r="F271" s="101">
        <f>Masters!H275</f>
        <v>3</v>
      </c>
      <c r="G271" s="101">
        <f>Masters!I275</f>
        <v>4</v>
      </c>
      <c r="H271" s="101">
        <f>Masters!J275</f>
        <v>4</v>
      </c>
      <c r="I271" s="101">
        <f>Masters!K275</f>
        <v>3</v>
      </c>
      <c r="J271" s="101">
        <f>Masters!L275</f>
        <v>4</v>
      </c>
      <c r="K271" s="101">
        <f>Masters!M275</f>
        <v>4</v>
      </c>
      <c r="L271" s="101">
        <f>Masters!N275</f>
        <v>4</v>
      </c>
    </row>
    <row r="272">
      <c r="A272" s="101">
        <f>Masters!C276</f>
        <v>5125</v>
      </c>
      <c r="B272" s="102" t="str">
        <f>Masters!D276</f>
        <v>Interpreters</v>
      </c>
      <c r="C272" s="102" t="str">
        <f>Masters!E276</f>
        <v>Translators, terminologists and interpreters</v>
      </c>
      <c r="D272" s="101">
        <f>Masters!F276</f>
        <v>2</v>
      </c>
      <c r="E272" s="101">
        <f>Masters!G276</f>
        <v>1</v>
      </c>
      <c r="F272" s="101">
        <f>Masters!H276</f>
        <v>4</v>
      </c>
      <c r="G272" s="101">
        <f>Masters!I276</f>
        <v>4</v>
      </c>
      <c r="H272" s="101">
        <f>Masters!J276</f>
        <v>4</v>
      </c>
      <c r="I272" s="101">
        <f>Masters!K276</f>
        <v>3</v>
      </c>
      <c r="J272" s="101">
        <f>Masters!L276</f>
        <v>4</v>
      </c>
      <c r="K272" s="101">
        <f>Masters!M276</f>
        <v>4</v>
      </c>
      <c r="L272" s="101">
        <f>Masters!N276</f>
        <v>4</v>
      </c>
    </row>
    <row r="273">
      <c r="A273" s="101">
        <f>Masters!C277</f>
        <v>1524</v>
      </c>
      <c r="B273" s="102" t="str">
        <f>Masters!D277</f>
        <v>Inventory Clerks</v>
      </c>
      <c r="C273" s="102" t="str">
        <f>Masters!E277</f>
        <v>Purchasing and inventory control workers</v>
      </c>
      <c r="D273" s="101">
        <f>Masters!F277</f>
        <v>3</v>
      </c>
      <c r="E273" s="101">
        <f>Masters!G277</f>
        <v>3</v>
      </c>
      <c r="F273" s="101">
        <f>Masters!H277</f>
        <v>3</v>
      </c>
      <c r="G273" s="101">
        <f>Masters!I277</f>
        <v>4</v>
      </c>
      <c r="H273" s="101">
        <f>Masters!J277</f>
        <v>4</v>
      </c>
      <c r="I273" s="101">
        <f>Masters!K277</f>
        <v>3</v>
      </c>
      <c r="J273" s="101">
        <f>Masters!L277</f>
        <v>4</v>
      </c>
      <c r="K273" s="101">
        <f>Masters!M277</f>
        <v>4</v>
      </c>
      <c r="L273" s="101">
        <f>Masters!N277</f>
        <v>4</v>
      </c>
    </row>
    <row r="274">
      <c r="A274" s="101">
        <f>Masters!C278</f>
        <v>6741</v>
      </c>
      <c r="B274" s="102" t="str">
        <f>Masters!D278</f>
        <v>Ironing, Pressing and Finishing Occupations</v>
      </c>
      <c r="C274" s="102" t="str">
        <f>Masters!E278</f>
        <v>Dry cleaning, laundry and related occupations</v>
      </c>
      <c r="D274" s="101">
        <f>Masters!F278</f>
        <v>4</v>
      </c>
      <c r="E274" s="101">
        <f>Masters!G278</f>
        <v>4</v>
      </c>
      <c r="F274" s="101">
        <f>Masters!H278</f>
        <v>5</v>
      </c>
      <c r="G274" s="101">
        <f>Masters!I278</f>
        <v>4</v>
      </c>
      <c r="H274" s="101">
        <f>Masters!J278</f>
        <v>4</v>
      </c>
      <c r="I274" s="101">
        <f>Masters!K278</f>
        <v>5</v>
      </c>
      <c r="J274" s="101">
        <f>Masters!L278</f>
        <v>3</v>
      </c>
      <c r="K274" s="101">
        <f>Masters!M278</f>
        <v>4</v>
      </c>
      <c r="L274" s="101">
        <f>Masters!N278</f>
        <v>3</v>
      </c>
    </row>
    <row r="275">
      <c r="A275" s="101">
        <f>Masters!C279</f>
        <v>1227</v>
      </c>
      <c r="B275" s="102" t="str">
        <f>Masters!D279</f>
        <v>Justices of the Peace</v>
      </c>
      <c r="C275" s="102" t="str">
        <f>Masters!E279</f>
        <v>Court officers and justices of the peace</v>
      </c>
      <c r="D275" s="101">
        <f>Masters!F279</f>
        <v>3</v>
      </c>
      <c r="E275" s="101">
        <f>Masters!G279</f>
        <v>3</v>
      </c>
      <c r="F275" s="101">
        <f>Masters!H279</f>
        <v>3</v>
      </c>
      <c r="G275" s="101">
        <f>Masters!I279</f>
        <v>4</v>
      </c>
      <c r="H275" s="101">
        <f>Masters!J279</f>
        <v>4</v>
      </c>
      <c r="I275" s="101">
        <f>Masters!K279</f>
        <v>3</v>
      </c>
      <c r="J275" s="101">
        <f>Masters!L279</f>
        <v>4</v>
      </c>
      <c r="K275" s="101">
        <f>Masters!M279</f>
        <v>4</v>
      </c>
      <c r="L275" s="101">
        <f>Masters!N279</f>
        <v>4</v>
      </c>
    </row>
    <row r="276">
      <c r="A276" s="101">
        <f>Masters!C280</f>
        <v>9618</v>
      </c>
      <c r="B276" s="102" t="str">
        <f>Masters!D280</f>
        <v>Labourers in Fish Processing</v>
      </c>
      <c r="C276" s="102" t="str">
        <f>Masters!E280</f>
        <v>Labourers in fish and seafood processing</v>
      </c>
      <c r="D276" s="101">
        <f>Masters!F280</f>
        <v>4</v>
      </c>
      <c r="E276" s="101">
        <f>Masters!G280</f>
        <v>4</v>
      </c>
      <c r="F276" s="101">
        <f>Masters!H280</f>
        <v>5</v>
      </c>
      <c r="G276" s="101">
        <f>Masters!I280</f>
        <v>4</v>
      </c>
      <c r="H276" s="101">
        <f>Masters!J280</f>
        <v>4</v>
      </c>
      <c r="I276" s="101">
        <f>Masters!K280</f>
        <v>5</v>
      </c>
      <c r="J276" s="101">
        <f>Masters!L280</f>
        <v>3</v>
      </c>
      <c r="K276" s="101">
        <f>Masters!M280</f>
        <v>4</v>
      </c>
      <c r="L276" s="101">
        <f>Masters!N280</f>
        <v>3</v>
      </c>
    </row>
    <row r="277">
      <c r="A277" s="101">
        <f>Masters!C281</f>
        <v>9617</v>
      </c>
      <c r="B277" s="102" t="str">
        <f>Masters!D281</f>
        <v>Labourers in Food, Beverage and Tobacco Processing</v>
      </c>
      <c r="C277" s="102" t="str">
        <f>Masters!E281</f>
        <v>Labourers in food, beverage and associated products processing</v>
      </c>
      <c r="D277" s="101">
        <f>Masters!F281</f>
        <v>4</v>
      </c>
      <c r="E277" s="101">
        <f>Masters!G281</f>
        <v>5</v>
      </c>
      <c r="F277" s="101">
        <f>Masters!H281</f>
        <v>5</v>
      </c>
      <c r="G277" s="101">
        <f>Masters!I281</f>
        <v>4</v>
      </c>
      <c r="H277" s="101">
        <f>Masters!J281</f>
        <v>4</v>
      </c>
      <c r="I277" s="101">
        <f>Masters!K281</f>
        <v>5</v>
      </c>
      <c r="J277" s="101">
        <f>Masters!L281</f>
        <v>4</v>
      </c>
      <c r="K277" s="101">
        <f>Masters!M281</f>
        <v>4</v>
      </c>
      <c r="L277" s="101">
        <f>Masters!N281</f>
        <v>3</v>
      </c>
    </row>
    <row r="278">
      <c r="A278" s="101">
        <f>Masters!C282</f>
        <v>9612</v>
      </c>
      <c r="B278" s="102" t="str">
        <f>Masters!D282</f>
        <v>Labourers in Metal Fabrication</v>
      </c>
      <c r="C278" s="102" t="str">
        <f>Masters!E282</f>
        <v>Labourers in metal fabrication</v>
      </c>
      <c r="D278" s="101">
        <f>Masters!F282</f>
        <v>4</v>
      </c>
      <c r="E278" s="101">
        <f>Masters!G282</f>
        <v>4</v>
      </c>
      <c r="F278" s="101">
        <f>Masters!H282</f>
        <v>4</v>
      </c>
      <c r="G278" s="101">
        <f>Masters!I282</f>
        <v>4</v>
      </c>
      <c r="H278" s="101">
        <f>Masters!J282</f>
        <v>4</v>
      </c>
      <c r="I278" s="101">
        <f>Masters!K282</f>
        <v>5</v>
      </c>
      <c r="J278" s="101">
        <f>Masters!L282</f>
        <v>4</v>
      </c>
      <c r="K278" s="101">
        <f>Masters!M282</f>
        <v>4</v>
      </c>
      <c r="L278" s="101">
        <f>Masters!N282</f>
        <v>3</v>
      </c>
    </row>
    <row r="279">
      <c r="A279" s="101">
        <f>Masters!C283</f>
        <v>9611</v>
      </c>
      <c r="B279" s="102" t="str">
        <f>Masters!D283</f>
        <v>Labourers in Mineral and Metal Processing</v>
      </c>
      <c r="C279" s="102" t="str">
        <f>Masters!E283</f>
        <v>Labourers in mineral and metal processing</v>
      </c>
      <c r="D279" s="101">
        <f>Masters!F283</f>
        <v>4</v>
      </c>
      <c r="E279" s="101">
        <f>Masters!G283</f>
        <v>4</v>
      </c>
      <c r="F279" s="101">
        <f>Masters!H283</f>
        <v>4</v>
      </c>
      <c r="G279" s="101">
        <f>Masters!I283</f>
        <v>4</v>
      </c>
      <c r="H279" s="101">
        <f>Masters!J283</f>
        <v>4</v>
      </c>
      <c r="I279" s="101">
        <f>Masters!K283</f>
        <v>5</v>
      </c>
      <c r="J279" s="101">
        <f>Masters!L283</f>
        <v>4</v>
      </c>
      <c r="K279" s="101">
        <f>Masters!M283</f>
        <v>4</v>
      </c>
      <c r="L279" s="101">
        <f>Masters!N283</f>
        <v>3</v>
      </c>
    </row>
    <row r="280">
      <c r="A280" s="101">
        <f>Masters!C284</f>
        <v>9616</v>
      </c>
      <c r="B280" s="102" t="str">
        <f>Masters!D284</f>
        <v>Labourers in Textile Processing</v>
      </c>
      <c r="C280" s="102" t="str">
        <f>Masters!E284</f>
        <v>Labourers in textile processing</v>
      </c>
      <c r="D280" s="101">
        <f>Masters!F284</f>
        <v>4</v>
      </c>
      <c r="E280" s="101">
        <f>Masters!G284</f>
        <v>4</v>
      </c>
      <c r="F280" s="101">
        <f>Masters!H284</f>
        <v>5</v>
      </c>
      <c r="G280" s="101">
        <f>Masters!I284</f>
        <v>4</v>
      </c>
      <c r="H280" s="101">
        <f>Masters!J284</f>
        <v>4</v>
      </c>
      <c r="I280" s="101">
        <f>Masters!K284</f>
        <v>4</v>
      </c>
      <c r="J280" s="101">
        <f>Masters!L284</f>
        <v>4</v>
      </c>
      <c r="K280" s="101">
        <f>Masters!M284</f>
        <v>4</v>
      </c>
      <c r="L280" s="101">
        <f>Masters!N284</f>
        <v>3</v>
      </c>
    </row>
    <row r="281">
      <c r="A281" s="101">
        <f>Masters!C285</f>
        <v>5244</v>
      </c>
      <c r="B281" s="102" t="str">
        <f>Masters!D285</f>
        <v>Artistic Floral Arrangers</v>
      </c>
      <c r="C281" s="102" t="str">
        <f>Masters!E285</f>
        <v>Artisans and craftspersons</v>
      </c>
      <c r="D281" s="101">
        <f>Masters!F285</f>
        <v>3</v>
      </c>
      <c r="E281" s="101">
        <f>Masters!G285</f>
        <v>4</v>
      </c>
      <c r="F281" s="101">
        <f>Masters!H285</f>
        <v>4</v>
      </c>
      <c r="G281" s="101">
        <f>Masters!I285</f>
        <v>2</v>
      </c>
      <c r="H281" s="101">
        <f>Masters!J285</f>
        <v>3</v>
      </c>
      <c r="I281" s="101">
        <f>Masters!K285</f>
        <v>4</v>
      </c>
      <c r="J281" s="101">
        <f>Masters!L285</f>
        <v>2</v>
      </c>
      <c r="K281" s="101">
        <f>Masters!M285</f>
        <v>3</v>
      </c>
      <c r="L281" s="101">
        <f>Masters!N285</f>
        <v>2</v>
      </c>
    </row>
    <row r="282">
      <c r="A282" s="101">
        <f>Masters!C286</f>
        <v>5134</v>
      </c>
      <c r="B282" s="102" t="str">
        <f>Masters!D286</f>
        <v>Dance Teachers</v>
      </c>
      <c r="C282" s="102" t="str">
        <f>Masters!E286</f>
        <v>Dancers</v>
      </c>
      <c r="D282" s="101">
        <f>Masters!F286</f>
        <v>2</v>
      </c>
      <c r="E282" s="101">
        <f>Masters!G286</f>
        <v>3</v>
      </c>
      <c r="F282" s="101">
        <f>Masters!H286</f>
        <v>4</v>
      </c>
      <c r="G282" s="101">
        <f>Masters!I286</f>
        <v>2</v>
      </c>
      <c r="H282" s="101">
        <f>Masters!J286</f>
        <v>3</v>
      </c>
      <c r="I282" s="101">
        <f>Masters!K286</f>
        <v>4</v>
      </c>
      <c r="J282" s="101">
        <f>Masters!L286</f>
        <v>2</v>
      </c>
      <c r="K282" s="101">
        <f>Masters!M286</f>
        <v>3</v>
      </c>
      <c r="L282" s="101">
        <f>Masters!N286</f>
        <v>3</v>
      </c>
    </row>
    <row r="283">
      <c r="A283" s="101">
        <f>Masters!C287</f>
        <v>5134</v>
      </c>
      <c r="B283" s="102" t="str">
        <f>Masters!D287</f>
        <v>Dancers</v>
      </c>
      <c r="C283" s="102" t="str">
        <f>Masters!E287</f>
        <v>Dancers</v>
      </c>
      <c r="D283" s="101">
        <f>Masters!F287</f>
        <v>2</v>
      </c>
      <c r="E283" s="101">
        <f>Masters!G287</f>
        <v>3</v>
      </c>
      <c r="F283" s="101">
        <f>Masters!H287</f>
        <v>4</v>
      </c>
      <c r="G283" s="101">
        <f>Masters!I287</f>
        <v>2</v>
      </c>
      <c r="H283" s="101">
        <f>Masters!J287</f>
        <v>3</v>
      </c>
      <c r="I283" s="101">
        <f>Masters!K287</f>
        <v>4</v>
      </c>
      <c r="J283" s="101">
        <f>Masters!L287</f>
        <v>2</v>
      </c>
      <c r="K283" s="101">
        <f>Masters!M287</f>
        <v>3</v>
      </c>
      <c r="L283" s="101">
        <f>Masters!N287</f>
        <v>3</v>
      </c>
    </row>
    <row r="284">
      <c r="A284" s="101">
        <f>Masters!C288</f>
        <v>5244</v>
      </c>
      <c r="B284" s="102" t="str">
        <f>Masters!D288</f>
        <v>Metal Arts Workers</v>
      </c>
      <c r="C284" s="102" t="str">
        <f>Masters!E288</f>
        <v>Artisans and craftspersons</v>
      </c>
      <c r="D284" s="101">
        <f>Masters!F288</f>
        <v>3</v>
      </c>
      <c r="E284" s="101">
        <f>Masters!G288</f>
        <v>4</v>
      </c>
      <c r="F284" s="101">
        <f>Masters!H288</f>
        <v>4</v>
      </c>
      <c r="G284" s="101">
        <f>Masters!I288</f>
        <v>2</v>
      </c>
      <c r="H284" s="101">
        <f>Masters!J288</f>
        <v>2</v>
      </c>
      <c r="I284" s="101">
        <f>Masters!K288</f>
        <v>4</v>
      </c>
      <c r="J284" s="101">
        <f>Masters!L288</f>
        <v>2</v>
      </c>
      <c r="K284" s="101">
        <f>Masters!M288</f>
        <v>2</v>
      </c>
      <c r="L284" s="101">
        <f>Masters!N288</f>
        <v>2</v>
      </c>
    </row>
    <row r="285">
      <c r="A285" s="101">
        <f>Masters!C289</f>
        <v>5251</v>
      </c>
      <c r="B285" s="102" t="str">
        <f>Masters!D289</f>
        <v>Athletes</v>
      </c>
      <c r="C285" s="102" t="str">
        <f>Masters!E289</f>
        <v>Athletes</v>
      </c>
      <c r="D285" s="101">
        <f>Masters!F289</f>
        <v>3</v>
      </c>
      <c r="E285" s="101">
        <f>Masters!G289</f>
        <v>3</v>
      </c>
      <c r="F285" s="101">
        <f>Masters!H289</f>
        <v>4</v>
      </c>
      <c r="G285" s="101">
        <f>Masters!I289</f>
        <v>2</v>
      </c>
      <c r="H285" s="101">
        <f>Masters!J289</f>
        <v>3</v>
      </c>
      <c r="I285" s="101">
        <f>Masters!K289</f>
        <v>4</v>
      </c>
      <c r="J285" s="101">
        <f>Masters!L289</f>
        <v>2</v>
      </c>
      <c r="K285" s="101">
        <f>Masters!M289</f>
        <v>2</v>
      </c>
      <c r="L285" s="101">
        <f>Masters!N289</f>
        <v>2</v>
      </c>
    </row>
    <row r="286">
      <c r="A286" s="101">
        <f>Masters!C290</f>
        <v>5244</v>
      </c>
      <c r="B286" s="102" t="str">
        <f>Masters!D290</f>
        <v>Potters</v>
      </c>
      <c r="C286" s="102" t="str">
        <f>Masters!E290</f>
        <v>Artisans and craftspersons</v>
      </c>
      <c r="D286" s="101">
        <f>Masters!F290</f>
        <v>3</v>
      </c>
      <c r="E286" s="101">
        <f>Masters!G290</f>
        <v>4</v>
      </c>
      <c r="F286" s="101">
        <f>Masters!H290</f>
        <v>4</v>
      </c>
      <c r="G286" s="101">
        <f>Masters!I290</f>
        <v>2</v>
      </c>
      <c r="H286" s="101">
        <f>Masters!J290</f>
        <v>2</v>
      </c>
      <c r="I286" s="101">
        <f>Masters!K290</f>
        <v>4</v>
      </c>
      <c r="J286" s="101">
        <f>Masters!L290</f>
        <v>2</v>
      </c>
      <c r="K286" s="101">
        <f>Masters!M290</f>
        <v>2</v>
      </c>
      <c r="L286" s="101">
        <f>Masters!N290</f>
        <v>2</v>
      </c>
    </row>
    <row r="287">
      <c r="A287" s="101">
        <f>Masters!C291</f>
        <v>2231</v>
      </c>
      <c r="B287" s="102" t="str">
        <f>Masters!D291</f>
        <v>Civil Engineering Technicians</v>
      </c>
      <c r="C287" s="102" t="str">
        <f>Masters!E291</f>
        <v>Civil engineering technologists and technicians</v>
      </c>
      <c r="D287" s="101">
        <f>Masters!F291</f>
        <v>2</v>
      </c>
      <c r="E287" s="101">
        <f>Masters!G291</f>
        <v>3</v>
      </c>
      <c r="F287" s="101">
        <f>Masters!H291</f>
        <v>3</v>
      </c>
      <c r="G287" s="101">
        <f>Masters!I291</f>
        <v>2</v>
      </c>
      <c r="H287" s="101">
        <f>Masters!J291</f>
        <v>3</v>
      </c>
      <c r="I287" s="101">
        <f>Masters!K291</f>
        <v>3</v>
      </c>
      <c r="J287" s="101">
        <f>Masters!L291</f>
        <v>3</v>
      </c>
      <c r="K287" s="101">
        <f>Masters!M291</f>
        <v>3</v>
      </c>
      <c r="L287" s="101">
        <f>Masters!N291</f>
        <v>3</v>
      </c>
    </row>
    <row r="288">
      <c r="A288" s="101">
        <f>Masters!C292</f>
        <v>5244</v>
      </c>
      <c r="B288" s="102" t="str">
        <f>Masters!D292</f>
        <v>Stained Glass Artists</v>
      </c>
      <c r="C288" s="102" t="str">
        <f>Masters!E292</f>
        <v>Artisans and craftspersons</v>
      </c>
      <c r="D288" s="101">
        <f>Masters!F292</f>
        <v>3</v>
      </c>
      <c r="E288" s="101">
        <f>Masters!G292</f>
        <v>4</v>
      </c>
      <c r="F288" s="101">
        <f>Masters!H292</f>
        <v>4</v>
      </c>
      <c r="G288" s="101">
        <f>Masters!I292</f>
        <v>2</v>
      </c>
      <c r="H288" s="101">
        <f>Masters!J292</f>
        <v>2</v>
      </c>
      <c r="I288" s="101">
        <f>Masters!K292</f>
        <v>4</v>
      </c>
      <c r="J288" s="101">
        <f>Masters!L292</f>
        <v>2</v>
      </c>
      <c r="K288" s="101">
        <f>Masters!M292</f>
        <v>2</v>
      </c>
      <c r="L288" s="101">
        <f>Masters!N292</f>
        <v>2</v>
      </c>
    </row>
    <row r="289">
      <c r="A289" s="101">
        <f>Masters!C293</f>
        <v>2233</v>
      </c>
      <c r="B289" s="102" t="str">
        <f>Masters!D293</f>
        <v>Industrial Engineering and Manufacturing Technicians</v>
      </c>
      <c r="C289" s="102" t="str">
        <f>Masters!E293</f>
        <v>Industrial engineering and manufacturing technologists and technicians</v>
      </c>
      <c r="D289" s="101">
        <f>Masters!F293</f>
        <v>2</v>
      </c>
      <c r="E289" s="101">
        <f>Masters!G293</f>
        <v>3</v>
      </c>
      <c r="F289" s="101">
        <f>Masters!H293</f>
        <v>3</v>
      </c>
      <c r="G289" s="101">
        <f>Masters!I293</f>
        <v>2</v>
      </c>
      <c r="H289" s="101">
        <f>Masters!J293</f>
        <v>3</v>
      </c>
      <c r="I289" s="101">
        <f>Masters!K293</f>
        <v>3</v>
      </c>
      <c r="J289" s="101">
        <f>Masters!L293</f>
        <v>3</v>
      </c>
      <c r="K289" s="101">
        <f>Masters!M293</f>
        <v>3</v>
      </c>
      <c r="L289" s="101">
        <f>Masters!N293</f>
        <v>3</v>
      </c>
    </row>
    <row r="290">
      <c r="A290" s="101">
        <f>Masters!C294</f>
        <v>2232</v>
      </c>
      <c r="B290" s="102" t="str">
        <f>Masters!D294</f>
        <v>Mechanical Engineering Technicians</v>
      </c>
      <c r="C290" s="102" t="str">
        <f>Masters!E294</f>
        <v>Mechanical engineering technologists and technicians</v>
      </c>
      <c r="D290" s="101">
        <f>Masters!F294</f>
        <v>2</v>
      </c>
      <c r="E290" s="101">
        <f>Masters!G294</f>
        <v>3</v>
      </c>
      <c r="F290" s="101">
        <f>Masters!H294</f>
        <v>3</v>
      </c>
      <c r="G290" s="101">
        <f>Masters!I294</f>
        <v>2</v>
      </c>
      <c r="H290" s="101">
        <f>Masters!J294</f>
        <v>3</v>
      </c>
      <c r="I290" s="101">
        <f>Masters!K294</f>
        <v>3</v>
      </c>
      <c r="J290" s="101">
        <f>Masters!L294</f>
        <v>3</v>
      </c>
      <c r="K290" s="101">
        <f>Masters!M294</f>
        <v>3</v>
      </c>
      <c r="L290" s="101">
        <f>Masters!N294</f>
        <v>3</v>
      </c>
    </row>
    <row r="291">
      <c r="A291" s="101">
        <f>Masters!C295</f>
        <v>9442</v>
      </c>
      <c r="B291" s="102" t="str">
        <f>Masters!D295</f>
        <v>Weavers</v>
      </c>
      <c r="C291" s="102" t="str">
        <f>Masters!E295</f>
        <v>Weavers, knitters and other fabric making occupations</v>
      </c>
      <c r="D291" s="101">
        <f>Masters!F295</f>
        <v>3</v>
      </c>
      <c r="E291" s="101">
        <f>Masters!G295</f>
        <v>4</v>
      </c>
      <c r="F291" s="101">
        <f>Masters!H295</f>
        <v>4</v>
      </c>
      <c r="G291" s="101">
        <f>Masters!I295</f>
        <v>2</v>
      </c>
      <c r="H291" s="101">
        <f>Masters!J295</f>
        <v>3</v>
      </c>
      <c r="I291" s="101">
        <f>Masters!K295</f>
        <v>4</v>
      </c>
      <c r="J291" s="101">
        <f>Masters!L295</f>
        <v>2</v>
      </c>
      <c r="K291" s="101">
        <f>Masters!M295</f>
        <v>3</v>
      </c>
      <c r="L291" s="101">
        <f>Masters!N295</f>
        <v>2</v>
      </c>
    </row>
    <row r="292">
      <c r="A292" s="101">
        <f>Masters!C296</f>
        <v>7315</v>
      </c>
      <c r="B292" s="102" t="str">
        <f>Masters!D296</f>
        <v>Aircraft Mechanics</v>
      </c>
      <c r="C292" s="102" t="str">
        <f>Masters!E296</f>
        <v>Aircraft mechanics and aircraft inspectors</v>
      </c>
      <c r="D292" s="101">
        <f>Masters!F296</f>
        <v>3</v>
      </c>
      <c r="E292" s="101">
        <f>Masters!G296</f>
        <v>4</v>
      </c>
      <c r="F292" s="101">
        <f>Masters!H296</f>
        <v>3</v>
      </c>
      <c r="G292" s="101">
        <f>Masters!I296</f>
        <v>2</v>
      </c>
      <c r="H292" s="101">
        <f>Masters!J296</f>
        <v>2</v>
      </c>
      <c r="I292" s="101">
        <f>Masters!K296</f>
        <v>4</v>
      </c>
      <c r="J292" s="101">
        <f>Masters!L296</f>
        <v>3</v>
      </c>
      <c r="K292" s="101">
        <f>Masters!M296</f>
        <v>3</v>
      </c>
      <c r="L292" s="101">
        <f>Masters!N296</f>
        <v>2</v>
      </c>
    </row>
    <row r="293">
      <c r="A293" s="101">
        <f>Masters!C297</f>
        <v>5244</v>
      </c>
      <c r="B293" s="102" t="str">
        <f>Masters!D297</f>
        <v>Carvers</v>
      </c>
      <c r="C293" s="102" t="str">
        <f>Masters!E297</f>
        <v>Artisans and craftspersons</v>
      </c>
      <c r="D293" s="101">
        <f>Masters!F297</f>
        <v>3</v>
      </c>
      <c r="E293" s="101">
        <f>Masters!G297</f>
        <v>4</v>
      </c>
      <c r="F293" s="101">
        <f>Masters!H297</f>
        <v>3</v>
      </c>
      <c r="G293" s="101">
        <f>Masters!I297</f>
        <v>2</v>
      </c>
      <c r="H293" s="101">
        <f>Masters!J297</f>
        <v>2</v>
      </c>
      <c r="I293" s="101">
        <f>Masters!K297</f>
        <v>4</v>
      </c>
      <c r="J293" s="101">
        <f>Masters!L297</f>
        <v>2</v>
      </c>
      <c r="K293" s="101">
        <f>Masters!M297</f>
        <v>2</v>
      </c>
      <c r="L293" s="101">
        <f>Masters!N297</f>
        <v>2</v>
      </c>
    </row>
    <row r="294">
      <c r="A294" s="101">
        <f>Masters!C298</f>
        <v>5244</v>
      </c>
      <c r="B294" s="102" t="str">
        <f>Masters!D298</f>
        <v>Stringed Instrument Makers</v>
      </c>
      <c r="C294" s="102" t="str">
        <f>Masters!E298</f>
        <v>Artisans and craftspersons</v>
      </c>
      <c r="D294" s="101">
        <f>Masters!F298</f>
        <v>3</v>
      </c>
      <c r="E294" s="101">
        <f>Masters!G298</f>
        <v>4</v>
      </c>
      <c r="F294" s="101">
        <f>Masters!H298</f>
        <v>3</v>
      </c>
      <c r="G294" s="101">
        <f>Masters!I298</f>
        <v>2</v>
      </c>
      <c r="H294" s="101">
        <f>Masters!J298</f>
        <v>2</v>
      </c>
      <c r="I294" s="101">
        <f>Masters!K298</f>
        <v>4</v>
      </c>
      <c r="J294" s="101">
        <f>Masters!L298</f>
        <v>2</v>
      </c>
      <c r="K294" s="101">
        <f>Masters!M298</f>
        <v>2</v>
      </c>
      <c r="L294" s="101">
        <f>Masters!N298</f>
        <v>2</v>
      </c>
    </row>
    <row r="295">
      <c r="A295" s="101">
        <f>Masters!C299</f>
        <v>2255</v>
      </c>
      <c r="B295" s="102" t="str">
        <f>Masters!D299</f>
        <v>Aerial Survey Technologists and Technicians</v>
      </c>
      <c r="C295" s="102" t="str">
        <f>Masters!E299</f>
        <v>Technical occupations in geomatics and meteorology</v>
      </c>
      <c r="D295" s="101">
        <f>Masters!F299</f>
        <v>2</v>
      </c>
      <c r="E295" s="101">
        <f>Masters!G299</f>
        <v>3</v>
      </c>
      <c r="F295" s="101">
        <f>Masters!H299</f>
        <v>3</v>
      </c>
      <c r="G295" s="101">
        <f>Masters!I299</f>
        <v>2</v>
      </c>
      <c r="H295" s="101">
        <f>Masters!J299</f>
        <v>2</v>
      </c>
      <c r="I295" s="101">
        <f>Masters!K299</f>
        <v>3</v>
      </c>
      <c r="J295" s="101">
        <f>Masters!L299</f>
        <v>3</v>
      </c>
      <c r="K295" s="101">
        <f>Masters!M299</f>
        <v>3</v>
      </c>
      <c r="L295" s="101">
        <f>Masters!N299</f>
        <v>3</v>
      </c>
    </row>
    <row r="296">
      <c r="A296" s="101">
        <f>Masters!C300</f>
        <v>7384</v>
      </c>
      <c r="B296" s="102" t="str">
        <f>Masters!D300</f>
        <v>Blacksmiths</v>
      </c>
      <c r="C296" s="102" t="str">
        <f>Masters!E300</f>
        <v>Other trades and related occupations, n.e.c.</v>
      </c>
      <c r="D296" s="101">
        <f>Masters!F300</f>
        <v>3</v>
      </c>
      <c r="E296" s="101">
        <f>Masters!G300</f>
        <v>4</v>
      </c>
      <c r="F296" s="101">
        <f>Masters!H300</f>
        <v>3</v>
      </c>
      <c r="G296" s="101">
        <f>Masters!I300</f>
        <v>2</v>
      </c>
      <c r="H296" s="101">
        <f>Masters!J300</f>
        <v>3</v>
      </c>
      <c r="I296" s="101">
        <f>Masters!K300</f>
        <v>4</v>
      </c>
      <c r="J296" s="101">
        <f>Masters!L300</f>
        <v>2</v>
      </c>
      <c r="K296" s="101">
        <f>Masters!M300</f>
        <v>4</v>
      </c>
      <c r="L296" s="101">
        <f>Masters!N300</f>
        <v>2</v>
      </c>
    </row>
    <row r="297">
      <c r="A297" s="101">
        <f>Masters!C301</f>
        <v>7384</v>
      </c>
      <c r="B297" s="102" t="str">
        <f>Masters!D301</f>
        <v>Die Setters</v>
      </c>
      <c r="C297" s="102" t="str">
        <f>Masters!E301</f>
        <v>Other trades and related occupations, n.e.c.</v>
      </c>
      <c r="D297" s="101">
        <f>Masters!F301</f>
        <v>3</v>
      </c>
      <c r="E297" s="101">
        <f>Masters!G301</f>
        <v>4</v>
      </c>
      <c r="F297" s="101">
        <f>Masters!H301</f>
        <v>4</v>
      </c>
      <c r="G297" s="101">
        <f>Masters!I301</f>
        <v>2</v>
      </c>
      <c r="H297" s="101">
        <f>Masters!J301</f>
        <v>3</v>
      </c>
      <c r="I297" s="101">
        <f>Masters!K301</f>
        <v>4</v>
      </c>
      <c r="J297" s="101">
        <f>Masters!L301</f>
        <v>3</v>
      </c>
      <c r="K297" s="101">
        <f>Masters!M301</f>
        <v>3</v>
      </c>
      <c r="L297" s="101">
        <f>Masters!N301</f>
        <v>3</v>
      </c>
    </row>
    <row r="298">
      <c r="A298" s="101">
        <f>Masters!C302</f>
        <v>7234</v>
      </c>
      <c r="B298" s="102" t="str">
        <f>Masters!D302</f>
        <v>Boilermakers</v>
      </c>
      <c r="C298" s="102" t="str">
        <f>Masters!E302</f>
        <v>Boilermakers</v>
      </c>
      <c r="D298" s="101">
        <f>Masters!F302</f>
        <v>3</v>
      </c>
      <c r="E298" s="101">
        <f>Masters!G302</f>
        <v>3</v>
      </c>
      <c r="F298" s="101">
        <f>Masters!H302</f>
        <v>3</v>
      </c>
      <c r="G298" s="101">
        <f>Masters!I302</f>
        <v>2</v>
      </c>
      <c r="H298" s="101">
        <f>Masters!J302</f>
        <v>3</v>
      </c>
      <c r="I298" s="101">
        <f>Masters!K302</f>
        <v>4</v>
      </c>
      <c r="J298" s="101">
        <f>Masters!L302</f>
        <v>3</v>
      </c>
      <c r="K298" s="101">
        <f>Masters!M302</f>
        <v>3</v>
      </c>
      <c r="L298" s="101">
        <f>Masters!N302</f>
        <v>2</v>
      </c>
    </row>
    <row r="299">
      <c r="A299" s="101">
        <f>Masters!C303</f>
        <v>7233</v>
      </c>
      <c r="B299" s="102" t="str">
        <f>Masters!D303</f>
        <v>Sheet Metal Workers</v>
      </c>
      <c r="C299" s="102" t="str">
        <f>Masters!E303</f>
        <v>Sheet metal workers</v>
      </c>
      <c r="D299" s="101">
        <f>Masters!F303</f>
        <v>3</v>
      </c>
      <c r="E299" s="101">
        <f>Masters!G303</f>
        <v>4</v>
      </c>
      <c r="F299" s="101">
        <f>Masters!H303</f>
        <v>3</v>
      </c>
      <c r="G299" s="101">
        <f>Masters!I303</f>
        <v>2</v>
      </c>
      <c r="H299" s="101">
        <f>Masters!J303</f>
        <v>3</v>
      </c>
      <c r="I299" s="101">
        <f>Masters!K303</f>
        <v>4</v>
      </c>
      <c r="J299" s="101">
        <f>Masters!L303</f>
        <v>3</v>
      </c>
      <c r="K299" s="101">
        <f>Masters!M303</f>
        <v>3</v>
      </c>
      <c r="L299" s="101">
        <f>Masters!N303</f>
        <v>2</v>
      </c>
    </row>
    <row r="300">
      <c r="A300" s="101">
        <f>Masters!C304</f>
        <v>7372</v>
      </c>
      <c r="B300" s="102" t="str">
        <f>Masters!D304</f>
        <v>Blasters - Surface Mining, Quarrying and Construction</v>
      </c>
      <c r="C300" s="102" t="str">
        <f>Masters!E304</f>
        <v>Drillers and blasters - surface mining, quarrying and construction</v>
      </c>
      <c r="D300" s="101">
        <f>Masters!F304</f>
        <v>3</v>
      </c>
      <c r="E300" s="101">
        <f>Masters!G304</f>
        <v>4</v>
      </c>
      <c r="F300" s="101">
        <f>Masters!H304</f>
        <v>4</v>
      </c>
      <c r="G300" s="101">
        <f>Masters!I304</f>
        <v>3</v>
      </c>
      <c r="H300" s="101">
        <f>Masters!J304</f>
        <v>3</v>
      </c>
      <c r="I300" s="101">
        <f>Masters!K304</f>
        <v>4</v>
      </c>
      <c r="J300" s="101">
        <f>Masters!L304</f>
        <v>3</v>
      </c>
      <c r="K300" s="101">
        <f>Masters!M304</f>
        <v>3</v>
      </c>
      <c r="L300" s="101">
        <f>Masters!N304</f>
        <v>3</v>
      </c>
    </row>
    <row r="301">
      <c r="A301" s="101">
        <f>Masters!C305</f>
        <v>7272</v>
      </c>
      <c r="B301" s="102" t="str">
        <f>Masters!D305</f>
        <v>Cabinetmakers</v>
      </c>
      <c r="C301" s="102" t="str">
        <f>Masters!E305</f>
        <v>Cabinetmakers</v>
      </c>
      <c r="D301" s="101">
        <f>Masters!F305</f>
        <v>3</v>
      </c>
      <c r="E301" s="101">
        <f>Masters!G305</f>
        <v>4</v>
      </c>
      <c r="F301" s="101">
        <f>Masters!H305</f>
        <v>3</v>
      </c>
      <c r="G301" s="101">
        <f>Masters!I305</f>
        <v>3</v>
      </c>
      <c r="H301" s="101">
        <f>Masters!J305</f>
        <v>3</v>
      </c>
      <c r="I301" s="101">
        <f>Masters!K305</f>
        <v>4</v>
      </c>
      <c r="J301" s="101">
        <f>Masters!L305</f>
        <v>3</v>
      </c>
      <c r="K301" s="101">
        <f>Masters!M305</f>
        <v>3</v>
      </c>
      <c r="L301" s="101">
        <f>Masters!N305</f>
        <v>2</v>
      </c>
    </row>
    <row r="302">
      <c r="A302" s="101">
        <f>Masters!C306</f>
        <v>5244</v>
      </c>
      <c r="B302" s="102" t="str">
        <f>Masters!D306</f>
        <v>Craft Instructors</v>
      </c>
      <c r="C302" s="102" t="str">
        <f>Masters!E306</f>
        <v>Artisans and craftspersons</v>
      </c>
      <c r="D302" s="101">
        <f>Masters!F306</f>
        <v>3</v>
      </c>
      <c r="E302" s="101">
        <f>Masters!G306</f>
        <v>2</v>
      </c>
      <c r="F302" s="101">
        <f>Masters!H306</f>
        <v>4</v>
      </c>
      <c r="G302" s="101">
        <f>Masters!I306</f>
        <v>2</v>
      </c>
      <c r="H302" s="101">
        <f>Masters!J306</f>
        <v>3</v>
      </c>
      <c r="I302" s="101">
        <f>Masters!K306</f>
        <v>3</v>
      </c>
      <c r="J302" s="101">
        <f>Masters!L306</f>
        <v>3</v>
      </c>
      <c r="K302" s="101">
        <f>Masters!M306</f>
        <v>3</v>
      </c>
      <c r="L302" s="101">
        <f>Masters!N306</f>
        <v>3</v>
      </c>
    </row>
    <row r="303">
      <c r="A303" s="101">
        <f>Masters!C307</f>
        <v>7311</v>
      </c>
      <c r="B303" s="102" t="str">
        <f>Masters!D307</f>
        <v>Construction Millwrights and Industrial Mechanics (Except Textile)</v>
      </c>
      <c r="C303" s="102" t="str">
        <f>Masters!E307</f>
        <v>Construction millwrights and industrial mechanics</v>
      </c>
      <c r="D303" s="101">
        <f>Masters!F307</f>
        <v>3</v>
      </c>
      <c r="E303" s="101">
        <f>Masters!G307</f>
        <v>4</v>
      </c>
      <c r="F303" s="101">
        <f>Masters!H307</f>
        <v>3</v>
      </c>
      <c r="G303" s="101">
        <f>Masters!I307</f>
        <v>2</v>
      </c>
      <c r="H303" s="101">
        <f>Masters!J307</f>
        <v>3</v>
      </c>
      <c r="I303" s="101">
        <f>Masters!K307</f>
        <v>4</v>
      </c>
      <c r="J303" s="101">
        <f>Masters!L307</f>
        <v>3</v>
      </c>
      <c r="K303" s="101">
        <f>Masters!M307</f>
        <v>3</v>
      </c>
      <c r="L303" s="101">
        <f>Masters!N307</f>
        <v>3</v>
      </c>
    </row>
    <row r="304">
      <c r="A304" s="101">
        <f>Masters!C308</f>
        <v>1423</v>
      </c>
      <c r="B304" s="102" t="str">
        <f>Masters!D308</f>
        <v>Desktop Publishing Operators</v>
      </c>
      <c r="C304" s="102" t="str">
        <f>Masters!E308</f>
        <v>Desktop publishing operators and related occupations</v>
      </c>
      <c r="D304" s="101">
        <f>Masters!F308</f>
        <v>3</v>
      </c>
      <c r="E304" s="101">
        <f>Masters!G308</f>
        <v>3</v>
      </c>
      <c r="F304" s="101">
        <f>Masters!H308</f>
        <v>4</v>
      </c>
      <c r="G304" s="101">
        <f>Masters!I308</f>
        <v>3</v>
      </c>
      <c r="H304" s="101">
        <f>Masters!J308</f>
        <v>3</v>
      </c>
      <c r="I304" s="101">
        <f>Masters!K308</f>
        <v>3</v>
      </c>
      <c r="J304" s="101">
        <f>Masters!L308</f>
        <v>3</v>
      </c>
      <c r="K304" s="101">
        <f>Masters!M308</f>
        <v>3</v>
      </c>
      <c r="L304" s="101">
        <f>Masters!N308</f>
        <v>3</v>
      </c>
    </row>
    <row r="305">
      <c r="A305" s="101">
        <f>Masters!C309</f>
        <v>2241</v>
      </c>
      <c r="B305" s="102" t="str">
        <f>Masters!D309</f>
        <v>Electrical and Electronics Engineering Technicians</v>
      </c>
      <c r="C305" s="102" t="str">
        <f>Masters!E309</f>
        <v>Electrical and electronics engineering technologists and technicians</v>
      </c>
      <c r="D305" s="101">
        <f>Masters!F309</f>
        <v>2</v>
      </c>
      <c r="E305" s="101">
        <f>Masters!G309</f>
        <v>3</v>
      </c>
      <c r="F305" s="101">
        <f>Masters!H309</f>
        <v>3</v>
      </c>
      <c r="G305" s="101">
        <f>Masters!I309</f>
        <v>2</v>
      </c>
      <c r="H305" s="101">
        <f>Masters!J309</f>
        <v>2</v>
      </c>
      <c r="I305" s="101">
        <f>Masters!K309</f>
        <v>3</v>
      </c>
      <c r="J305" s="101">
        <f>Masters!L309</f>
        <v>3</v>
      </c>
      <c r="K305" s="101">
        <f>Masters!M309</f>
        <v>3</v>
      </c>
      <c r="L305" s="101">
        <f>Masters!N309</f>
        <v>3</v>
      </c>
    </row>
    <row r="306">
      <c r="A306" s="101">
        <f>Masters!C310</f>
        <v>3223</v>
      </c>
      <c r="B306" s="102" t="str">
        <f>Masters!D310</f>
        <v>Dental Laboratory Bench Workers</v>
      </c>
      <c r="C306" s="102" t="str">
        <f>Masters!E310</f>
        <v>Dental technologists, technicians and laboratory assistants</v>
      </c>
      <c r="D306" s="101">
        <f>Masters!F310</f>
        <v>3</v>
      </c>
      <c r="E306" s="101">
        <f>Masters!G310</f>
        <v>4</v>
      </c>
      <c r="F306" s="101">
        <f>Masters!H310</f>
        <v>4</v>
      </c>
      <c r="G306" s="101">
        <f>Masters!I310</f>
        <v>3</v>
      </c>
      <c r="H306" s="101">
        <f>Masters!J310</f>
        <v>3</v>
      </c>
      <c r="I306" s="101">
        <f>Masters!K310</f>
        <v>4</v>
      </c>
      <c r="J306" s="101">
        <f>Masters!L310</f>
        <v>3</v>
      </c>
      <c r="K306" s="101">
        <f>Masters!M310</f>
        <v>3</v>
      </c>
      <c r="L306" s="101">
        <f>Masters!N310</f>
        <v>3</v>
      </c>
    </row>
    <row r="307">
      <c r="A307" s="101">
        <f>Masters!C311</f>
        <v>7244</v>
      </c>
      <c r="B307" s="102" t="str">
        <f>Masters!D311</f>
        <v>Electrical Power Line and Cable Workers</v>
      </c>
      <c r="C307" s="102" t="str">
        <f>Masters!E311</f>
        <v>Electrical power line and cable workers</v>
      </c>
      <c r="D307" s="101">
        <f>Masters!F311</f>
        <v>3</v>
      </c>
      <c r="E307" s="101">
        <f>Masters!G311</f>
        <v>3</v>
      </c>
      <c r="F307" s="101">
        <f>Masters!H311</f>
        <v>4</v>
      </c>
      <c r="G307" s="101">
        <f>Masters!I311</f>
        <v>3</v>
      </c>
      <c r="H307" s="101">
        <f>Masters!J311</f>
        <v>3</v>
      </c>
      <c r="I307" s="101">
        <f>Masters!K311</f>
        <v>4</v>
      </c>
      <c r="J307" s="101">
        <f>Masters!L311</f>
        <v>2</v>
      </c>
      <c r="K307" s="101">
        <f>Masters!M311</f>
        <v>3</v>
      </c>
      <c r="L307" s="101">
        <f>Masters!N311</f>
        <v>3</v>
      </c>
    </row>
    <row r="308">
      <c r="A308" s="101">
        <f>Masters!C312</f>
        <v>2242</v>
      </c>
      <c r="B308" s="102" t="str">
        <f>Masters!D312</f>
        <v>Electronic Service Technicians (Household and Business Equipment)</v>
      </c>
      <c r="C308" s="102" t="str">
        <f>Masters!E312</f>
        <v>Electronic service technicians (household and business equipment)</v>
      </c>
      <c r="D308" s="101">
        <f>Masters!F312</f>
        <v>3</v>
      </c>
      <c r="E308" s="101">
        <f>Masters!G312</f>
        <v>3</v>
      </c>
      <c r="F308" s="101">
        <f>Masters!H312</f>
        <v>3</v>
      </c>
      <c r="G308" s="101">
        <f>Masters!I312</f>
        <v>2</v>
      </c>
      <c r="H308" s="101">
        <f>Masters!J312</f>
        <v>3</v>
      </c>
      <c r="I308" s="101">
        <f>Masters!K312</f>
        <v>4</v>
      </c>
      <c r="J308" s="101">
        <f>Masters!L312</f>
        <v>2</v>
      </c>
      <c r="K308" s="101">
        <f>Masters!M312</f>
        <v>2</v>
      </c>
      <c r="L308" s="101">
        <f>Masters!N312</f>
        <v>2</v>
      </c>
    </row>
    <row r="309">
      <c r="A309" s="101">
        <f>Masters!C313</f>
        <v>9523</v>
      </c>
      <c r="B309" s="102" t="str">
        <f>Masters!D313</f>
        <v>Electronics Assemblers</v>
      </c>
      <c r="C309" s="102" t="str">
        <f>Masters!E313</f>
        <v>Electronics assemblers, fabricators, inspectors and testers</v>
      </c>
      <c r="D309" s="101">
        <f>Masters!F313</f>
        <v>3</v>
      </c>
      <c r="E309" s="101">
        <f>Masters!G313</f>
        <v>4</v>
      </c>
      <c r="F309" s="101">
        <f>Masters!H313</f>
        <v>4</v>
      </c>
      <c r="G309" s="101">
        <f>Masters!I313</f>
        <v>3</v>
      </c>
      <c r="H309" s="101">
        <f>Masters!J313</f>
        <v>3</v>
      </c>
      <c r="I309" s="101">
        <f>Masters!K313</f>
        <v>4</v>
      </c>
      <c r="J309" s="101">
        <f>Masters!L313</f>
        <v>1</v>
      </c>
      <c r="K309" s="101">
        <f>Masters!M313</f>
        <v>1</v>
      </c>
      <c r="L309" s="101">
        <f>Masters!N313</f>
        <v>1</v>
      </c>
    </row>
    <row r="310">
      <c r="A310" s="101">
        <f>Masters!C314</f>
        <v>7333</v>
      </c>
      <c r="B310" s="102" t="str">
        <f>Masters!D314</f>
        <v>Electrical Mechanics</v>
      </c>
      <c r="C310" s="102" t="str">
        <f>Masters!E314</f>
        <v>Electrical mechanics</v>
      </c>
      <c r="D310" s="101">
        <f>Masters!F314</f>
        <v>3</v>
      </c>
      <c r="E310" s="101">
        <f>Masters!G314</f>
        <v>4</v>
      </c>
      <c r="F310" s="101">
        <f>Masters!H314</f>
        <v>4</v>
      </c>
      <c r="G310" s="101">
        <f>Masters!I314</f>
        <v>3</v>
      </c>
      <c r="H310" s="101">
        <f>Masters!J314</f>
        <v>3</v>
      </c>
      <c r="I310" s="101">
        <f>Masters!K314</f>
        <v>4</v>
      </c>
      <c r="J310" s="101">
        <f>Masters!L314</f>
        <v>3</v>
      </c>
      <c r="K310" s="101">
        <f>Masters!M314</f>
        <v>3</v>
      </c>
      <c r="L310" s="101">
        <f>Masters!N314</f>
        <v>3</v>
      </c>
    </row>
    <row r="311">
      <c r="A311" s="101">
        <f>Masters!C315</f>
        <v>9523</v>
      </c>
      <c r="B311" s="102" t="str">
        <f>Masters!D315</f>
        <v>Electronics Fabricators</v>
      </c>
      <c r="C311" s="102" t="str">
        <f>Masters!E315</f>
        <v>Electronics assemblers, fabricators, inspectors and testers</v>
      </c>
      <c r="D311" s="101">
        <f>Masters!F315</f>
        <v>3</v>
      </c>
      <c r="E311" s="101">
        <f>Masters!G315</f>
        <v>4</v>
      </c>
      <c r="F311" s="101">
        <f>Masters!H315</f>
        <v>4</v>
      </c>
      <c r="G311" s="101">
        <f>Masters!I315</f>
        <v>3</v>
      </c>
      <c r="H311" s="101">
        <f>Masters!J315</f>
        <v>3</v>
      </c>
      <c r="I311" s="101">
        <f>Masters!K315</f>
        <v>4</v>
      </c>
      <c r="J311" s="101">
        <f>Masters!L315</f>
        <v>3</v>
      </c>
      <c r="K311" s="101">
        <f>Masters!M315</f>
        <v>3</v>
      </c>
      <c r="L311" s="101">
        <f>Masters!N315</f>
        <v>3</v>
      </c>
    </row>
    <row r="312">
      <c r="A312" s="101">
        <f>Masters!C316</f>
        <v>5243</v>
      </c>
      <c r="B312" s="102" t="str">
        <f>Masters!D316</f>
        <v>Exhibit Designers</v>
      </c>
      <c r="C312" s="102" t="str">
        <f>Masters!E316</f>
        <v>Theatre, fashion, exhibit and other creative designers</v>
      </c>
      <c r="D312" s="101">
        <f>Masters!F316</f>
        <v>2</v>
      </c>
      <c r="E312" s="101">
        <f>Masters!G316</f>
        <v>3</v>
      </c>
      <c r="F312" s="101">
        <f>Masters!H316</f>
        <v>3</v>
      </c>
      <c r="G312" s="101">
        <f>Masters!I316</f>
        <v>2</v>
      </c>
      <c r="H312" s="101">
        <f>Masters!J316</f>
        <v>3</v>
      </c>
      <c r="I312" s="101">
        <f>Masters!K316</f>
        <v>4</v>
      </c>
      <c r="J312" s="101">
        <f>Masters!L316</f>
        <v>3</v>
      </c>
      <c r="K312" s="101">
        <f>Masters!M316</f>
        <v>3</v>
      </c>
      <c r="L312" s="101">
        <f>Masters!N316</f>
        <v>3</v>
      </c>
    </row>
    <row r="313">
      <c r="A313" s="101">
        <f>Masters!C317</f>
        <v>9472</v>
      </c>
      <c r="B313" s="102" t="str">
        <f>Masters!D317</f>
        <v>File Preparation Operators</v>
      </c>
      <c r="C313" s="102" t="str">
        <f>Masters!E317</f>
        <v>Camera, platemaking and other prepress occupations</v>
      </c>
      <c r="D313" s="101">
        <f>Masters!F317</f>
        <v>3</v>
      </c>
      <c r="E313" s="101">
        <f>Masters!G317</f>
        <v>3</v>
      </c>
      <c r="F313" s="101">
        <f>Masters!H317</f>
        <v>4</v>
      </c>
      <c r="G313" s="101">
        <f>Masters!I317</f>
        <v>3</v>
      </c>
      <c r="H313" s="101">
        <f>Masters!J317</f>
        <v>3</v>
      </c>
      <c r="I313" s="101">
        <f>Masters!K317</f>
        <v>3</v>
      </c>
      <c r="J313" s="101">
        <f>Masters!L317</f>
        <v>3</v>
      </c>
      <c r="K313" s="101">
        <f>Masters!M317</f>
        <v>3</v>
      </c>
      <c r="L313" s="101">
        <f>Masters!N317</f>
        <v>3</v>
      </c>
    </row>
    <row r="314">
      <c r="A314" s="101">
        <f>Masters!C318</f>
        <v>2271</v>
      </c>
      <c r="B314" s="102" t="str">
        <f>Masters!D318</f>
        <v>Flight Engineers (Second Officers)</v>
      </c>
      <c r="C314" s="102" t="str">
        <f>Masters!E318</f>
        <v>Air pilots, flight engineers and flying instructors</v>
      </c>
      <c r="D314" s="101">
        <f>Masters!F318</f>
        <v>2</v>
      </c>
      <c r="E314" s="101">
        <f>Masters!G318</f>
        <v>2</v>
      </c>
      <c r="F314" s="101">
        <f>Masters!H318</f>
        <v>2</v>
      </c>
      <c r="G314" s="101">
        <f>Masters!I318</f>
        <v>1</v>
      </c>
      <c r="H314" s="101">
        <f>Masters!J318</f>
        <v>2</v>
      </c>
      <c r="I314" s="101">
        <f>Masters!K318</f>
        <v>3</v>
      </c>
      <c r="J314" s="101">
        <f>Masters!L318</f>
        <v>2</v>
      </c>
      <c r="K314" s="101">
        <f>Masters!M318</f>
        <v>3</v>
      </c>
      <c r="L314" s="101">
        <f>Masters!N318</f>
        <v>3</v>
      </c>
    </row>
    <row r="315">
      <c r="A315" s="101">
        <f>Masters!C319</f>
        <v>2271</v>
      </c>
      <c r="B315" s="102" t="str">
        <f>Masters!D319</f>
        <v>Flying Instructors</v>
      </c>
      <c r="C315" s="102" t="str">
        <f>Masters!E319</f>
        <v>Air pilots, flight engineers and flying instructors</v>
      </c>
      <c r="D315" s="101">
        <f>Masters!F319</f>
        <v>2</v>
      </c>
      <c r="E315" s="101">
        <f>Masters!G319</f>
        <v>2</v>
      </c>
      <c r="F315" s="101">
        <f>Masters!H319</f>
        <v>2</v>
      </c>
      <c r="G315" s="101">
        <f>Masters!I319</f>
        <v>1</v>
      </c>
      <c r="H315" s="101">
        <f>Masters!J319</f>
        <v>2</v>
      </c>
      <c r="I315" s="101">
        <f>Masters!K319</f>
        <v>3</v>
      </c>
      <c r="J315" s="101">
        <f>Masters!L319</f>
        <v>2</v>
      </c>
      <c r="K315" s="101">
        <f>Masters!M319</f>
        <v>3</v>
      </c>
      <c r="L315" s="101">
        <f>Masters!N319</f>
        <v>3</v>
      </c>
    </row>
    <row r="316">
      <c r="A316" s="101">
        <f>Masters!C320</f>
        <v>2223</v>
      </c>
      <c r="B316" s="102" t="str">
        <f>Masters!D320</f>
        <v>Forestry Technologists and Technicians</v>
      </c>
      <c r="C316" s="102" t="str">
        <f>Masters!E320</f>
        <v>Forestry technologists and technicians</v>
      </c>
      <c r="D316" s="101">
        <f>Masters!F320</f>
        <v>2</v>
      </c>
      <c r="E316" s="101">
        <f>Masters!G320</f>
        <v>3</v>
      </c>
      <c r="F316" s="101">
        <f>Masters!H320</f>
        <v>3</v>
      </c>
      <c r="G316" s="101">
        <f>Masters!I320</f>
        <v>3</v>
      </c>
      <c r="H316" s="101">
        <f>Masters!J320</f>
        <v>3</v>
      </c>
      <c r="I316" s="101">
        <f>Masters!K320</f>
        <v>3</v>
      </c>
      <c r="J316" s="101">
        <f>Masters!L320</f>
        <v>3</v>
      </c>
      <c r="K316" s="101">
        <f>Masters!M320</f>
        <v>3</v>
      </c>
      <c r="L316" s="101">
        <f>Masters!N320</f>
        <v>3</v>
      </c>
    </row>
    <row r="317">
      <c r="A317" s="101">
        <f>Masters!C321</f>
        <v>5241</v>
      </c>
      <c r="B317" s="102" t="str">
        <f>Masters!D321</f>
        <v>Graphic Designers</v>
      </c>
      <c r="C317" s="102" t="str">
        <f>Masters!E321</f>
        <v>Graphic designers and illustrators</v>
      </c>
      <c r="D317" s="101">
        <f>Masters!F321</f>
        <v>2</v>
      </c>
      <c r="E317" s="101">
        <f>Masters!G321</f>
        <v>3</v>
      </c>
      <c r="F317" s="101">
        <f>Masters!H321</f>
        <v>3</v>
      </c>
      <c r="G317" s="101">
        <f>Masters!I321</f>
        <v>2</v>
      </c>
      <c r="H317" s="101">
        <f>Masters!J321</f>
        <v>2</v>
      </c>
      <c r="I317" s="101">
        <f>Masters!K321</f>
        <v>3</v>
      </c>
      <c r="J317" s="101">
        <f>Masters!L321</f>
        <v>2</v>
      </c>
      <c r="K317" s="101">
        <f>Masters!M321</f>
        <v>2</v>
      </c>
      <c r="L317" s="101">
        <f>Masters!N321</f>
        <v>3</v>
      </c>
    </row>
    <row r="318">
      <c r="A318" s="101">
        <f>Masters!C322</f>
        <v>6346</v>
      </c>
      <c r="B318" s="102" t="str">
        <f>Masters!D322</f>
        <v>Embalmers</v>
      </c>
      <c r="C318" s="102" t="str">
        <f>Masters!E322</f>
        <v>Funeral directors and embalmers</v>
      </c>
      <c r="D318" s="101">
        <f>Masters!F322</f>
        <v>3</v>
      </c>
      <c r="E318" s="101">
        <f>Masters!G322</f>
        <v>4</v>
      </c>
      <c r="F318" s="101">
        <f>Masters!H322</f>
        <v>4</v>
      </c>
      <c r="G318" s="101">
        <f>Masters!I322</f>
        <v>3</v>
      </c>
      <c r="H318" s="101">
        <f>Masters!J322</f>
        <v>3</v>
      </c>
      <c r="I318" s="101">
        <f>Masters!K322</f>
        <v>4</v>
      </c>
      <c r="J318" s="101">
        <f>Masters!L322</f>
        <v>3</v>
      </c>
      <c r="K318" s="101">
        <f>Masters!M322</f>
        <v>3</v>
      </c>
      <c r="L318" s="101">
        <f>Masters!N322</f>
        <v>3</v>
      </c>
    </row>
    <row r="319">
      <c r="A319" s="101">
        <f>Masters!C323</f>
        <v>5241</v>
      </c>
      <c r="B319" s="102" t="str">
        <f>Masters!D323</f>
        <v>Illustrators</v>
      </c>
      <c r="C319" s="102" t="str">
        <f>Masters!E323</f>
        <v>Graphic designers and illustrators</v>
      </c>
      <c r="D319" s="101">
        <f>Masters!F323</f>
        <v>2</v>
      </c>
      <c r="E319" s="101">
        <f>Masters!G323</f>
        <v>3</v>
      </c>
      <c r="F319" s="101">
        <f>Masters!H323</f>
        <v>3</v>
      </c>
      <c r="G319" s="101">
        <f>Masters!I323</f>
        <v>2</v>
      </c>
      <c r="H319" s="101">
        <f>Masters!J323</f>
        <v>2</v>
      </c>
      <c r="I319" s="101">
        <f>Masters!K323</f>
        <v>3</v>
      </c>
      <c r="J319" s="101">
        <f>Masters!L323</f>
        <v>2</v>
      </c>
      <c r="K319" s="101">
        <f>Masters!M323</f>
        <v>2</v>
      </c>
      <c r="L319" s="101">
        <f>Masters!N323</f>
        <v>3</v>
      </c>
    </row>
    <row r="320">
      <c r="A320" s="101">
        <f>Masters!C324</f>
        <v>2225</v>
      </c>
      <c r="B320" s="102" t="str">
        <f>Masters!D324</f>
        <v>Landscape Designers and Landscape Architectural Technicians and Technologists</v>
      </c>
      <c r="C320" s="102" t="str">
        <f>Masters!E324</f>
        <v>Landscape and horticulture technicians and specialists</v>
      </c>
      <c r="D320" s="101">
        <f>Masters!F324</f>
        <v>2</v>
      </c>
      <c r="E320" s="101">
        <f>Masters!G324</f>
        <v>3</v>
      </c>
      <c r="F320" s="101">
        <f>Masters!H324</f>
        <v>3</v>
      </c>
      <c r="G320" s="101">
        <f>Masters!I324</f>
        <v>2</v>
      </c>
      <c r="H320" s="101">
        <f>Masters!J324</f>
        <v>3</v>
      </c>
      <c r="I320" s="101">
        <f>Masters!K324</f>
        <v>4</v>
      </c>
      <c r="J320" s="101">
        <f>Masters!L324</f>
        <v>3</v>
      </c>
      <c r="K320" s="101">
        <f>Masters!M324</f>
        <v>3</v>
      </c>
      <c r="L320" s="101">
        <f>Masters!N324</f>
        <v>3</v>
      </c>
    </row>
    <row r="321">
      <c r="A321" s="101">
        <f>Masters!C325</f>
        <v>7384</v>
      </c>
      <c r="B321" s="102" t="str">
        <f>Masters!D325</f>
        <v>Gunsmiths</v>
      </c>
      <c r="C321" s="102" t="str">
        <f>Masters!E325</f>
        <v>Other trades and related occupations, n.e.c.</v>
      </c>
      <c r="D321" s="101">
        <f>Masters!F325</f>
        <v>3</v>
      </c>
      <c r="E321" s="101">
        <f>Masters!G325</f>
        <v>4</v>
      </c>
      <c r="F321" s="101">
        <f>Masters!H325</f>
        <v>4</v>
      </c>
      <c r="G321" s="101">
        <f>Masters!I325</f>
        <v>3</v>
      </c>
      <c r="H321" s="101">
        <f>Masters!J325</f>
        <v>3</v>
      </c>
      <c r="I321" s="101">
        <f>Masters!K325</f>
        <v>4</v>
      </c>
      <c r="J321" s="101">
        <f>Masters!L325</f>
        <v>3</v>
      </c>
      <c r="K321" s="101">
        <f>Masters!M325</f>
        <v>3</v>
      </c>
      <c r="L321" s="101">
        <f>Masters!N325</f>
        <v>3</v>
      </c>
    </row>
    <row r="322">
      <c r="A322" s="101">
        <f>Masters!C326</f>
        <v>1423</v>
      </c>
      <c r="B322" s="102" t="str">
        <f>Masters!D326</f>
        <v>Markup Persons</v>
      </c>
      <c r="C322" s="102" t="str">
        <f>Masters!E326</f>
        <v>Desktop publishing operators and related occupations</v>
      </c>
      <c r="D322" s="101">
        <f>Masters!F326</f>
        <v>3</v>
      </c>
      <c r="E322" s="101">
        <f>Masters!G326</f>
        <v>3</v>
      </c>
      <c r="F322" s="101">
        <f>Masters!H326</f>
        <v>4</v>
      </c>
      <c r="G322" s="101">
        <f>Masters!I326</f>
        <v>3</v>
      </c>
      <c r="H322" s="101">
        <f>Masters!J326</f>
        <v>3</v>
      </c>
      <c r="I322" s="101">
        <f>Masters!K326</f>
        <v>3</v>
      </c>
      <c r="J322" s="101">
        <f>Masters!L326</f>
        <v>3</v>
      </c>
      <c r="K322" s="101">
        <f>Masters!M326</f>
        <v>3</v>
      </c>
      <c r="L322" s="101">
        <f>Masters!N326</f>
        <v>3</v>
      </c>
    </row>
    <row r="323">
      <c r="A323" s="101">
        <f>Masters!C327</f>
        <v>7312</v>
      </c>
      <c r="B323" s="102" t="str">
        <f>Masters!D327</f>
        <v>Heavy-Duty Equipment Mechanics</v>
      </c>
      <c r="C323" s="102" t="str">
        <f>Masters!E327</f>
        <v>Heavy-duty equipment mechanics</v>
      </c>
      <c r="D323" s="101">
        <f>Masters!F327</f>
        <v>3</v>
      </c>
      <c r="E323" s="101">
        <f>Masters!G327</f>
        <v>4</v>
      </c>
      <c r="F323" s="101">
        <f>Masters!H327</f>
        <v>3</v>
      </c>
      <c r="G323" s="101">
        <f>Masters!I327</f>
        <v>3</v>
      </c>
      <c r="H323" s="101">
        <f>Masters!J327</f>
        <v>2</v>
      </c>
      <c r="I323" s="101">
        <f>Masters!K327</f>
        <v>4</v>
      </c>
      <c r="J323" s="101">
        <f>Masters!L327</f>
        <v>3</v>
      </c>
      <c r="K323" s="101">
        <f>Masters!M327</f>
        <v>3</v>
      </c>
      <c r="L323" s="101">
        <f>Masters!N327</f>
        <v>3</v>
      </c>
    </row>
    <row r="324">
      <c r="A324" s="101">
        <f>Masters!C328</f>
        <v>9412</v>
      </c>
      <c r="B324" s="102" t="str">
        <f>Masters!D328</f>
        <v>Manual Mouldmakers</v>
      </c>
      <c r="C324" s="102" t="str">
        <f>Masters!E328</f>
        <v>Foundry workers</v>
      </c>
      <c r="D324" s="101">
        <f>Masters!F328</f>
        <v>3</v>
      </c>
      <c r="E324" s="101">
        <f>Masters!G328</f>
        <v>4</v>
      </c>
      <c r="F324" s="101">
        <f>Masters!H328</f>
        <v>4</v>
      </c>
      <c r="G324" s="101">
        <f>Masters!I328</f>
        <v>3</v>
      </c>
      <c r="H324" s="101">
        <f>Masters!J328</f>
        <v>3</v>
      </c>
      <c r="I324" s="101">
        <f>Masters!K328</f>
        <v>4</v>
      </c>
      <c r="J324" s="101">
        <f>Masters!L328</f>
        <v>3</v>
      </c>
      <c r="K324" s="101">
        <f>Masters!M328</f>
        <v>3</v>
      </c>
      <c r="L324" s="101">
        <f>Masters!N328</f>
        <v>3</v>
      </c>
    </row>
    <row r="325">
      <c r="A325" s="101">
        <f>Masters!C329</f>
        <v>7322</v>
      </c>
      <c r="B325" s="102" t="str">
        <f>Masters!D329</f>
        <v>Motor Vehicle Body Repairers</v>
      </c>
      <c r="C325" s="102" t="str">
        <f>Masters!E329</f>
        <v>Motor vehicle body repairers</v>
      </c>
      <c r="D325" s="101">
        <f>Masters!F329</f>
        <v>3</v>
      </c>
      <c r="E325" s="101">
        <f>Masters!G329</f>
        <v>4</v>
      </c>
      <c r="F325" s="101">
        <f>Masters!H329</f>
        <v>4</v>
      </c>
      <c r="G325" s="101">
        <f>Masters!I329</f>
        <v>3</v>
      </c>
      <c r="H325" s="101">
        <f>Masters!J329</f>
        <v>3</v>
      </c>
      <c r="I325" s="101">
        <f>Masters!K329</f>
        <v>4</v>
      </c>
      <c r="J325" s="101">
        <f>Masters!L329</f>
        <v>3</v>
      </c>
      <c r="K325" s="101">
        <f>Masters!M329</f>
        <v>3</v>
      </c>
      <c r="L325" s="101">
        <f>Masters!N329</f>
        <v>3</v>
      </c>
    </row>
    <row r="326">
      <c r="A326" s="101">
        <f>Masters!C330</f>
        <v>7331</v>
      </c>
      <c r="B326" s="102" t="str">
        <f>Masters!D330</f>
        <v>Oil and Solid Fuel Heating Mechanics</v>
      </c>
      <c r="C326" s="102" t="str">
        <f>Masters!E330</f>
        <v>Oil and solid fuel heating mechanics</v>
      </c>
      <c r="D326" s="101">
        <f>Masters!F330</f>
        <v>3</v>
      </c>
      <c r="E326" s="101">
        <f>Masters!G330</f>
        <v>4</v>
      </c>
      <c r="F326" s="101">
        <f>Masters!H330</f>
        <v>4</v>
      </c>
      <c r="G326" s="101">
        <f>Masters!I330</f>
        <v>3</v>
      </c>
      <c r="H326" s="101">
        <f>Masters!J330</f>
        <v>3</v>
      </c>
      <c r="I326" s="101">
        <f>Masters!K330</f>
        <v>4</v>
      </c>
      <c r="J326" s="101">
        <f>Masters!L330</f>
        <v>3</v>
      </c>
      <c r="K326" s="101">
        <f>Masters!M330</f>
        <v>3</v>
      </c>
      <c r="L326" s="101">
        <f>Masters!N330</f>
        <v>3</v>
      </c>
    </row>
    <row r="327">
      <c r="A327" s="101">
        <f>Masters!C331</f>
        <v>2271</v>
      </c>
      <c r="B327" s="102" t="str">
        <f>Masters!D331</f>
        <v>Pilots</v>
      </c>
      <c r="C327" s="102" t="str">
        <f>Masters!E331</f>
        <v>Air pilots, flight engineers and flying instructors</v>
      </c>
      <c r="D327" s="101">
        <f>Masters!F331</f>
        <v>2</v>
      </c>
      <c r="E327" s="101">
        <f>Masters!G331</f>
        <v>2</v>
      </c>
      <c r="F327" s="101">
        <f>Masters!H331</f>
        <v>2</v>
      </c>
      <c r="G327" s="101">
        <f>Masters!I331</f>
        <v>1</v>
      </c>
      <c r="H327" s="101">
        <f>Masters!J331</f>
        <v>2</v>
      </c>
      <c r="I327" s="101">
        <f>Masters!K331</f>
        <v>3</v>
      </c>
      <c r="J327" s="101">
        <f>Masters!L331</f>
        <v>2</v>
      </c>
      <c r="K327" s="101">
        <f>Masters!M331</f>
        <v>3</v>
      </c>
      <c r="L327" s="101">
        <f>Masters!N331</f>
        <v>3</v>
      </c>
    </row>
    <row r="328">
      <c r="A328" s="101">
        <f>Masters!C332</f>
        <v>9472</v>
      </c>
      <c r="B328" s="102" t="str">
        <f>Masters!D332</f>
        <v>Pre-flight Operators</v>
      </c>
      <c r="C328" s="102" t="str">
        <f>Masters!E332</f>
        <v>Camera, platemaking and other prepress occupations</v>
      </c>
      <c r="D328" s="101">
        <f>Masters!F332</f>
        <v>3</v>
      </c>
      <c r="E328" s="101">
        <f>Masters!G332</f>
        <v>3</v>
      </c>
      <c r="F328" s="101">
        <f>Masters!H332</f>
        <v>4</v>
      </c>
      <c r="G328" s="101">
        <f>Masters!I332</f>
        <v>3</v>
      </c>
      <c r="H328" s="101">
        <f>Masters!J332</f>
        <v>3</v>
      </c>
      <c r="I328" s="101">
        <f>Masters!K332</f>
        <v>3</v>
      </c>
      <c r="J328" s="101">
        <f>Masters!L332</f>
        <v>3</v>
      </c>
      <c r="K328" s="101">
        <f>Masters!M332</f>
        <v>3</v>
      </c>
      <c r="L328" s="101">
        <f>Masters!N332</f>
        <v>3</v>
      </c>
    </row>
    <row r="329">
      <c r="A329" s="101">
        <f>Masters!C333</f>
        <v>7381</v>
      </c>
      <c r="B329" s="102" t="str">
        <f>Masters!D333</f>
        <v>Printing Press Operators</v>
      </c>
      <c r="C329" s="102" t="str">
        <f>Masters!E333</f>
        <v>Printing press operators</v>
      </c>
      <c r="D329" s="101">
        <f>Masters!F333</f>
        <v>3</v>
      </c>
      <c r="E329" s="101">
        <f>Masters!G333</f>
        <v>3</v>
      </c>
      <c r="F329" s="101">
        <f>Masters!H333</f>
        <v>4</v>
      </c>
      <c r="G329" s="101">
        <f>Masters!I333</f>
        <v>3</v>
      </c>
      <c r="H329" s="101">
        <f>Masters!J333</f>
        <v>3</v>
      </c>
      <c r="I329" s="101">
        <f>Masters!K333</f>
        <v>3</v>
      </c>
      <c r="J329" s="101">
        <f>Masters!L333</f>
        <v>3</v>
      </c>
      <c r="K329" s="101">
        <f>Masters!M333</f>
        <v>3</v>
      </c>
      <c r="L329" s="101">
        <f>Masters!N333</f>
        <v>3</v>
      </c>
    </row>
    <row r="330">
      <c r="A330" s="101">
        <f>Masters!C334</f>
        <v>3219</v>
      </c>
      <c r="B330" s="102" t="str">
        <f>Masters!D334</f>
        <v>Prosthetists and Orthotists</v>
      </c>
      <c r="C330" s="102" t="str">
        <f>Masters!E334</f>
        <v>Other medical technologists and technicians (except dental health)</v>
      </c>
      <c r="D330" s="101">
        <f>Masters!F334</f>
        <v>2</v>
      </c>
      <c r="E330" s="101">
        <f>Masters!G334</f>
        <v>3</v>
      </c>
      <c r="F330" s="101">
        <f>Masters!H334</f>
        <v>3</v>
      </c>
      <c r="G330" s="101">
        <f>Masters!I334</f>
        <v>2</v>
      </c>
      <c r="H330" s="101">
        <f>Masters!J334</f>
        <v>3</v>
      </c>
      <c r="I330" s="101">
        <f>Masters!K334</f>
        <v>4</v>
      </c>
      <c r="J330" s="101">
        <f>Masters!L334</f>
        <v>3</v>
      </c>
      <c r="K330" s="101">
        <f>Masters!M334</f>
        <v>3</v>
      </c>
      <c r="L330" s="101">
        <f>Masters!N334</f>
        <v>3</v>
      </c>
    </row>
    <row r="331">
      <c r="A331" s="101">
        <f>Masters!C335</f>
        <v>5232</v>
      </c>
      <c r="B331" s="102" t="str">
        <f>Masters!D335</f>
        <v>Puppeteers</v>
      </c>
      <c r="C331" s="102" t="str">
        <f>Masters!E335</f>
        <v>Other performers, n.e.c.</v>
      </c>
      <c r="D331" s="101">
        <f>Masters!F335</f>
        <v>3</v>
      </c>
      <c r="E331" s="101">
        <f>Masters!G335</f>
        <v>3</v>
      </c>
      <c r="F331" s="101">
        <f>Masters!H335</f>
        <v>4</v>
      </c>
      <c r="G331" s="101">
        <f>Masters!I335</f>
        <v>2</v>
      </c>
      <c r="H331" s="101">
        <f>Masters!J335</f>
        <v>4</v>
      </c>
      <c r="I331" s="101">
        <f>Masters!K335</f>
        <v>4</v>
      </c>
      <c r="J331" s="101">
        <f>Masters!L335</f>
        <v>2</v>
      </c>
      <c r="K331" s="101">
        <f>Masters!M335</f>
        <v>2</v>
      </c>
      <c r="L331" s="101">
        <f>Masters!N335</f>
        <v>2</v>
      </c>
    </row>
    <row r="332">
      <c r="A332" s="101">
        <f>Masters!C336</f>
        <v>7445</v>
      </c>
      <c r="B332" s="102" t="str">
        <f>Masters!D336</f>
        <v>Other Repairers and Servicers</v>
      </c>
      <c r="C332" s="102" t="str">
        <f>Masters!E336</f>
        <v>Other repairers and servicers</v>
      </c>
      <c r="D332" s="101">
        <f>Masters!F336</f>
        <v>3</v>
      </c>
      <c r="E332" s="101">
        <f>Masters!G336</f>
        <v>4</v>
      </c>
      <c r="F332" s="101">
        <f>Masters!H336</f>
        <v>4</v>
      </c>
      <c r="G332" s="101">
        <f>Masters!I336</f>
        <v>3</v>
      </c>
      <c r="H332" s="101">
        <f>Masters!J336</f>
        <v>3</v>
      </c>
      <c r="I332" s="101">
        <f>Masters!K336</f>
        <v>4</v>
      </c>
      <c r="J332" s="101">
        <f>Masters!L336</f>
        <v>3</v>
      </c>
      <c r="K332" s="101">
        <f>Masters!M336</f>
        <v>3</v>
      </c>
      <c r="L332" s="101">
        <f>Masters!N336</f>
        <v>3</v>
      </c>
    </row>
    <row r="333">
      <c r="A333" s="101">
        <f>Masters!C337</f>
        <v>4216</v>
      </c>
      <c r="B333" s="102" t="str">
        <f>Masters!D337</f>
        <v>Sewing Instructors</v>
      </c>
      <c r="C333" s="102" t="str">
        <f>Masters!E337</f>
        <v>Other instructors</v>
      </c>
      <c r="D333" s="101">
        <f>Masters!F337</f>
        <v>3</v>
      </c>
      <c r="E333" s="101">
        <f>Masters!G337</f>
        <v>3</v>
      </c>
      <c r="F333" s="101">
        <f>Masters!H337</f>
        <v>4</v>
      </c>
      <c r="G333" s="101">
        <f>Masters!I337</f>
        <v>2</v>
      </c>
      <c r="H333" s="101">
        <f>Masters!J337</f>
        <v>3</v>
      </c>
      <c r="I333" s="101">
        <f>Masters!K337</f>
        <v>4</v>
      </c>
      <c r="J333" s="101">
        <f>Masters!L337</f>
        <v>3</v>
      </c>
      <c r="K333" s="101">
        <f>Masters!M337</f>
        <v>3</v>
      </c>
      <c r="L333" s="101">
        <f>Masters!N337</f>
        <v>3</v>
      </c>
    </row>
    <row r="334">
      <c r="A334" s="101">
        <f>Masters!C338</f>
        <v>9474</v>
      </c>
      <c r="B334" s="102" t="str">
        <f>Masters!D338</f>
        <v>Photographic and Film Processors</v>
      </c>
      <c r="C334" s="102" t="str">
        <f>Masters!E338</f>
        <v>Photographic and film processors</v>
      </c>
      <c r="D334" s="101">
        <f>Masters!F338</f>
        <v>3</v>
      </c>
      <c r="E334" s="101">
        <f>Masters!G338</f>
        <v>4</v>
      </c>
      <c r="F334" s="101">
        <f>Masters!H338</f>
        <v>4</v>
      </c>
      <c r="G334" s="101">
        <f>Masters!I338</f>
        <v>3</v>
      </c>
      <c r="H334" s="101">
        <f>Masters!J338</f>
        <v>3</v>
      </c>
      <c r="I334" s="101">
        <f>Masters!K338</f>
        <v>4</v>
      </c>
      <c r="J334" s="101">
        <f>Masters!L338</f>
        <v>3</v>
      </c>
      <c r="K334" s="101">
        <f>Masters!M338</f>
        <v>3</v>
      </c>
      <c r="L334" s="101">
        <f>Masters!N338</f>
        <v>3</v>
      </c>
    </row>
    <row r="335">
      <c r="A335" s="101">
        <f>Masters!C339</f>
        <v>7303</v>
      </c>
      <c r="B335" s="102" t="str">
        <f>Masters!D339</f>
        <v>Supervisors, Printing and Related Occupations</v>
      </c>
      <c r="C335" s="102" t="str">
        <f>Masters!E339</f>
        <v>Supervisors, printing and related occupations</v>
      </c>
      <c r="D335" s="101">
        <f>Masters!F339</f>
        <v>3</v>
      </c>
      <c r="E335" s="101">
        <f>Masters!G339</f>
        <v>3</v>
      </c>
      <c r="F335" s="101">
        <f>Masters!H339</f>
        <v>4</v>
      </c>
      <c r="G335" s="101">
        <f>Masters!I339</f>
        <v>3</v>
      </c>
      <c r="H335" s="101">
        <f>Masters!J339</f>
        <v>3</v>
      </c>
      <c r="I335" s="101">
        <f>Masters!K339</f>
        <v>3</v>
      </c>
      <c r="J335" s="101">
        <f>Masters!L339</f>
        <v>3</v>
      </c>
      <c r="K335" s="101">
        <f>Masters!M339</f>
        <v>3</v>
      </c>
      <c r="L335" s="101">
        <f>Masters!N339</f>
        <v>3</v>
      </c>
    </row>
    <row r="336">
      <c r="A336" s="101">
        <f>Masters!C340</f>
        <v>5243</v>
      </c>
      <c r="B336" s="102" t="str">
        <f>Masters!D340</f>
        <v>Theatre Designers</v>
      </c>
      <c r="C336" s="102" t="str">
        <f>Masters!E340</f>
        <v>Theatre, fashion, exhibit and other creative designers</v>
      </c>
      <c r="D336" s="101">
        <f>Masters!F340</f>
        <v>2</v>
      </c>
      <c r="E336" s="101">
        <f>Masters!G340</f>
        <v>3</v>
      </c>
      <c r="F336" s="101">
        <f>Masters!H340</f>
        <v>3</v>
      </c>
      <c r="G336" s="101">
        <f>Masters!I340</f>
        <v>2</v>
      </c>
      <c r="H336" s="101">
        <f>Masters!J340</f>
        <v>3</v>
      </c>
      <c r="I336" s="101">
        <f>Masters!K340</f>
        <v>4</v>
      </c>
      <c r="J336" s="101">
        <f>Masters!L340</f>
        <v>3</v>
      </c>
      <c r="K336" s="101">
        <f>Masters!M340</f>
        <v>3</v>
      </c>
      <c r="L336" s="101">
        <f>Masters!N340</f>
        <v>3</v>
      </c>
    </row>
    <row r="337">
      <c r="A337" s="101">
        <f>Masters!C341</f>
        <v>1423</v>
      </c>
      <c r="B337" s="102" t="str">
        <f>Masters!D341</f>
        <v>Typesetting Input Operators</v>
      </c>
      <c r="C337" s="102" t="str">
        <f>Masters!E341</f>
        <v>Desktop publishing operators and related occupations</v>
      </c>
      <c r="D337" s="101">
        <f>Masters!F341</f>
        <v>3</v>
      </c>
      <c r="E337" s="101">
        <f>Masters!G341</f>
        <v>3</v>
      </c>
      <c r="F337" s="101">
        <f>Masters!H341</f>
        <v>4</v>
      </c>
      <c r="G337" s="101">
        <f>Masters!I341</f>
        <v>3</v>
      </c>
      <c r="H337" s="101">
        <f>Masters!J341</f>
        <v>3</v>
      </c>
      <c r="I337" s="101">
        <f>Masters!K341</f>
        <v>3</v>
      </c>
      <c r="J337" s="101">
        <f>Masters!L341</f>
        <v>3</v>
      </c>
      <c r="K337" s="101">
        <f>Masters!M341</f>
        <v>3</v>
      </c>
      <c r="L337" s="101">
        <f>Masters!N341</f>
        <v>3</v>
      </c>
    </row>
    <row r="338">
      <c r="A338" s="101">
        <f>Masters!C342</f>
        <v>1423</v>
      </c>
      <c r="B338" s="102" t="str">
        <f>Masters!D342</f>
        <v>Typesetting Output Operators</v>
      </c>
      <c r="C338" s="102" t="str">
        <f>Masters!E342</f>
        <v>Desktop publishing operators and related occupations</v>
      </c>
      <c r="D338" s="101">
        <f>Masters!F342</f>
        <v>3</v>
      </c>
      <c r="E338" s="101">
        <f>Masters!G342</f>
        <v>3</v>
      </c>
      <c r="F338" s="101">
        <f>Masters!H342</f>
        <v>4</v>
      </c>
      <c r="G338" s="101">
        <f>Masters!I342</f>
        <v>3</v>
      </c>
      <c r="H338" s="101">
        <f>Masters!J342</f>
        <v>3</v>
      </c>
      <c r="I338" s="101">
        <f>Masters!K342</f>
        <v>3</v>
      </c>
      <c r="J338" s="101">
        <f>Masters!L342</f>
        <v>3</v>
      </c>
      <c r="K338" s="101">
        <f>Masters!M342</f>
        <v>3</v>
      </c>
      <c r="L338" s="101">
        <f>Masters!N342</f>
        <v>3</v>
      </c>
    </row>
    <row r="339">
      <c r="A339" s="101">
        <f>Masters!C343</f>
        <v>7314</v>
      </c>
      <c r="B339" s="102" t="str">
        <f>Masters!D343</f>
        <v>Railway Carmen/women</v>
      </c>
      <c r="C339" s="102" t="str">
        <f>Masters!E343</f>
        <v>Railway carmen/women</v>
      </c>
      <c r="D339" s="101">
        <f>Masters!F343</f>
        <v>3</v>
      </c>
      <c r="E339" s="101">
        <f>Masters!G343</f>
        <v>4</v>
      </c>
      <c r="F339" s="101">
        <f>Masters!H343</f>
        <v>4</v>
      </c>
      <c r="G339" s="101">
        <f>Masters!I343</f>
        <v>3</v>
      </c>
      <c r="H339" s="101">
        <f>Masters!J343</f>
        <v>3</v>
      </c>
      <c r="I339" s="101">
        <f>Masters!K343</f>
        <v>4</v>
      </c>
      <c r="J339" s="101">
        <f>Masters!L343</f>
        <v>3</v>
      </c>
      <c r="K339" s="101">
        <f>Masters!M343</f>
        <v>3</v>
      </c>
      <c r="L339" s="101">
        <f>Masters!N343</f>
        <v>3</v>
      </c>
    </row>
    <row r="340">
      <c r="A340" s="101">
        <f>Masters!C344</f>
        <v>9521</v>
      </c>
      <c r="B340" s="102" t="str">
        <f>Masters!D344</f>
        <v>Aircraft Assembly Inspectors</v>
      </c>
      <c r="C340" s="102" t="str">
        <f>Masters!E344</f>
        <v>Aircraft assemblers and aircraft assembly inspectors</v>
      </c>
      <c r="D340" s="101">
        <f>Masters!F344</f>
        <v>3</v>
      </c>
      <c r="E340" s="101">
        <f>Masters!G344</f>
        <v>3</v>
      </c>
      <c r="F340" s="101">
        <f>Masters!H344</f>
        <v>3</v>
      </c>
      <c r="G340" s="101">
        <f>Masters!I344</f>
        <v>3</v>
      </c>
      <c r="H340" s="101">
        <f>Masters!J344</f>
        <v>3</v>
      </c>
      <c r="I340" s="101">
        <f>Masters!K344</f>
        <v>3</v>
      </c>
      <c r="J340" s="101">
        <f>Masters!L344</f>
        <v>3</v>
      </c>
      <c r="K340" s="101">
        <f>Masters!M344</f>
        <v>3</v>
      </c>
      <c r="L340" s="101">
        <f>Masters!N344</f>
        <v>3</v>
      </c>
    </row>
    <row r="341">
      <c r="A341" s="101">
        <f>Masters!C345</f>
        <v>5136</v>
      </c>
      <c r="B341" s="102" t="str">
        <f>Masters!D345</f>
        <v>Art Instructors and Teachers</v>
      </c>
      <c r="C341" s="102" t="str">
        <f>Masters!E345</f>
        <v>Painters, sculptors and other visual artists</v>
      </c>
      <c r="D341" s="101">
        <f>Masters!F345</f>
        <v>2</v>
      </c>
      <c r="E341" s="101">
        <f>Masters!G345</f>
        <v>2</v>
      </c>
      <c r="F341" s="101">
        <f>Masters!H345</f>
        <v>4</v>
      </c>
      <c r="G341" s="101">
        <f>Masters!I345</f>
        <v>2</v>
      </c>
      <c r="H341" s="101">
        <f>Masters!J345</f>
        <v>2</v>
      </c>
      <c r="I341" s="101">
        <f>Masters!K345</f>
        <v>4</v>
      </c>
      <c r="J341" s="101">
        <f>Masters!L345</f>
        <v>2</v>
      </c>
      <c r="K341" s="101">
        <f>Masters!M345</f>
        <v>2</v>
      </c>
      <c r="L341" s="101">
        <f>Masters!N345</f>
        <v>3</v>
      </c>
    </row>
    <row r="342">
      <c r="A342" s="101">
        <f>Masters!C346</f>
        <v>7311</v>
      </c>
      <c r="B342" s="102" t="str">
        <f>Masters!D346</f>
        <v>Textile Machinery Mechanics and Repairers</v>
      </c>
      <c r="C342" s="102" t="str">
        <f>Masters!E346</f>
        <v>Construction millwrights and industrial mechanics</v>
      </c>
      <c r="D342" s="101">
        <f>Masters!F346</f>
        <v>3</v>
      </c>
      <c r="E342" s="101">
        <f>Masters!G346</f>
        <v>4</v>
      </c>
      <c r="F342" s="101">
        <f>Masters!H346</f>
        <v>3</v>
      </c>
      <c r="G342" s="101">
        <f>Masters!I346</f>
        <v>3</v>
      </c>
      <c r="H342" s="101">
        <f>Masters!J346</f>
        <v>2</v>
      </c>
      <c r="I342" s="101">
        <f>Masters!K346</f>
        <v>4</v>
      </c>
      <c r="J342" s="101">
        <f>Masters!L346</f>
        <v>3</v>
      </c>
      <c r="K342" s="101">
        <f>Masters!M346</f>
        <v>3</v>
      </c>
      <c r="L342" s="101">
        <f>Masters!N346</f>
        <v>3</v>
      </c>
    </row>
    <row r="343">
      <c r="A343" s="101">
        <f>Masters!C347</f>
        <v>7321</v>
      </c>
      <c r="B343" s="102" t="str">
        <f>Masters!D347</f>
        <v>Automotive Service Technicians</v>
      </c>
      <c r="C343" s="102" t="str">
        <f>Masters!E347</f>
        <v>Automotive service technicians, truck and bus mechanics and mechanical repairers</v>
      </c>
      <c r="D343" s="101">
        <f>Masters!F347</f>
        <v>3</v>
      </c>
      <c r="E343" s="101">
        <f>Masters!G347</f>
        <v>3</v>
      </c>
      <c r="F343" s="101">
        <f>Masters!H347</f>
        <v>4</v>
      </c>
      <c r="G343" s="101">
        <f>Masters!I347</f>
        <v>3</v>
      </c>
      <c r="H343" s="101">
        <f>Masters!J347</f>
        <v>3</v>
      </c>
      <c r="I343" s="101">
        <f>Masters!K347</f>
        <v>4</v>
      </c>
      <c r="J343" s="101">
        <f>Masters!L347</f>
        <v>3</v>
      </c>
      <c r="K343" s="101">
        <f>Masters!M347</f>
        <v>3</v>
      </c>
      <c r="L343" s="101">
        <f>Masters!N347</f>
        <v>3</v>
      </c>
    </row>
    <row r="344">
      <c r="A344" s="101">
        <f>Masters!C348</f>
        <v>5224</v>
      </c>
      <c r="B344" s="102" t="str">
        <f>Masters!D348</f>
        <v>Broadcast Technicians</v>
      </c>
      <c r="C344" s="102" t="str">
        <f>Masters!E348</f>
        <v>Broadcast technicians</v>
      </c>
      <c r="D344" s="101">
        <f>Masters!F348</f>
        <v>3</v>
      </c>
      <c r="E344" s="101">
        <f>Masters!G348</f>
        <v>3</v>
      </c>
      <c r="F344" s="101">
        <f>Masters!H348</f>
        <v>4</v>
      </c>
      <c r="G344" s="101">
        <f>Masters!I348</f>
        <v>3</v>
      </c>
      <c r="H344" s="101">
        <f>Masters!J348</f>
        <v>3</v>
      </c>
      <c r="I344" s="101">
        <f>Masters!K348</f>
        <v>4</v>
      </c>
      <c r="J344" s="101">
        <f>Masters!L348</f>
        <v>3</v>
      </c>
      <c r="K344" s="101">
        <f>Masters!M348</f>
        <v>3</v>
      </c>
      <c r="L344" s="101">
        <f>Masters!N348</f>
        <v>3</v>
      </c>
    </row>
    <row r="345">
      <c r="A345" s="101">
        <f>Masters!C349</f>
        <v>8231</v>
      </c>
      <c r="B345" s="102" t="str">
        <f>Masters!D349</f>
        <v>Underground Production and Development Miners</v>
      </c>
      <c r="C345" s="102" t="str">
        <f>Masters!E349</f>
        <v>Underground production and development miners</v>
      </c>
      <c r="D345" s="101">
        <f>Masters!F349</f>
        <v>3</v>
      </c>
      <c r="E345" s="101">
        <f>Masters!G349</f>
        <v>4</v>
      </c>
      <c r="F345" s="101">
        <f>Masters!H349</f>
        <v>4</v>
      </c>
      <c r="G345" s="101">
        <f>Masters!I349</f>
        <v>3</v>
      </c>
      <c r="H345" s="101">
        <f>Masters!J349</f>
        <v>3</v>
      </c>
      <c r="I345" s="101">
        <f>Masters!K349</f>
        <v>4</v>
      </c>
      <c r="J345" s="101">
        <f>Masters!L349</f>
        <v>3</v>
      </c>
      <c r="K345" s="101">
        <f>Masters!M349</f>
        <v>3</v>
      </c>
      <c r="L345" s="101">
        <f>Masters!N349</f>
        <v>3</v>
      </c>
    </row>
    <row r="346">
      <c r="A346" s="101">
        <f>Masters!C350</f>
        <v>5227</v>
      </c>
      <c r="B346" s="102" t="str">
        <f>Masters!D350</f>
        <v>Camera Crane Operators</v>
      </c>
      <c r="C346" s="102" t="str">
        <f>Masters!E350</f>
        <v>Support occupations in motion pictures, broadcasting, photography and the performing arts</v>
      </c>
      <c r="D346" s="101">
        <f>Masters!F350</f>
        <v>3</v>
      </c>
      <c r="E346" s="101">
        <f>Masters!G350</f>
        <v>3</v>
      </c>
      <c r="F346" s="101">
        <f>Masters!H350</f>
        <v>4</v>
      </c>
      <c r="G346" s="101">
        <f>Masters!I350</f>
        <v>3</v>
      </c>
      <c r="H346" s="101">
        <f>Masters!J350</f>
        <v>3</v>
      </c>
      <c r="I346" s="101">
        <f>Masters!K350</f>
        <v>4</v>
      </c>
      <c r="J346" s="101">
        <f>Masters!L350</f>
        <v>3</v>
      </c>
      <c r="K346" s="101">
        <f>Masters!M350</f>
        <v>3</v>
      </c>
      <c r="L346" s="101">
        <f>Masters!N350</f>
        <v>3</v>
      </c>
    </row>
    <row r="347">
      <c r="A347" s="101">
        <f>Masters!C351</f>
        <v>2255</v>
      </c>
      <c r="B347" s="102" t="str">
        <f>Masters!D351</f>
        <v>Cartographic Technologists and Technicians</v>
      </c>
      <c r="C347" s="102" t="str">
        <f>Masters!E351</f>
        <v>Technical occupations in geomatics and meteorology</v>
      </c>
      <c r="D347" s="101">
        <f>Masters!F351</f>
        <v>2</v>
      </c>
      <c r="E347" s="101">
        <f>Masters!G351</f>
        <v>3</v>
      </c>
      <c r="F347" s="101">
        <f>Masters!H351</f>
        <v>2</v>
      </c>
      <c r="G347" s="101">
        <f>Masters!I351</f>
        <v>2</v>
      </c>
      <c r="H347" s="101">
        <f>Masters!J351</f>
        <v>2</v>
      </c>
      <c r="I347" s="101">
        <f>Masters!K351</f>
        <v>3</v>
      </c>
      <c r="J347" s="101">
        <f>Masters!L351</f>
        <v>2</v>
      </c>
      <c r="K347" s="101">
        <f>Masters!M351</f>
        <v>2</v>
      </c>
      <c r="L347" s="101">
        <f>Masters!N351</f>
        <v>3</v>
      </c>
    </row>
    <row r="348">
      <c r="A348" s="101">
        <f>Masters!C352</f>
        <v>2211</v>
      </c>
      <c r="B348" s="102" t="str">
        <f>Masters!D352</f>
        <v>Chemical Technicians</v>
      </c>
      <c r="C348" s="102" t="str">
        <f>Masters!E352</f>
        <v>Chemical technologists and technicians</v>
      </c>
      <c r="D348" s="101">
        <f>Masters!F352</f>
        <v>2</v>
      </c>
      <c r="E348" s="101">
        <f>Masters!G352</f>
        <v>3</v>
      </c>
      <c r="F348" s="101">
        <f>Masters!H352</f>
        <v>3</v>
      </c>
      <c r="G348" s="101">
        <f>Masters!I352</f>
        <v>3</v>
      </c>
      <c r="H348" s="101">
        <f>Masters!J352</f>
        <v>2</v>
      </c>
      <c r="I348" s="101">
        <f>Masters!K352</f>
        <v>3</v>
      </c>
      <c r="J348" s="101">
        <f>Masters!L352</f>
        <v>3</v>
      </c>
      <c r="K348" s="101">
        <f>Masters!M352</f>
        <v>3</v>
      </c>
      <c r="L348" s="101">
        <f>Masters!N352</f>
        <v>3</v>
      </c>
    </row>
    <row r="349">
      <c r="A349" s="101">
        <f>Masters!C353</f>
        <v>3121</v>
      </c>
      <c r="B349" s="102" t="str">
        <f>Masters!D353</f>
        <v>Chiropractors</v>
      </c>
      <c r="C349" s="102" t="str">
        <f>Masters!E353</f>
        <v>Optometrists</v>
      </c>
      <c r="D349" s="101">
        <f>Masters!F353</f>
        <v>2</v>
      </c>
      <c r="E349" s="101">
        <f>Masters!G353</f>
        <v>2</v>
      </c>
      <c r="F349" s="101">
        <f>Masters!H353</f>
        <v>3</v>
      </c>
      <c r="G349" s="101">
        <f>Masters!I353</f>
        <v>2</v>
      </c>
      <c r="H349" s="101">
        <f>Masters!J353</f>
        <v>2</v>
      </c>
      <c r="I349" s="101">
        <f>Masters!K353</f>
        <v>4</v>
      </c>
      <c r="J349" s="101">
        <f>Masters!L353</f>
        <v>2</v>
      </c>
      <c r="K349" s="101">
        <f>Masters!M353</f>
        <v>2</v>
      </c>
      <c r="L349" s="101">
        <f>Masters!N353</f>
        <v>2</v>
      </c>
    </row>
    <row r="350">
      <c r="A350" s="101">
        <f>Masters!C354</f>
        <v>2231</v>
      </c>
      <c r="B350" s="102" t="str">
        <f>Masters!D354</f>
        <v>Civil Engineering Technologists</v>
      </c>
      <c r="C350" s="102" t="str">
        <f>Masters!E354</f>
        <v>Civil engineering technologists and technicians</v>
      </c>
      <c r="D350" s="101">
        <f>Masters!F354</f>
        <v>2</v>
      </c>
      <c r="E350" s="101">
        <f>Masters!G354</f>
        <v>2</v>
      </c>
      <c r="F350" s="101">
        <f>Masters!H354</f>
        <v>2</v>
      </c>
      <c r="G350" s="101">
        <f>Masters!I354</f>
        <v>2</v>
      </c>
      <c r="H350" s="101">
        <f>Masters!J354</f>
        <v>3</v>
      </c>
      <c r="I350" s="101">
        <f>Masters!K354</f>
        <v>3</v>
      </c>
      <c r="J350" s="101">
        <f>Masters!L354</f>
        <v>3</v>
      </c>
      <c r="K350" s="101">
        <f>Masters!M354</f>
        <v>3</v>
      </c>
      <c r="L350" s="101">
        <f>Masters!N354</f>
        <v>3</v>
      </c>
    </row>
    <row r="351">
      <c r="A351" s="101">
        <f>Masters!C355</f>
        <v>9524</v>
      </c>
      <c r="B351" s="102" t="str">
        <f>Masters!D355</f>
        <v>Assemblers, Industrial Electrical Motors and Transformers</v>
      </c>
      <c r="C351" s="102" t="str">
        <f>Masters!E355</f>
        <v>Assemblers and inspectors, electrical appliance, apparatus and equipment manufacturing</v>
      </c>
      <c r="D351" s="101">
        <f>Masters!F355</f>
        <v>3</v>
      </c>
      <c r="E351" s="101">
        <f>Masters!G355</f>
        <v>4</v>
      </c>
      <c r="F351" s="101">
        <f>Masters!H355</f>
        <v>3</v>
      </c>
      <c r="G351" s="101">
        <f>Masters!I355</f>
        <v>3</v>
      </c>
      <c r="H351" s="101">
        <f>Masters!J355</f>
        <v>3</v>
      </c>
      <c r="I351" s="101">
        <f>Masters!K355</f>
        <v>4</v>
      </c>
      <c r="J351" s="101">
        <f>Masters!L355</f>
        <v>3</v>
      </c>
      <c r="K351" s="101">
        <f>Masters!M355</f>
        <v>3</v>
      </c>
      <c r="L351" s="101">
        <f>Masters!N355</f>
        <v>3</v>
      </c>
    </row>
    <row r="352">
      <c r="A352" s="101">
        <f>Masters!C356</f>
        <v>5252</v>
      </c>
      <c r="B352" s="102" t="str">
        <f>Masters!D356</f>
        <v>Coaches</v>
      </c>
      <c r="C352" s="102" t="str">
        <f>Masters!E356</f>
        <v>Coaches</v>
      </c>
      <c r="D352" s="101">
        <f>Masters!F356</f>
        <v>3</v>
      </c>
      <c r="E352" s="101">
        <f>Masters!G356</f>
        <v>3</v>
      </c>
      <c r="F352" s="101">
        <f>Masters!H356</f>
        <v>4</v>
      </c>
      <c r="G352" s="101">
        <f>Masters!I356</f>
        <v>3</v>
      </c>
      <c r="H352" s="101">
        <f>Masters!J356</f>
        <v>3</v>
      </c>
      <c r="I352" s="101">
        <f>Masters!K356</f>
        <v>4</v>
      </c>
      <c r="J352" s="101">
        <f>Masters!L356</f>
        <v>3</v>
      </c>
      <c r="K352" s="101">
        <f>Masters!M356</f>
        <v>3</v>
      </c>
      <c r="L352" s="101">
        <f>Masters!N356</f>
        <v>3</v>
      </c>
    </row>
    <row r="353">
      <c r="A353" s="101">
        <f>Masters!C357</f>
        <v>3012</v>
      </c>
      <c r="B353" s="102" t="str">
        <f>Masters!D357</f>
        <v>Community Health Nurses</v>
      </c>
      <c r="C353" s="102" t="str">
        <f>Masters!E357</f>
        <v>Registered nurses and registered psychiatric nurses</v>
      </c>
      <c r="D353" s="101">
        <f>Masters!F357</f>
        <v>2</v>
      </c>
      <c r="E353" s="101">
        <f>Masters!G357</f>
        <v>2</v>
      </c>
      <c r="F353" s="101">
        <f>Masters!H357</f>
        <v>3</v>
      </c>
      <c r="G353" s="101">
        <f>Masters!I357</f>
        <v>3</v>
      </c>
      <c r="H353" s="101">
        <f>Masters!J357</f>
        <v>3</v>
      </c>
      <c r="I353" s="101">
        <f>Masters!K357</f>
        <v>3</v>
      </c>
      <c r="J353" s="101">
        <f>Masters!L357</f>
        <v>3</v>
      </c>
      <c r="K353" s="101">
        <f>Masters!M357</f>
        <v>3</v>
      </c>
      <c r="L353" s="101">
        <f>Masters!N357</f>
        <v>3</v>
      </c>
    </row>
    <row r="354">
      <c r="A354" s="101">
        <f>Masters!C358</f>
        <v>2281</v>
      </c>
      <c r="B354" s="102" t="str">
        <f>Masters!D358</f>
        <v>Computer and Network Operators</v>
      </c>
      <c r="C354" s="102" t="str">
        <f>Masters!E358</f>
        <v>Computer network technicians</v>
      </c>
      <c r="D354" s="101">
        <f>Masters!F358</f>
        <v>2</v>
      </c>
      <c r="E354" s="101">
        <f>Masters!G358</f>
        <v>3</v>
      </c>
      <c r="F354" s="101">
        <f>Masters!H358</f>
        <v>2</v>
      </c>
      <c r="G354" s="101">
        <f>Masters!I358</f>
        <v>3</v>
      </c>
      <c r="H354" s="101">
        <f>Masters!J358</f>
        <v>3</v>
      </c>
      <c r="I354" s="101">
        <f>Masters!K358</f>
        <v>3</v>
      </c>
      <c r="J354" s="101">
        <f>Masters!L358</f>
        <v>3</v>
      </c>
      <c r="K354" s="101">
        <f>Masters!M358</f>
        <v>3</v>
      </c>
      <c r="L354" s="101">
        <f>Masters!N358</f>
        <v>3</v>
      </c>
    </row>
    <row r="355">
      <c r="A355" s="101">
        <f>Masters!C359</f>
        <v>6331</v>
      </c>
      <c r="B355" s="102" t="str">
        <f>Masters!D359</f>
        <v>Butchers and Meat Cutters - Retail and Wholesale</v>
      </c>
      <c r="C355" s="102" t="str">
        <f>Masters!E359</f>
        <v>Butchers, meat cutters and fishmongers - retail and wholesale</v>
      </c>
      <c r="D355" s="101">
        <f>Masters!F359</f>
        <v>3</v>
      </c>
      <c r="E355" s="101">
        <f>Masters!G359</f>
        <v>4</v>
      </c>
      <c r="F355" s="101">
        <f>Masters!H359</f>
        <v>4</v>
      </c>
      <c r="G355" s="101">
        <f>Masters!I359</f>
        <v>3</v>
      </c>
      <c r="H355" s="101">
        <f>Masters!J359</f>
        <v>3</v>
      </c>
      <c r="I355" s="101">
        <f>Masters!K359</f>
        <v>5</v>
      </c>
      <c r="J355" s="101">
        <f>Masters!L359</f>
        <v>3</v>
      </c>
      <c r="K355" s="101">
        <f>Masters!M359</f>
        <v>3</v>
      </c>
      <c r="L355" s="101">
        <f>Masters!N359</f>
        <v>3</v>
      </c>
    </row>
    <row r="356">
      <c r="A356" s="101">
        <f>Masters!C360</f>
        <v>9414</v>
      </c>
      <c r="B356" s="102" t="str">
        <f>Masters!D360</f>
        <v>Clay Products Forming and Finishing Machine Operators</v>
      </c>
      <c r="C356" s="102" t="str">
        <f>Masters!E360</f>
        <v>Concrete, clay and stone forming operators</v>
      </c>
      <c r="D356" s="101">
        <f>Masters!F360</f>
        <v>3</v>
      </c>
      <c r="E356" s="101">
        <f>Masters!G360</f>
        <v>4</v>
      </c>
      <c r="F356" s="101">
        <f>Masters!H360</f>
        <v>4</v>
      </c>
      <c r="G356" s="101">
        <f>Masters!I360</f>
        <v>3</v>
      </c>
      <c r="H356" s="101">
        <f>Masters!J360</f>
        <v>3</v>
      </c>
      <c r="I356" s="101">
        <f>Masters!K360</f>
        <v>4</v>
      </c>
      <c r="J356" s="101">
        <f>Masters!L360</f>
        <v>3</v>
      </c>
      <c r="K356" s="101">
        <f>Masters!M360</f>
        <v>4</v>
      </c>
      <c r="L356" s="101">
        <f>Masters!N360</f>
        <v>3</v>
      </c>
    </row>
    <row r="357">
      <c r="A357" s="101">
        <f>Masters!C361</f>
        <v>3223</v>
      </c>
      <c r="B357" s="102" t="str">
        <f>Masters!D361</f>
        <v>Dental Technologists and Technicians</v>
      </c>
      <c r="C357" s="102" t="str">
        <f>Masters!E361</f>
        <v>Dental technologists, technicians and laboratory assistants</v>
      </c>
      <c r="D357" s="101">
        <f>Masters!F361</f>
        <v>3</v>
      </c>
      <c r="E357" s="101">
        <f>Masters!G361</f>
        <v>3</v>
      </c>
      <c r="F357" s="101">
        <f>Masters!H361</f>
        <v>3</v>
      </c>
      <c r="G357" s="101">
        <f>Masters!I361</f>
        <v>2</v>
      </c>
      <c r="H357" s="101">
        <f>Masters!J361</f>
        <v>2</v>
      </c>
      <c r="I357" s="101">
        <f>Masters!K361</f>
        <v>3</v>
      </c>
      <c r="J357" s="101">
        <f>Masters!L361</f>
        <v>3</v>
      </c>
      <c r="K357" s="101">
        <f>Masters!M361</f>
        <v>2</v>
      </c>
      <c r="L357" s="101">
        <f>Masters!N361</f>
        <v>2</v>
      </c>
    </row>
    <row r="358">
      <c r="A358" s="101">
        <f>Masters!C362</f>
        <v>2253</v>
      </c>
      <c r="B358" s="102" t="str">
        <f>Masters!D362</f>
        <v>Drafting Technicians</v>
      </c>
      <c r="C358" s="102" t="str">
        <f>Masters!E362</f>
        <v>Drafting technologists and technicians</v>
      </c>
      <c r="D358" s="101">
        <f>Masters!F362</f>
        <v>3</v>
      </c>
      <c r="E358" s="101">
        <f>Masters!G362</f>
        <v>3</v>
      </c>
      <c r="F358" s="101">
        <f>Masters!H362</f>
        <v>3</v>
      </c>
      <c r="G358" s="101">
        <f>Masters!I362</f>
        <v>2</v>
      </c>
      <c r="H358" s="101">
        <f>Masters!J362</f>
        <v>2</v>
      </c>
      <c r="I358" s="101">
        <f>Masters!K362</f>
        <v>3</v>
      </c>
      <c r="J358" s="101">
        <f>Masters!L362</f>
        <v>2</v>
      </c>
      <c r="K358" s="101">
        <f>Masters!M362</f>
        <v>2</v>
      </c>
      <c r="L358" s="101">
        <f>Masters!N362</f>
        <v>3</v>
      </c>
    </row>
    <row r="359">
      <c r="A359" s="101">
        <f>Masters!C363</f>
        <v>9414</v>
      </c>
      <c r="B359" s="102" t="str">
        <f>Masters!D363</f>
        <v>Concrete Products Forming and Finishing Workers</v>
      </c>
      <c r="C359" s="102" t="str">
        <f>Masters!E363</f>
        <v>Concrete, clay and stone forming operators</v>
      </c>
      <c r="D359" s="101">
        <f>Masters!F363</f>
        <v>3</v>
      </c>
      <c r="E359" s="101">
        <f>Masters!G363</f>
        <v>4</v>
      </c>
      <c r="F359" s="101">
        <f>Masters!H363</f>
        <v>4</v>
      </c>
      <c r="G359" s="101">
        <f>Masters!I363</f>
        <v>3</v>
      </c>
      <c r="H359" s="101">
        <f>Masters!J363</f>
        <v>3</v>
      </c>
      <c r="I359" s="101">
        <f>Masters!K363</f>
        <v>4</v>
      </c>
      <c r="J359" s="101">
        <f>Masters!L363</f>
        <v>3</v>
      </c>
      <c r="K359" s="101">
        <f>Masters!M363</f>
        <v>4</v>
      </c>
      <c r="L359" s="101">
        <f>Masters!N363</f>
        <v>3</v>
      </c>
    </row>
    <row r="360">
      <c r="A360" s="101">
        <f>Masters!C364</f>
        <v>9414</v>
      </c>
      <c r="B360" s="102" t="str">
        <f>Masters!D364</f>
        <v>Concrete Products Machine Operators</v>
      </c>
      <c r="C360" s="102" t="str">
        <f>Masters!E364</f>
        <v>Concrete, clay and stone forming operators</v>
      </c>
      <c r="D360" s="101">
        <f>Masters!F364</f>
        <v>3</v>
      </c>
      <c r="E360" s="101">
        <f>Masters!G364</f>
        <v>4</v>
      </c>
      <c r="F360" s="101">
        <f>Masters!H364</f>
        <v>4</v>
      </c>
      <c r="G360" s="101">
        <f>Masters!I364</f>
        <v>3</v>
      </c>
      <c r="H360" s="101">
        <f>Masters!J364</f>
        <v>3</v>
      </c>
      <c r="I360" s="101">
        <f>Masters!K364</f>
        <v>4</v>
      </c>
      <c r="J360" s="101">
        <f>Masters!L364</f>
        <v>3</v>
      </c>
      <c r="K360" s="101">
        <f>Masters!M364</f>
        <v>4</v>
      </c>
      <c r="L360" s="101">
        <f>Masters!N364</f>
        <v>3</v>
      </c>
    </row>
    <row r="361">
      <c r="A361" s="101">
        <f>Masters!C365</f>
        <v>2274</v>
      </c>
      <c r="B361" s="102" t="str">
        <f>Masters!D365</f>
        <v>Engineer Officers, Water Transport</v>
      </c>
      <c r="C361" s="102" t="str">
        <f>Masters!E365</f>
        <v>Engineer officers, water transport</v>
      </c>
      <c r="D361" s="101">
        <f>Masters!F365</f>
        <v>2</v>
      </c>
      <c r="E361" s="101">
        <f>Masters!G365</f>
        <v>3</v>
      </c>
      <c r="F361" s="101">
        <f>Masters!H365</f>
        <v>3</v>
      </c>
      <c r="G361" s="101">
        <f>Masters!I365</f>
        <v>2</v>
      </c>
      <c r="H361" s="101">
        <f>Masters!J365</f>
        <v>3</v>
      </c>
      <c r="I361" s="101">
        <f>Masters!K365</f>
        <v>4</v>
      </c>
      <c r="J361" s="101">
        <f>Masters!L365</f>
        <v>3</v>
      </c>
      <c r="K361" s="101">
        <f>Masters!M365</f>
        <v>4</v>
      </c>
      <c r="L361" s="101">
        <f>Masters!N365</f>
        <v>3</v>
      </c>
    </row>
    <row r="362">
      <c r="A362" s="101">
        <f>Masters!C366</f>
        <v>9525</v>
      </c>
      <c r="B362" s="102" t="str">
        <f>Masters!D366</f>
        <v>Electrical Fitters and Wirers, Industrial Electrical Motors and Transformers</v>
      </c>
      <c r="C362" s="102" t="str">
        <f>Masters!E366</f>
        <v>Assemblers, fabricators and inspectors, industrial electrical motors and transformers</v>
      </c>
      <c r="D362" s="101">
        <f>Masters!F366</f>
        <v>3</v>
      </c>
      <c r="E362" s="101">
        <f>Masters!G366</f>
        <v>4</v>
      </c>
      <c r="F362" s="101">
        <f>Masters!H366</f>
        <v>3</v>
      </c>
      <c r="G362" s="101">
        <f>Masters!I366</f>
        <v>3</v>
      </c>
      <c r="H362" s="101">
        <f>Masters!J366</f>
        <v>3</v>
      </c>
      <c r="I362" s="101">
        <f>Masters!K366</f>
        <v>4</v>
      </c>
      <c r="J362" s="101">
        <f>Masters!L366</f>
        <v>3</v>
      </c>
      <c r="K362" s="101">
        <f>Masters!M366</f>
        <v>3</v>
      </c>
      <c r="L362" s="101">
        <f>Masters!N366</f>
        <v>3</v>
      </c>
    </row>
    <row r="363">
      <c r="A363" s="101">
        <f>Masters!C367</f>
        <v>5243</v>
      </c>
      <c r="B363" s="102" t="str">
        <f>Masters!D367</f>
        <v>Fashion Designers</v>
      </c>
      <c r="C363" s="102" t="str">
        <f>Masters!E367</f>
        <v>Theatre, fashion, exhibit and other creative designers</v>
      </c>
      <c r="D363" s="101">
        <f>Masters!F367</f>
        <v>2</v>
      </c>
      <c r="E363" s="101">
        <f>Masters!G367</f>
        <v>3</v>
      </c>
      <c r="F363" s="101">
        <f>Masters!H367</f>
        <v>3</v>
      </c>
      <c r="G363" s="101">
        <f>Masters!I367</f>
        <v>2</v>
      </c>
      <c r="H363" s="101">
        <f>Masters!J367</f>
        <v>2</v>
      </c>
      <c r="I363" s="101">
        <f>Masters!K367</f>
        <v>4</v>
      </c>
      <c r="J363" s="101">
        <f>Masters!L367</f>
        <v>2</v>
      </c>
      <c r="K363" s="101">
        <f>Masters!M367</f>
        <v>2</v>
      </c>
      <c r="L363" s="101">
        <f>Masters!N367</f>
        <v>3</v>
      </c>
    </row>
    <row r="364">
      <c r="A364" s="101">
        <f>Masters!C368</f>
        <v>5222</v>
      </c>
      <c r="B364" s="102" t="str">
        <f>Masters!D368</f>
        <v>Film and Video Camera Operators</v>
      </c>
      <c r="C364" s="102" t="str">
        <f>Masters!E368</f>
        <v>Film and video camera operators</v>
      </c>
      <c r="D364" s="101">
        <f>Masters!F368</f>
        <v>3</v>
      </c>
      <c r="E364" s="101">
        <f>Masters!G368</f>
        <v>3</v>
      </c>
      <c r="F364" s="101">
        <f>Masters!H368</f>
        <v>4</v>
      </c>
      <c r="G364" s="101">
        <f>Masters!I368</f>
        <v>2</v>
      </c>
      <c r="H364" s="101">
        <f>Masters!J368</f>
        <v>2</v>
      </c>
      <c r="I364" s="101">
        <f>Masters!K368</f>
        <v>4</v>
      </c>
      <c r="J364" s="101">
        <f>Masters!L368</f>
        <v>3</v>
      </c>
      <c r="K364" s="101">
        <f>Masters!M368</f>
        <v>3</v>
      </c>
      <c r="L364" s="101">
        <f>Masters!N368</f>
        <v>3</v>
      </c>
    </row>
    <row r="365">
      <c r="A365" s="101">
        <f>Masters!C369</f>
        <v>7253</v>
      </c>
      <c r="B365" s="102" t="str">
        <f>Masters!D369</f>
        <v>Gas Fitters</v>
      </c>
      <c r="C365" s="102" t="str">
        <f>Masters!E369</f>
        <v>Gas fitters</v>
      </c>
      <c r="D365" s="101">
        <f>Masters!F369</f>
        <v>3</v>
      </c>
      <c r="E365" s="101">
        <f>Masters!G369</f>
        <v>3</v>
      </c>
      <c r="F365" s="101">
        <f>Masters!H369</f>
        <v>3</v>
      </c>
      <c r="G365" s="101">
        <f>Masters!I369</f>
        <v>3</v>
      </c>
      <c r="H365" s="101">
        <f>Masters!J369</f>
        <v>3</v>
      </c>
      <c r="I365" s="101">
        <f>Masters!K369</f>
        <v>3</v>
      </c>
      <c r="J365" s="101">
        <f>Masters!L369</f>
        <v>3</v>
      </c>
      <c r="K365" s="101">
        <f>Masters!M369</f>
        <v>3</v>
      </c>
      <c r="L365" s="101">
        <f>Masters!N369</f>
        <v>3</v>
      </c>
    </row>
    <row r="366">
      <c r="A366" s="101">
        <f>Masters!C370</f>
        <v>3012</v>
      </c>
      <c r="B366" s="102" t="str">
        <f>Masters!D370</f>
        <v>General Duty Registered Nurses</v>
      </c>
      <c r="C366" s="102" t="str">
        <f>Masters!E370</f>
        <v>Registered nurses and registered psychiatric nurses</v>
      </c>
      <c r="D366" s="101">
        <f>Masters!F370</f>
        <v>2</v>
      </c>
      <c r="E366" s="101">
        <f>Masters!G370</f>
        <v>2</v>
      </c>
      <c r="F366" s="101">
        <f>Masters!H370</f>
        <v>3</v>
      </c>
      <c r="G366" s="101">
        <f>Masters!I370</f>
        <v>3</v>
      </c>
      <c r="H366" s="101">
        <f>Masters!J370</f>
        <v>3</v>
      </c>
      <c r="I366" s="101">
        <f>Masters!K370</f>
        <v>3</v>
      </c>
      <c r="J366" s="101">
        <f>Masters!L370</f>
        <v>3</v>
      </c>
      <c r="K366" s="101">
        <f>Masters!M370</f>
        <v>3</v>
      </c>
      <c r="L366" s="101">
        <f>Masters!N370</f>
        <v>3</v>
      </c>
    </row>
    <row r="367">
      <c r="A367" s="101">
        <f>Masters!C371</f>
        <v>2255</v>
      </c>
      <c r="B367" s="102" t="str">
        <f>Masters!D371</f>
        <v>Geographic Information Systems (GIS) Technologists and Technicians</v>
      </c>
      <c r="C367" s="102" t="str">
        <f>Masters!E371</f>
        <v>Technical occupations in geomatics and meteorology</v>
      </c>
      <c r="D367" s="101">
        <f>Masters!F371</f>
        <v>2</v>
      </c>
      <c r="E367" s="101">
        <f>Masters!G371</f>
        <v>3</v>
      </c>
      <c r="F367" s="101">
        <f>Masters!H371</f>
        <v>2</v>
      </c>
      <c r="G367" s="101">
        <f>Masters!I371</f>
        <v>2</v>
      </c>
      <c r="H367" s="101">
        <f>Masters!J371</f>
        <v>2</v>
      </c>
      <c r="I367" s="101">
        <f>Masters!K371</f>
        <v>3</v>
      </c>
      <c r="J367" s="101">
        <f>Masters!L371</f>
        <v>3</v>
      </c>
      <c r="K367" s="101">
        <f>Masters!M371</f>
        <v>3</v>
      </c>
      <c r="L367" s="101">
        <f>Masters!N371</f>
        <v>3</v>
      </c>
    </row>
    <row r="368">
      <c r="A368" s="101">
        <f>Masters!C372</f>
        <v>2212</v>
      </c>
      <c r="B368" s="102" t="str">
        <f>Masters!D372</f>
        <v>Geological and Mineral Technicians</v>
      </c>
      <c r="C368" s="102" t="str">
        <f>Masters!E372</f>
        <v>Geological and mineral technologists and technicians</v>
      </c>
      <c r="D368" s="101">
        <f>Masters!F372</f>
        <v>2</v>
      </c>
      <c r="E368" s="101">
        <f>Masters!G372</f>
        <v>3</v>
      </c>
      <c r="F368" s="101">
        <f>Masters!H372</f>
        <v>2</v>
      </c>
      <c r="G368" s="101">
        <f>Masters!I372</f>
        <v>2</v>
      </c>
      <c r="H368" s="101">
        <f>Masters!J372</f>
        <v>2</v>
      </c>
      <c r="I368" s="101">
        <f>Masters!K372</f>
        <v>3</v>
      </c>
      <c r="J368" s="101">
        <f>Masters!L372</f>
        <v>3</v>
      </c>
      <c r="K368" s="101">
        <f>Masters!M372</f>
        <v>3</v>
      </c>
      <c r="L368" s="101">
        <f>Masters!N372</f>
        <v>3</v>
      </c>
    </row>
    <row r="369">
      <c r="A369" s="101">
        <f>Masters!C373</f>
        <v>5223</v>
      </c>
      <c r="B369" s="102" t="str">
        <f>Masters!D373</f>
        <v>Graphic Arts Technicians</v>
      </c>
      <c r="C369" s="102" t="str">
        <f>Masters!E373</f>
        <v>Graphic arts technicians</v>
      </c>
      <c r="D369" s="101">
        <f>Masters!F373</f>
        <v>3</v>
      </c>
      <c r="E369" s="101">
        <f>Masters!G373</f>
        <v>3</v>
      </c>
      <c r="F369" s="101">
        <f>Masters!H373</f>
        <v>4</v>
      </c>
      <c r="G369" s="101">
        <f>Masters!I373</f>
        <v>3</v>
      </c>
      <c r="H369" s="101">
        <f>Masters!J373</f>
        <v>3</v>
      </c>
      <c r="I369" s="101">
        <f>Masters!K373</f>
        <v>4</v>
      </c>
      <c r="J369" s="101">
        <f>Masters!L373</f>
        <v>3</v>
      </c>
      <c r="K369" s="101">
        <f>Masters!M373</f>
        <v>3</v>
      </c>
      <c r="L369" s="101">
        <f>Masters!N373</f>
        <v>3</v>
      </c>
    </row>
    <row r="370">
      <c r="A370" s="101">
        <f>Masters!C374</f>
        <v>2243</v>
      </c>
      <c r="B370" s="102" t="str">
        <f>Masters!D374</f>
        <v>Industrial Instrument Technicians and Mechanics</v>
      </c>
      <c r="C370" s="102" t="str">
        <f>Masters!E374</f>
        <v>Industrial instrument technicians and mechanics</v>
      </c>
      <c r="D370" s="101">
        <f>Masters!F374</f>
        <v>3</v>
      </c>
      <c r="E370" s="101">
        <f>Masters!G374</f>
        <v>3</v>
      </c>
      <c r="F370" s="101">
        <f>Masters!H374</f>
        <v>3</v>
      </c>
      <c r="G370" s="101">
        <f>Masters!I374</f>
        <v>3</v>
      </c>
      <c r="H370" s="101">
        <f>Masters!J374</f>
        <v>3</v>
      </c>
      <c r="I370" s="101">
        <f>Masters!K374</f>
        <v>4</v>
      </c>
      <c r="J370" s="101">
        <f>Masters!L374</f>
        <v>2</v>
      </c>
      <c r="K370" s="101">
        <f>Masters!M374</f>
        <v>2</v>
      </c>
      <c r="L370" s="101">
        <f>Masters!N374</f>
        <v>2</v>
      </c>
    </row>
    <row r="371">
      <c r="A371" s="101">
        <f>Masters!C375</f>
        <v>5242</v>
      </c>
      <c r="B371" s="102" t="str">
        <f>Masters!D375</f>
        <v>Interior Designers</v>
      </c>
      <c r="C371" s="102" t="str">
        <f>Masters!E375</f>
        <v>Interior designers and interior decorators</v>
      </c>
      <c r="D371" s="101">
        <f>Masters!F375</f>
        <v>2</v>
      </c>
      <c r="E371" s="101">
        <f>Masters!G375</f>
        <v>3</v>
      </c>
      <c r="F371" s="101">
        <f>Masters!H375</f>
        <v>3</v>
      </c>
      <c r="G371" s="101">
        <f>Masters!I375</f>
        <v>2</v>
      </c>
      <c r="H371" s="101">
        <f>Masters!J375</f>
        <v>2</v>
      </c>
      <c r="I371" s="101">
        <f>Masters!K375</f>
        <v>3</v>
      </c>
      <c r="J371" s="101">
        <f>Masters!L375</f>
        <v>3</v>
      </c>
      <c r="K371" s="101">
        <f>Masters!M375</f>
        <v>3</v>
      </c>
      <c r="L371" s="101">
        <f>Masters!N375</f>
        <v>4</v>
      </c>
    </row>
    <row r="372">
      <c r="A372" s="101">
        <f>Masters!C376</f>
        <v>7318</v>
      </c>
      <c r="B372" s="102" t="str">
        <f>Masters!D376</f>
        <v>Elevator Constructors and Mechanics</v>
      </c>
      <c r="C372" s="102" t="str">
        <f>Masters!E376</f>
        <v>Elevator constructors and mechanics</v>
      </c>
      <c r="D372" s="101">
        <f>Masters!F376</f>
        <v>3</v>
      </c>
      <c r="E372" s="101">
        <f>Masters!G376</f>
        <v>4</v>
      </c>
      <c r="F372" s="101">
        <f>Masters!H376</f>
        <v>3</v>
      </c>
      <c r="G372" s="101">
        <f>Masters!I376</f>
        <v>3</v>
      </c>
      <c r="H372" s="101">
        <f>Masters!J376</f>
        <v>3</v>
      </c>
      <c r="I372" s="101">
        <f>Masters!K376</f>
        <v>4</v>
      </c>
      <c r="J372" s="101">
        <f>Masters!L376</f>
        <v>3</v>
      </c>
      <c r="K372" s="101">
        <f>Masters!M376</f>
        <v>3</v>
      </c>
      <c r="L372" s="101">
        <f>Masters!N376</f>
        <v>3</v>
      </c>
    </row>
    <row r="373">
      <c r="A373" s="101">
        <f>Masters!C377</f>
        <v>6344</v>
      </c>
      <c r="B373" s="102" t="str">
        <f>Masters!D377</f>
        <v>Jewellers and Related Workers</v>
      </c>
      <c r="C373" s="102" t="str">
        <f>Masters!E377</f>
        <v>Jewellers, jewellery and watch repairers and related occupations</v>
      </c>
      <c r="D373" s="101">
        <f>Masters!F377</f>
        <v>3</v>
      </c>
      <c r="E373" s="101">
        <f>Masters!G377</f>
        <v>3</v>
      </c>
      <c r="F373" s="101">
        <f>Masters!H377</f>
        <v>3</v>
      </c>
      <c r="G373" s="101">
        <f>Masters!I377</f>
        <v>2</v>
      </c>
      <c r="H373" s="101">
        <f>Masters!J377</f>
        <v>2</v>
      </c>
      <c r="I373" s="101">
        <f>Masters!K377</f>
        <v>4</v>
      </c>
      <c r="J373" s="101">
        <f>Masters!L377</f>
        <v>1</v>
      </c>
      <c r="K373" s="101">
        <f>Masters!M377</f>
        <v>1</v>
      </c>
      <c r="L373" s="101">
        <f>Masters!N377</f>
        <v>2</v>
      </c>
    </row>
    <row r="374">
      <c r="A374" s="101">
        <f>Masters!C378</f>
        <v>2254</v>
      </c>
      <c r="B374" s="102" t="str">
        <f>Masters!D378</f>
        <v>Land Survey Technicians</v>
      </c>
      <c r="C374" s="102" t="str">
        <f>Masters!E378</f>
        <v>Land survey technologists and technicians</v>
      </c>
      <c r="D374" s="101">
        <f>Masters!F378</f>
        <v>3</v>
      </c>
      <c r="E374" s="101">
        <f>Masters!G378</f>
        <v>3</v>
      </c>
      <c r="F374" s="101">
        <f>Masters!H378</f>
        <v>3</v>
      </c>
      <c r="G374" s="101">
        <f>Masters!I378</f>
        <v>3</v>
      </c>
      <c r="H374" s="101">
        <f>Masters!J378</f>
        <v>3</v>
      </c>
      <c r="I374" s="101">
        <f>Masters!K378</f>
        <v>3</v>
      </c>
      <c r="J374" s="101">
        <f>Masters!L378</f>
        <v>3</v>
      </c>
      <c r="K374" s="101">
        <f>Masters!M378</f>
        <v>3</v>
      </c>
      <c r="L374" s="101">
        <f>Masters!N378</f>
        <v>3</v>
      </c>
    </row>
    <row r="375">
      <c r="A375" s="101">
        <f>Masters!C379</f>
        <v>2254</v>
      </c>
      <c r="B375" s="102" t="str">
        <f>Masters!D379</f>
        <v>Land Survey Technologists</v>
      </c>
      <c r="C375" s="102" t="str">
        <f>Masters!E379</f>
        <v>Land survey technologists and technicians</v>
      </c>
      <c r="D375" s="101">
        <f>Masters!F379</f>
        <v>2</v>
      </c>
      <c r="E375" s="101">
        <f>Masters!G379</f>
        <v>3</v>
      </c>
      <c r="F375" s="101">
        <f>Masters!H379</f>
        <v>2</v>
      </c>
      <c r="G375" s="101">
        <f>Masters!I379</f>
        <v>2</v>
      </c>
      <c r="H375" s="101">
        <f>Masters!J379</f>
        <v>2</v>
      </c>
      <c r="I375" s="101">
        <f>Masters!K379</f>
        <v>3</v>
      </c>
      <c r="J375" s="101">
        <f>Masters!L379</f>
        <v>3</v>
      </c>
      <c r="K375" s="101">
        <f>Masters!M379</f>
        <v>3</v>
      </c>
      <c r="L375" s="101">
        <f>Masters!N379</f>
        <v>3</v>
      </c>
    </row>
    <row r="376">
      <c r="A376" s="101">
        <f>Masters!C380</f>
        <v>7384</v>
      </c>
      <c r="B376" s="102" t="str">
        <f>Masters!D380</f>
        <v>Locksmiths</v>
      </c>
      <c r="C376" s="102" t="str">
        <f>Masters!E380</f>
        <v>Other trades and related occupations, n.e.c.</v>
      </c>
      <c r="D376" s="101">
        <f>Masters!F380</f>
        <v>3</v>
      </c>
      <c r="E376" s="101">
        <f>Masters!G380</f>
        <v>3</v>
      </c>
      <c r="F376" s="101">
        <f>Masters!H380</f>
        <v>4</v>
      </c>
      <c r="G376" s="101">
        <f>Masters!I380</f>
        <v>3</v>
      </c>
      <c r="H376" s="101">
        <f>Masters!J380</f>
        <v>3</v>
      </c>
      <c r="I376" s="101">
        <f>Masters!K380</f>
        <v>4</v>
      </c>
      <c r="J376" s="101">
        <f>Masters!L380</f>
        <v>3</v>
      </c>
      <c r="K376" s="101">
        <f>Masters!M380</f>
        <v>3</v>
      </c>
      <c r="L376" s="101">
        <f>Masters!N380</f>
        <v>3</v>
      </c>
    </row>
    <row r="377">
      <c r="A377" s="101">
        <f>Masters!C381</f>
        <v>5232</v>
      </c>
      <c r="B377" s="102" t="str">
        <f>Masters!D381</f>
        <v>Magicians and Illusionists</v>
      </c>
      <c r="C377" s="102" t="str">
        <f>Masters!E381</f>
        <v>Other performers, n.e.c.</v>
      </c>
      <c r="D377" s="101">
        <f>Masters!F381</f>
        <v>3</v>
      </c>
      <c r="E377" s="101">
        <f>Masters!G381</f>
        <v>3</v>
      </c>
      <c r="F377" s="101">
        <f>Masters!H381</f>
        <v>4</v>
      </c>
      <c r="G377" s="101">
        <f>Masters!I381</f>
        <v>3</v>
      </c>
      <c r="H377" s="101">
        <f>Masters!J381</f>
        <v>3</v>
      </c>
      <c r="I377" s="101">
        <f>Masters!K381</f>
        <v>5</v>
      </c>
      <c r="J377" s="101">
        <f>Masters!L381</f>
        <v>2</v>
      </c>
      <c r="K377" s="101">
        <f>Masters!M381</f>
        <v>2</v>
      </c>
      <c r="L377" s="101">
        <f>Masters!N381</f>
        <v>2</v>
      </c>
    </row>
    <row r="378">
      <c r="A378" s="101">
        <f>Masters!C382</f>
        <v>7321</v>
      </c>
      <c r="B378" s="102" t="str">
        <f>Masters!D382</f>
        <v>Mechanical Repairers, Motor Vehicle Manufacturing</v>
      </c>
      <c r="C378" s="102" t="str">
        <f>Masters!E382</f>
        <v>Automotive service technicians, truck and bus mechanics and mechanical repairers</v>
      </c>
      <c r="D378" s="101">
        <f>Masters!F382</f>
        <v>3</v>
      </c>
      <c r="E378" s="101">
        <f>Masters!G382</f>
        <v>3</v>
      </c>
      <c r="F378" s="101">
        <f>Masters!H382</f>
        <v>4</v>
      </c>
      <c r="G378" s="101">
        <f>Masters!I382</f>
        <v>3</v>
      </c>
      <c r="H378" s="101">
        <f>Masters!J382</f>
        <v>3</v>
      </c>
      <c r="I378" s="101">
        <f>Masters!K382</f>
        <v>4</v>
      </c>
      <c r="J378" s="101">
        <f>Masters!L382</f>
        <v>3</v>
      </c>
      <c r="K378" s="101">
        <f>Masters!M382</f>
        <v>3</v>
      </c>
      <c r="L378" s="101">
        <f>Masters!N382</f>
        <v>3</v>
      </c>
    </row>
    <row r="379">
      <c r="A379" s="101">
        <f>Masters!C383</f>
        <v>1251</v>
      </c>
      <c r="B379" s="102" t="str">
        <f>Masters!D383</f>
        <v>Medical Transcriptionists</v>
      </c>
      <c r="C379" s="102" t="str">
        <f>Masters!E383</f>
        <v>Court reporters, medical transcriptionists and related occupations</v>
      </c>
      <c r="D379" s="101">
        <f>Masters!F383</f>
        <v>3</v>
      </c>
      <c r="E379" s="101">
        <f>Masters!G383</f>
        <v>3</v>
      </c>
      <c r="F379" s="101">
        <f>Masters!H383</f>
        <v>4</v>
      </c>
      <c r="G379" s="101">
        <f>Masters!I383</f>
        <v>4</v>
      </c>
      <c r="H379" s="101">
        <f>Masters!J383</f>
        <v>3</v>
      </c>
      <c r="I379" s="101">
        <f>Masters!K383</f>
        <v>3</v>
      </c>
      <c r="J379" s="101">
        <f>Masters!L383</f>
        <v>3</v>
      </c>
      <c r="K379" s="101">
        <f>Masters!M383</f>
        <v>3</v>
      </c>
      <c r="L379" s="101">
        <f>Masters!N383</f>
        <v>3</v>
      </c>
    </row>
    <row r="380">
      <c r="A380" s="101">
        <f>Masters!C384</f>
        <v>8252</v>
      </c>
      <c r="B380" s="102" t="str">
        <f>Masters!D384</f>
        <v>Farm Supervisors</v>
      </c>
      <c r="C380" s="102" t="str">
        <f>Masters!E384</f>
        <v>Agricultural service contractors, farm supervisors and specialized livestock workers</v>
      </c>
      <c r="D380" s="101">
        <f>Masters!F384</f>
        <v>3</v>
      </c>
      <c r="E380" s="101">
        <f>Masters!G384</f>
        <v>4</v>
      </c>
      <c r="F380" s="101">
        <f>Masters!H384</f>
        <v>4</v>
      </c>
      <c r="G380" s="101">
        <f>Masters!I384</f>
        <v>4</v>
      </c>
      <c r="H380" s="101">
        <f>Masters!J384</f>
        <v>3</v>
      </c>
      <c r="I380" s="101">
        <f>Masters!K384</f>
        <v>4</v>
      </c>
      <c r="J380" s="101">
        <f>Masters!L384</f>
        <v>3</v>
      </c>
      <c r="K380" s="101">
        <f>Masters!M384</f>
        <v>3</v>
      </c>
      <c r="L380" s="101">
        <f>Masters!N384</f>
        <v>3</v>
      </c>
    </row>
    <row r="381">
      <c r="A381" s="101">
        <f>Masters!C385</f>
        <v>3124</v>
      </c>
      <c r="B381" s="102" t="str">
        <f>Masters!D385</f>
        <v>Midwives</v>
      </c>
      <c r="C381" s="102" t="str">
        <f>Masters!E385</f>
        <v>Allied primary health practitioners</v>
      </c>
      <c r="D381" s="101">
        <f>Masters!F385</f>
        <v>2</v>
      </c>
      <c r="E381" s="101">
        <f>Masters!G385</f>
        <v>2</v>
      </c>
      <c r="F381" s="101">
        <f>Masters!H385</f>
        <v>3</v>
      </c>
      <c r="G381" s="101">
        <f>Masters!I385</f>
        <v>3</v>
      </c>
      <c r="H381" s="101">
        <f>Masters!J385</f>
        <v>3</v>
      </c>
      <c r="I381" s="101">
        <f>Masters!K385</f>
        <v>4</v>
      </c>
      <c r="J381" s="101">
        <f>Masters!L385</f>
        <v>2</v>
      </c>
      <c r="K381" s="101">
        <f>Masters!M385</f>
        <v>2</v>
      </c>
      <c r="L381" s="101">
        <f>Masters!N385</f>
        <v>2</v>
      </c>
    </row>
    <row r="382">
      <c r="A382" s="101">
        <f>Masters!C386</f>
        <v>4313</v>
      </c>
      <c r="B382" s="102" t="str">
        <f>Masters!D386</f>
        <v>Occupations Unique to the Armed Forces</v>
      </c>
      <c r="C382" s="102" t="str">
        <f>Masters!E386</f>
        <v>Non-commissioned ranks of the Canadian Forces</v>
      </c>
      <c r="D382" s="101">
        <f>Masters!F386</f>
        <v>3</v>
      </c>
      <c r="E382" s="101">
        <f>Masters!G386</f>
        <v>3</v>
      </c>
      <c r="F382" s="101">
        <f>Masters!H386</f>
        <v>4</v>
      </c>
      <c r="G382" s="101">
        <f>Masters!I386</f>
        <v>3</v>
      </c>
      <c r="H382" s="101">
        <f>Masters!J386</f>
        <v>3</v>
      </c>
      <c r="I382" s="101">
        <f>Masters!K386</f>
        <v>4</v>
      </c>
      <c r="J382" s="101">
        <f>Masters!L386</f>
        <v>3</v>
      </c>
      <c r="K382" s="101">
        <f>Masters!M386</f>
        <v>3</v>
      </c>
      <c r="L382" s="101">
        <f>Masters!N386</f>
        <v>3</v>
      </c>
    </row>
    <row r="383">
      <c r="A383" s="101">
        <f>Masters!C387</f>
        <v>5136</v>
      </c>
      <c r="B383" s="102" t="str">
        <f>Masters!D387</f>
        <v>Painters</v>
      </c>
      <c r="C383" s="102" t="str">
        <f>Masters!E387</f>
        <v>Painters, sculptors and other visual artists</v>
      </c>
      <c r="D383" s="101">
        <f>Masters!F387</f>
        <v>2</v>
      </c>
      <c r="E383" s="101">
        <f>Masters!G387</f>
        <v>3</v>
      </c>
      <c r="F383" s="101">
        <f>Masters!H387</f>
        <v>4</v>
      </c>
      <c r="G383" s="101">
        <f>Masters!I387</f>
        <v>2</v>
      </c>
      <c r="H383" s="101">
        <f>Masters!J387</f>
        <v>2</v>
      </c>
      <c r="I383" s="101">
        <f>Masters!K387</f>
        <v>5</v>
      </c>
      <c r="J383" s="101">
        <f>Masters!L387</f>
        <v>2</v>
      </c>
      <c r="K383" s="101">
        <f>Masters!M387</f>
        <v>2</v>
      </c>
      <c r="L383" s="101">
        <f>Masters!N387</f>
        <v>3</v>
      </c>
    </row>
    <row r="384">
      <c r="A384" s="101">
        <f>Masters!C388</f>
        <v>5245</v>
      </c>
      <c r="B384" s="102" t="str">
        <f>Masters!D388</f>
        <v>Patternmakers _x0013_ Textile, Leather and Fur Products</v>
      </c>
      <c r="C384" s="102" t="str">
        <f>Masters!E388</f>
        <v>Patternmakers - textile, leather and fur products</v>
      </c>
      <c r="D384" s="101">
        <f>Masters!F388</f>
        <v>3</v>
      </c>
      <c r="E384" s="101">
        <f>Masters!G388</f>
        <v>3</v>
      </c>
      <c r="F384" s="101">
        <f>Masters!H388</f>
        <v>3</v>
      </c>
      <c r="G384" s="101">
        <f>Masters!I388</f>
        <v>2</v>
      </c>
      <c r="H384" s="101">
        <f>Masters!J388</f>
        <v>2</v>
      </c>
      <c r="I384" s="101">
        <f>Masters!K388</f>
        <v>4</v>
      </c>
      <c r="J384" s="101">
        <f>Masters!L388</f>
        <v>2</v>
      </c>
      <c r="K384" s="101">
        <f>Masters!M388</f>
        <v>2</v>
      </c>
      <c r="L384" s="101">
        <f>Masters!N388</f>
        <v>2</v>
      </c>
    </row>
    <row r="385">
      <c r="A385" s="101">
        <f>Masters!C389</f>
        <v>7236</v>
      </c>
      <c r="B385" s="102" t="str">
        <f>Masters!D389</f>
        <v>Ironworkers</v>
      </c>
      <c r="C385" s="102" t="str">
        <f>Masters!E389</f>
        <v>Ironworkers</v>
      </c>
      <c r="D385" s="101">
        <f>Masters!F389</f>
        <v>3</v>
      </c>
      <c r="E385" s="101">
        <f>Masters!G389</f>
        <v>4</v>
      </c>
      <c r="F385" s="101">
        <f>Masters!H389</f>
        <v>4</v>
      </c>
      <c r="G385" s="101">
        <f>Masters!I389</f>
        <v>2</v>
      </c>
      <c r="H385" s="101">
        <f>Masters!J389</f>
        <v>3</v>
      </c>
      <c r="I385" s="101">
        <f>Masters!K389</f>
        <v>5</v>
      </c>
      <c r="J385" s="101">
        <f>Masters!L389</f>
        <v>3</v>
      </c>
      <c r="K385" s="101">
        <f>Masters!M389</f>
        <v>4</v>
      </c>
      <c r="L385" s="101">
        <f>Masters!N389</f>
        <v>3</v>
      </c>
    </row>
    <row r="386">
      <c r="A386" s="101">
        <f>Masters!C390</f>
        <v>5212</v>
      </c>
      <c r="B386" s="102" t="str">
        <f>Masters!D390</f>
        <v>Preparators and Museology Technicians</v>
      </c>
      <c r="C386" s="102" t="str">
        <f>Masters!E390</f>
        <v>Technical occupations related to museums and art galleries</v>
      </c>
      <c r="D386" s="101">
        <f>Masters!F390</f>
        <v>3</v>
      </c>
      <c r="E386" s="101">
        <f>Masters!G390</f>
        <v>3</v>
      </c>
      <c r="F386" s="101">
        <f>Masters!H390</f>
        <v>3</v>
      </c>
      <c r="G386" s="101">
        <f>Masters!I390</f>
        <v>2</v>
      </c>
      <c r="H386" s="101">
        <f>Masters!J390</f>
        <v>3</v>
      </c>
      <c r="I386" s="101">
        <f>Masters!K390</f>
        <v>4</v>
      </c>
      <c r="J386" s="101">
        <f>Masters!L390</f>
        <v>3</v>
      </c>
      <c r="K386" s="101">
        <f>Masters!M390</f>
        <v>3</v>
      </c>
      <c r="L386" s="101">
        <f>Masters!N390</f>
        <v>3</v>
      </c>
    </row>
    <row r="387">
      <c r="A387" s="101">
        <f>Masters!C391</f>
        <v>5254</v>
      </c>
      <c r="B387" s="102" t="str">
        <f>Masters!D391</f>
        <v>Program Leaders and Instructors in Recreation and Sport</v>
      </c>
      <c r="C387" s="102" t="str">
        <f>Masters!E391</f>
        <v>Program leaders and instructors in recreation, sport and fitness</v>
      </c>
      <c r="D387" s="101">
        <f>Masters!F391</f>
        <v>3</v>
      </c>
      <c r="E387" s="101">
        <f>Masters!G391</f>
        <v>3</v>
      </c>
      <c r="F387" s="101">
        <f>Masters!H391</f>
        <v>4</v>
      </c>
      <c r="G387" s="101">
        <f>Masters!I391</f>
        <v>3</v>
      </c>
      <c r="H387" s="101">
        <f>Masters!J391</f>
        <v>3</v>
      </c>
      <c r="I387" s="101">
        <f>Masters!K391</f>
        <v>4</v>
      </c>
      <c r="J387" s="101">
        <f>Masters!L391</f>
        <v>3</v>
      </c>
      <c r="K387" s="101">
        <f>Masters!M391</f>
        <v>3</v>
      </c>
      <c r="L387" s="101">
        <f>Masters!N391</f>
        <v>3</v>
      </c>
    </row>
    <row r="388">
      <c r="A388" s="101">
        <f>Masters!C392</f>
        <v>5227</v>
      </c>
      <c r="B388" s="102" t="str">
        <f>Masters!D392</f>
        <v>Projectionists</v>
      </c>
      <c r="C388" s="102" t="str">
        <f>Masters!E392</f>
        <v>Support occupations in motion pictures, broadcasting, photography and the performing arts</v>
      </c>
      <c r="D388" s="101">
        <f>Masters!F392</f>
        <v>3</v>
      </c>
      <c r="E388" s="101">
        <f>Masters!G392</f>
        <v>3</v>
      </c>
      <c r="F388" s="101">
        <f>Masters!H392</f>
        <v>4</v>
      </c>
      <c r="G388" s="101">
        <f>Masters!I392</f>
        <v>3</v>
      </c>
      <c r="H388" s="101">
        <f>Masters!J392</f>
        <v>3</v>
      </c>
      <c r="I388" s="101">
        <f>Masters!K392</f>
        <v>4</v>
      </c>
      <c r="J388" s="101">
        <f>Masters!L392</f>
        <v>3</v>
      </c>
      <c r="K388" s="101">
        <f>Masters!M392</f>
        <v>3</v>
      </c>
      <c r="L388" s="101">
        <f>Masters!N392</f>
        <v>3</v>
      </c>
    </row>
    <row r="389">
      <c r="A389" s="101">
        <f>Masters!C393</f>
        <v>5227</v>
      </c>
      <c r="B389" s="102" t="str">
        <f>Masters!D393</f>
        <v>Props Persons and Set Builders</v>
      </c>
      <c r="C389" s="102" t="str">
        <f>Masters!E393</f>
        <v>Support occupations in motion pictures, broadcasting, photography and the performing arts</v>
      </c>
      <c r="D389" s="101">
        <f>Masters!F393</f>
        <v>3</v>
      </c>
      <c r="E389" s="101">
        <f>Masters!G393</f>
        <v>3</v>
      </c>
      <c r="F389" s="101">
        <f>Masters!H393</f>
        <v>3</v>
      </c>
      <c r="G389" s="101">
        <f>Masters!I393</f>
        <v>2</v>
      </c>
      <c r="H389" s="101">
        <f>Masters!J393</f>
        <v>3</v>
      </c>
      <c r="I389" s="101">
        <f>Masters!K393</f>
        <v>4</v>
      </c>
      <c r="J389" s="101">
        <f>Masters!L393</f>
        <v>3</v>
      </c>
      <c r="K389" s="101">
        <f>Masters!M393</f>
        <v>3</v>
      </c>
      <c r="L389" s="101">
        <f>Masters!N393</f>
        <v>3</v>
      </c>
    </row>
    <row r="390">
      <c r="A390" s="101">
        <f>Masters!C394</f>
        <v>3219</v>
      </c>
      <c r="B390" s="102" t="str">
        <f>Masters!D394</f>
        <v>Prosthetic and Orthotic Technicians</v>
      </c>
      <c r="C390" s="102" t="str">
        <f>Masters!E394</f>
        <v>Other medical technologists and technicians (except dental health)</v>
      </c>
      <c r="D390" s="101">
        <f>Masters!F394</f>
        <v>3</v>
      </c>
      <c r="E390" s="101">
        <f>Masters!G394</f>
        <v>3</v>
      </c>
      <c r="F390" s="101">
        <f>Masters!H394</f>
        <v>3</v>
      </c>
      <c r="G390" s="101">
        <f>Masters!I394</f>
        <v>2</v>
      </c>
      <c r="H390" s="101">
        <f>Masters!J394</f>
        <v>3</v>
      </c>
      <c r="I390" s="101">
        <f>Masters!K394</f>
        <v>4</v>
      </c>
      <c r="J390" s="101">
        <f>Masters!L394</f>
        <v>3</v>
      </c>
      <c r="K390" s="101">
        <f>Masters!M394</f>
        <v>3</v>
      </c>
      <c r="L390" s="101">
        <f>Masters!N394</f>
        <v>3</v>
      </c>
    </row>
    <row r="391">
      <c r="A391" s="101">
        <f>Masters!C395</f>
        <v>7384</v>
      </c>
      <c r="B391" s="102" t="str">
        <f>Masters!D395</f>
        <v>Recreation Vehicle Technicians</v>
      </c>
      <c r="C391" s="102" t="str">
        <f>Masters!E395</f>
        <v>Other trades and related occupations, n.e.c.</v>
      </c>
      <c r="D391" s="101">
        <f>Masters!F395</f>
        <v>3</v>
      </c>
      <c r="E391" s="101">
        <f>Masters!G395</f>
        <v>3</v>
      </c>
      <c r="F391" s="101">
        <f>Masters!H395</f>
        <v>4</v>
      </c>
      <c r="G391" s="101">
        <f>Masters!I395</f>
        <v>3</v>
      </c>
      <c r="H391" s="101">
        <f>Masters!J395</f>
        <v>3</v>
      </c>
      <c r="I391" s="101">
        <f>Masters!K395</f>
        <v>4</v>
      </c>
      <c r="J391" s="101">
        <f>Masters!L395</f>
        <v>3</v>
      </c>
      <c r="K391" s="101">
        <f>Masters!M395</f>
        <v>3</v>
      </c>
      <c r="L391" s="101">
        <f>Masters!N395</f>
        <v>3</v>
      </c>
    </row>
    <row r="392">
      <c r="A392" s="101">
        <f>Masters!C396</f>
        <v>2255</v>
      </c>
      <c r="B392" s="102" t="str">
        <f>Masters!D396</f>
        <v>Remote Sensing Technologists and Technicians</v>
      </c>
      <c r="C392" s="102" t="str">
        <f>Masters!E396</f>
        <v>Technical occupations in geomatics and meteorology</v>
      </c>
      <c r="D392" s="101">
        <f>Masters!F396</f>
        <v>2</v>
      </c>
      <c r="E392" s="101">
        <f>Masters!G396</f>
        <v>3</v>
      </c>
      <c r="F392" s="101">
        <f>Masters!H396</f>
        <v>2</v>
      </c>
      <c r="G392" s="101">
        <f>Masters!I396</f>
        <v>2</v>
      </c>
      <c r="H392" s="101">
        <f>Masters!J396</f>
        <v>2</v>
      </c>
      <c r="I392" s="101">
        <f>Masters!K396</f>
        <v>3</v>
      </c>
      <c r="J392" s="101">
        <f>Masters!L396</f>
        <v>3</v>
      </c>
      <c r="K392" s="101">
        <f>Masters!M396</f>
        <v>3</v>
      </c>
      <c r="L392" s="101">
        <f>Masters!N396</f>
        <v>3</v>
      </c>
    </row>
    <row r="393">
      <c r="A393" s="101">
        <f>Masters!C397</f>
        <v>9416</v>
      </c>
      <c r="B393" s="102" t="str">
        <f>Masters!D397</f>
        <v>Metalworking Machine Operators</v>
      </c>
      <c r="C393" s="102" t="str">
        <f>Masters!E397</f>
        <v>Metalworking and forging machine operators</v>
      </c>
      <c r="D393" s="101">
        <f>Masters!F397</f>
        <v>3</v>
      </c>
      <c r="E393" s="101">
        <f>Masters!G397</f>
        <v>4</v>
      </c>
      <c r="F393" s="101">
        <f>Masters!H397</f>
        <v>4</v>
      </c>
      <c r="G393" s="101">
        <f>Masters!I397</f>
        <v>3</v>
      </c>
      <c r="H393" s="101">
        <f>Masters!J397</f>
        <v>3</v>
      </c>
      <c r="I393" s="101">
        <f>Masters!K397</f>
        <v>4</v>
      </c>
      <c r="J393" s="101">
        <f>Masters!L397</f>
        <v>3</v>
      </c>
      <c r="K393" s="101">
        <f>Masters!M397</f>
        <v>4</v>
      </c>
      <c r="L393" s="101">
        <f>Masters!N397</f>
        <v>3</v>
      </c>
    </row>
    <row r="394">
      <c r="A394" s="101">
        <f>Masters!C398</f>
        <v>7251</v>
      </c>
      <c r="B394" s="102" t="str">
        <f>Masters!D398</f>
        <v>Plumbers</v>
      </c>
      <c r="C394" s="102" t="str">
        <f>Masters!E398</f>
        <v>Plumbers</v>
      </c>
      <c r="D394" s="101">
        <f>Masters!F398</f>
        <v>3</v>
      </c>
      <c r="E394" s="101">
        <f>Masters!G398</f>
        <v>4</v>
      </c>
      <c r="F394" s="101">
        <f>Masters!H398</f>
        <v>3</v>
      </c>
      <c r="G394" s="101">
        <f>Masters!I398</f>
        <v>3</v>
      </c>
      <c r="H394" s="101">
        <f>Masters!J398</f>
        <v>3</v>
      </c>
      <c r="I394" s="101">
        <f>Masters!K398</f>
        <v>4</v>
      </c>
      <c r="J394" s="101">
        <f>Masters!L398</f>
        <v>3</v>
      </c>
      <c r="K394" s="101">
        <f>Masters!M398</f>
        <v>3</v>
      </c>
      <c r="L394" s="101">
        <f>Masters!N398</f>
        <v>3</v>
      </c>
    </row>
    <row r="395">
      <c r="A395" s="101">
        <f>Masters!C399</f>
        <v>7441</v>
      </c>
      <c r="B395" s="102" t="str">
        <f>Masters!D399</f>
        <v>Residential and Commercial Installers and Servicers</v>
      </c>
      <c r="C395" s="102" t="str">
        <f>Masters!E399</f>
        <v>Residential and commercial installers and servicers</v>
      </c>
      <c r="D395" s="101">
        <f>Masters!F399</f>
        <v>3</v>
      </c>
      <c r="E395" s="101">
        <f>Masters!G399</f>
        <v>4</v>
      </c>
      <c r="F395" s="101">
        <f>Masters!H399</f>
        <v>4</v>
      </c>
      <c r="G395" s="101">
        <f>Masters!I399</f>
        <v>3</v>
      </c>
      <c r="H395" s="101">
        <f>Masters!J399</f>
        <v>3</v>
      </c>
      <c r="I395" s="101">
        <f>Masters!K399</f>
        <v>4</v>
      </c>
      <c r="J395" s="101">
        <f>Masters!L399</f>
        <v>3</v>
      </c>
      <c r="K395" s="101">
        <f>Masters!M399</f>
        <v>4</v>
      </c>
      <c r="L395" s="101">
        <f>Masters!N399</f>
        <v>3</v>
      </c>
    </row>
    <row r="396">
      <c r="A396" s="101">
        <f>Masters!C400</f>
        <v>7291</v>
      </c>
      <c r="B396" s="102" t="str">
        <f>Masters!D400</f>
        <v>Roofers</v>
      </c>
      <c r="C396" s="102" t="str">
        <f>Masters!E400</f>
        <v>Roofers and shinglers</v>
      </c>
      <c r="D396" s="101">
        <f>Masters!F400</f>
        <v>3</v>
      </c>
      <c r="E396" s="101">
        <f>Masters!G400</f>
        <v>4</v>
      </c>
      <c r="F396" s="101">
        <f>Masters!H400</f>
        <v>3</v>
      </c>
      <c r="G396" s="101">
        <f>Masters!I400</f>
        <v>3</v>
      </c>
      <c r="H396" s="101">
        <f>Masters!J400</f>
        <v>3</v>
      </c>
      <c r="I396" s="101">
        <f>Masters!K400</f>
        <v>4</v>
      </c>
      <c r="J396" s="101">
        <f>Masters!L400</f>
        <v>3</v>
      </c>
      <c r="K396" s="101">
        <f>Masters!M400</f>
        <v>3</v>
      </c>
      <c r="L396" s="101">
        <f>Masters!N400</f>
        <v>3</v>
      </c>
    </row>
    <row r="397">
      <c r="A397" s="101">
        <f>Masters!C401</f>
        <v>5136</v>
      </c>
      <c r="B397" s="102" t="str">
        <f>Masters!D401</f>
        <v>Sculptors</v>
      </c>
      <c r="C397" s="102" t="str">
        <f>Masters!E401</f>
        <v>Painters, sculptors and other visual artists</v>
      </c>
      <c r="D397" s="101">
        <f>Masters!F401</f>
        <v>2</v>
      </c>
      <c r="E397" s="101">
        <f>Masters!G401</f>
        <v>3</v>
      </c>
      <c r="F397" s="101">
        <f>Masters!H401</f>
        <v>4</v>
      </c>
      <c r="G397" s="101">
        <f>Masters!I401</f>
        <v>2</v>
      </c>
      <c r="H397" s="101">
        <f>Masters!J401</f>
        <v>2</v>
      </c>
      <c r="I397" s="101">
        <f>Masters!K401</f>
        <v>5</v>
      </c>
      <c r="J397" s="101">
        <f>Masters!L401</f>
        <v>2</v>
      </c>
      <c r="K397" s="101">
        <f>Masters!M401</f>
        <v>2</v>
      </c>
      <c r="L397" s="101">
        <f>Masters!N401</f>
        <v>3</v>
      </c>
    </row>
    <row r="398">
      <c r="A398" s="101">
        <f>Masters!C402</f>
        <v>7384</v>
      </c>
      <c r="B398" s="102" t="str">
        <f>Masters!D402</f>
        <v>Safe and Vault Servicers</v>
      </c>
      <c r="C398" s="102" t="str">
        <f>Masters!E402</f>
        <v>Other trades and related occupations, n.e.c.</v>
      </c>
      <c r="D398" s="101">
        <f>Masters!F402</f>
        <v>3</v>
      </c>
      <c r="E398" s="101">
        <f>Masters!G402</f>
        <v>4</v>
      </c>
      <c r="F398" s="101">
        <f>Masters!H402</f>
        <v>4</v>
      </c>
      <c r="G398" s="101">
        <f>Masters!I402</f>
        <v>3</v>
      </c>
      <c r="H398" s="101">
        <f>Masters!J402</f>
        <v>4</v>
      </c>
      <c r="I398" s="101">
        <f>Masters!K402</f>
        <v>4</v>
      </c>
      <c r="J398" s="101">
        <f>Masters!L402</f>
        <v>3</v>
      </c>
      <c r="K398" s="101">
        <f>Masters!M402</f>
        <v>3</v>
      </c>
      <c r="L398" s="101">
        <f>Masters!N402</f>
        <v>3</v>
      </c>
    </row>
    <row r="399">
      <c r="A399" s="101">
        <f>Masters!C403</f>
        <v>5252</v>
      </c>
      <c r="B399" s="102" t="str">
        <f>Masters!D403</f>
        <v>Sports Scouts</v>
      </c>
      <c r="C399" s="102" t="str">
        <f>Masters!E403</f>
        <v>Coaches</v>
      </c>
      <c r="D399" s="101">
        <f>Masters!F403</f>
        <v>3</v>
      </c>
      <c r="E399" s="101">
        <f>Masters!G403</f>
        <v>3</v>
      </c>
      <c r="F399" s="101">
        <f>Masters!H403</f>
        <v>4</v>
      </c>
      <c r="G399" s="101">
        <f>Masters!I403</f>
        <v>3</v>
      </c>
      <c r="H399" s="101">
        <f>Masters!J403</f>
        <v>3</v>
      </c>
      <c r="I399" s="101">
        <f>Masters!K403</f>
        <v>4</v>
      </c>
      <c r="J399" s="101">
        <f>Masters!L403</f>
        <v>3</v>
      </c>
      <c r="K399" s="101">
        <f>Masters!M403</f>
        <v>3</v>
      </c>
      <c r="L399" s="101">
        <f>Masters!N403</f>
        <v>3</v>
      </c>
    </row>
    <row r="400">
      <c r="A400" s="101">
        <f>Masters!C404</f>
        <v>7384</v>
      </c>
      <c r="B400" s="102" t="str">
        <f>Masters!D404</f>
        <v>Saw Fitters</v>
      </c>
      <c r="C400" s="102" t="str">
        <f>Masters!E404</f>
        <v>Other trades and related occupations, n.e.c.</v>
      </c>
      <c r="D400" s="101">
        <f>Masters!F404</f>
        <v>3</v>
      </c>
      <c r="E400" s="101">
        <f>Masters!G404</f>
        <v>4</v>
      </c>
      <c r="F400" s="101">
        <f>Masters!H404</f>
        <v>4</v>
      </c>
      <c r="G400" s="101">
        <f>Masters!I404</f>
        <v>3</v>
      </c>
      <c r="H400" s="101">
        <f>Masters!J404</f>
        <v>3</v>
      </c>
      <c r="I400" s="101">
        <f>Masters!K404</f>
        <v>4</v>
      </c>
      <c r="J400" s="101">
        <f>Masters!L404</f>
        <v>3</v>
      </c>
      <c r="K400" s="101">
        <f>Masters!M404</f>
        <v>4</v>
      </c>
      <c r="L400" s="101">
        <f>Masters!N404</f>
        <v>3</v>
      </c>
    </row>
    <row r="401">
      <c r="A401" s="101">
        <f>Masters!C405</f>
        <v>8252</v>
      </c>
      <c r="B401" s="102" t="str">
        <f>Masters!D405</f>
        <v>Specialized Livestock Workers</v>
      </c>
      <c r="C401" s="102" t="str">
        <f>Masters!E405</f>
        <v>Agricultural service contractors, farm supervisors and specialized livestock workers</v>
      </c>
      <c r="D401" s="101">
        <f>Masters!F405</f>
        <v>3</v>
      </c>
      <c r="E401" s="101">
        <f>Masters!G405</f>
        <v>4</v>
      </c>
      <c r="F401" s="101">
        <f>Masters!H405</f>
        <v>4</v>
      </c>
      <c r="G401" s="101">
        <f>Masters!I405</f>
        <v>4</v>
      </c>
      <c r="H401" s="101">
        <f>Masters!J405</f>
        <v>3</v>
      </c>
      <c r="I401" s="101">
        <f>Masters!K405</f>
        <v>4</v>
      </c>
      <c r="J401" s="101">
        <f>Masters!L405</f>
        <v>3</v>
      </c>
      <c r="K401" s="101">
        <f>Masters!M405</f>
        <v>3</v>
      </c>
      <c r="L401" s="101">
        <f>Masters!N405</f>
        <v>3</v>
      </c>
    </row>
    <row r="402">
      <c r="A402" s="101">
        <f>Masters!C406</f>
        <v>7201</v>
      </c>
      <c r="B402" s="102" t="str">
        <f>Masters!D406</f>
        <v>Supervisors, Machinists and Related Occupations</v>
      </c>
      <c r="C402" s="102" t="str">
        <f>Masters!E406</f>
        <v>Contractors and supervisors, machining, metal forming, shaping and erecting trades and related occupations</v>
      </c>
      <c r="D402" s="101">
        <f>Masters!F406</f>
        <v>3</v>
      </c>
      <c r="E402" s="101">
        <f>Masters!G406</f>
        <v>3</v>
      </c>
      <c r="F402" s="101">
        <f>Masters!H406</f>
        <v>3</v>
      </c>
      <c r="G402" s="101">
        <f>Masters!I406</f>
        <v>3</v>
      </c>
      <c r="H402" s="101">
        <f>Masters!J406</f>
        <v>3</v>
      </c>
      <c r="I402" s="101">
        <f>Masters!K406</f>
        <v>3</v>
      </c>
      <c r="J402" s="101">
        <f>Masters!L406</f>
        <v>3</v>
      </c>
      <c r="K402" s="101">
        <f>Masters!M406</f>
        <v>3</v>
      </c>
      <c r="L402" s="101">
        <f>Masters!N406</f>
        <v>3</v>
      </c>
    </row>
    <row r="403">
      <c r="A403" s="101">
        <f>Masters!C407</f>
        <v>7246</v>
      </c>
      <c r="B403" s="102" t="str">
        <f>Masters!D407</f>
        <v>Switch Network Installers and Repairers</v>
      </c>
      <c r="C403" s="102" t="str">
        <f>Masters!E407</f>
        <v>Telecommunications installation and repair workers</v>
      </c>
      <c r="D403" s="101">
        <f>Masters!F407</f>
        <v>3</v>
      </c>
      <c r="E403" s="101">
        <f>Masters!G407</f>
        <v>3</v>
      </c>
      <c r="F403" s="101">
        <f>Masters!H407</f>
        <v>4</v>
      </c>
      <c r="G403" s="101">
        <f>Masters!I407</f>
        <v>3</v>
      </c>
      <c r="H403" s="101">
        <f>Masters!J407</f>
        <v>3</v>
      </c>
      <c r="I403" s="101">
        <f>Masters!K407</f>
        <v>4</v>
      </c>
      <c r="J403" s="101">
        <f>Masters!L407</f>
        <v>3</v>
      </c>
      <c r="K403" s="101">
        <f>Masters!M407</f>
        <v>3</v>
      </c>
      <c r="L403" s="101">
        <f>Masters!N407</f>
        <v>3</v>
      </c>
    </row>
    <row r="404">
      <c r="A404" s="101">
        <f>Masters!C408</f>
        <v>5133</v>
      </c>
      <c r="B404" s="102" t="str">
        <f>Masters!D408</f>
        <v>Teachers of Music or Voice</v>
      </c>
      <c r="C404" s="102" t="str">
        <f>Masters!E408</f>
        <v>Musicians and singers</v>
      </c>
      <c r="D404" s="101">
        <f>Masters!F408</f>
        <v>2</v>
      </c>
      <c r="E404" s="101">
        <f>Masters!G408</f>
        <v>2</v>
      </c>
      <c r="F404" s="101">
        <f>Masters!H408</f>
        <v>3</v>
      </c>
      <c r="G404" s="101">
        <f>Masters!I408</f>
        <v>3</v>
      </c>
      <c r="H404" s="101">
        <f>Masters!J408</f>
        <v>3</v>
      </c>
      <c r="I404" s="101">
        <f>Masters!K408</f>
        <v>3</v>
      </c>
      <c r="J404" s="101">
        <f>Masters!L408</f>
        <v>3</v>
      </c>
      <c r="K404" s="101">
        <f>Masters!M408</f>
        <v>3</v>
      </c>
      <c r="L404" s="101">
        <f>Masters!N408</f>
        <v>3</v>
      </c>
    </row>
    <row r="405">
      <c r="A405" s="101">
        <f>Masters!C409</f>
        <v>7246</v>
      </c>
      <c r="B405" s="102" t="str">
        <f>Masters!D409</f>
        <v>Telecommunications Equipment Technicians</v>
      </c>
      <c r="C405" s="102" t="str">
        <f>Masters!E409</f>
        <v>Telecommunications installation and repair workers</v>
      </c>
      <c r="D405" s="101">
        <f>Masters!F409</f>
        <v>3</v>
      </c>
      <c r="E405" s="101">
        <f>Masters!G409</f>
        <v>3</v>
      </c>
      <c r="F405" s="101">
        <f>Masters!H409</f>
        <v>4</v>
      </c>
      <c r="G405" s="101">
        <f>Masters!I409</f>
        <v>3</v>
      </c>
      <c r="H405" s="101">
        <f>Masters!J409</f>
        <v>3</v>
      </c>
      <c r="I405" s="101">
        <f>Masters!K409</f>
        <v>4</v>
      </c>
      <c r="J405" s="101">
        <f>Masters!L409</f>
        <v>3</v>
      </c>
      <c r="K405" s="101">
        <f>Masters!M409</f>
        <v>3</v>
      </c>
      <c r="L405" s="101">
        <f>Masters!N409</f>
        <v>3</v>
      </c>
    </row>
    <row r="406">
      <c r="A406" s="101">
        <f>Masters!C410</f>
        <v>7246</v>
      </c>
      <c r="B406" s="102" t="str">
        <f>Masters!D410</f>
        <v>Telecommunications Service Testers</v>
      </c>
      <c r="C406" s="102" t="str">
        <f>Masters!E410</f>
        <v>Telecommunications installation and repair workers</v>
      </c>
      <c r="D406" s="101">
        <f>Masters!F410</f>
        <v>3</v>
      </c>
      <c r="E406" s="101">
        <f>Masters!G410</f>
        <v>3</v>
      </c>
      <c r="F406" s="101">
        <f>Masters!H410</f>
        <v>4</v>
      </c>
      <c r="G406" s="101">
        <f>Masters!I410</f>
        <v>3</v>
      </c>
      <c r="H406" s="101">
        <f>Masters!J410</f>
        <v>3</v>
      </c>
      <c r="I406" s="101">
        <f>Masters!K410</f>
        <v>4</v>
      </c>
      <c r="J406" s="101">
        <f>Masters!L410</f>
        <v>3</v>
      </c>
      <c r="K406" s="101">
        <f>Masters!M410</f>
        <v>3</v>
      </c>
      <c r="L406" s="101">
        <f>Masters!N410</f>
        <v>3</v>
      </c>
    </row>
    <row r="407">
      <c r="A407" s="101">
        <f>Masters!C411</f>
        <v>7246</v>
      </c>
      <c r="B407" s="102" t="str">
        <f>Masters!D411</f>
        <v>Telephone Installers and Repairers</v>
      </c>
      <c r="C407" s="102" t="str">
        <f>Masters!E411</f>
        <v>Telecommunications installation and repair workers</v>
      </c>
      <c r="D407" s="101">
        <f>Masters!F411</f>
        <v>3</v>
      </c>
      <c r="E407" s="101">
        <f>Masters!G411</f>
        <v>3</v>
      </c>
      <c r="F407" s="101">
        <f>Masters!H411</f>
        <v>4</v>
      </c>
      <c r="G407" s="101">
        <f>Masters!I411</f>
        <v>3</v>
      </c>
      <c r="H407" s="101">
        <f>Masters!J411</f>
        <v>3</v>
      </c>
      <c r="I407" s="101">
        <f>Masters!K411</f>
        <v>4</v>
      </c>
      <c r="J407" s="101">
        <f>Masters!L411</f>
        <v>3</v>
      </c>
      <c r="K407" s="101">
        <f>Masters!M411</f>
        <v>3</v>
      </c>
      <c r="L407" s="101">
        <f>Masters!N411</f>
        <v>3</v>
      </c>
    </row>
    <row r="408">
      <c r="A408" s="101">
        <f>Masters!C412</f>
        <v>7321</v>
      </c>
      <c r="B408" s="102" t="str">
        <f>Masters!D412</f>
        <v>Transport Truck and Trailer Mechanics</v>
      </c>
      <c r="C408" s="102" t="str">
        <f>Masters!E412</f>
        <v>Automotive service technicians, truck and bus mechanics and mechanical repairers</v>
      </c>
      <c r="D408" s="101">
        <f>Masters!F412</f>
        <v>3</v>
      </c>
      <c r="E408" s="101">
        <f>Masters!G412</f>
        <v>3</v>
      </c>
      <c r="F408" s="101">
        <f>Masters!H412</f>
        <v>4</v>
      </c>
      <c r="G408" s="101">
        <f>Masters!I412</f>
        <v>3</v>
      </c>
      <c r="H408" s="101">
        <f>Masters!J412</f>
        <v>3</v>
      </c>
      <c r="I408" s="101">
        <f>Masters!K412</f>
        <v>4</v>
      </c>
      <c r="J408" s="101">
        <f>Masters!L412</f>
        <v>3</v>
      </c>
      <c r="K408" s="101">
        <f>Masters!M412</f>
        <v>3</v>
      </c>
      <c r="L408" s="101">
        <f>Masters!N412</f>
        <v>3</v>
      </c>
    </row>
    <row r="409">
      <c r="A409" s="101">
        <f>Masters!C413</f>
        <v>6345</v>
      </c>
      <c r="B409" s="102" t="str">
        <f>Masters!D413</f>
        <v>Upholsterers</v>
      </c>
      <c r="C409" s="102" t="str">
        <f>Masters!E413</f>
        <v>Upholsterers</v>
      </c>
      <c r="D409" s="101">
        <f>Masters!F413</f>
        <v>3</v>
      </c>
      <c r="E409" s="101">
        <f>Masters!G413</f>
        <v>3</v>
      </c>
      <c r="F409" s="101">
        <f>Masters!H413</f>
        <v>3</v>
      </c>
      <c r="G409" s="101">
        <f>Masters!I413</f>
        <v>2</v>
      </c>
      <c r="H409" s="101">
        <f>Masters!J413</f>
        <v>3</v>
      </c>
      <c r="I409" s="101">
        <f>Masters!K413</f>
        <v>4</v>
      </c>
      <c r="J409" s="101">
        <f>Masters!L413</f>
        <v>3</v>
      </c>
      <c r="K409" s="101">
        <f>Masters!M413</f>
        <v>3</v>
      </c>
      <c r="L409" s="101">
        <f>Masters!N413</f>
        <v>3</v>
      </c>
    </row>
    <row r="410">
      <c r="A410" s="101">
        <f>Masters!C414</f>
        <v>3213</v>
      </c>
      <c r="B410" s="102" t="str">
        <f>Masters!D414</f>
        <v>Veterinary and Animal Health Technologists and Technicians</v>
      </c>
      <c r="C410" s="102" t="str">
        <f>Masters!E414</f>
        <v>Animal health technologists and veterinary technicians</v>
      </c>
      <c r="D410" s="101">
        <f>Masters!F414</f>
        <v>3</v>
      </c>
      <c r="E410" s="101">
        <f>Masters!G414</f>
        <v>3</v>
      </c>
      <c r="F410" s="101">
        <f>Masters!H414</f>
        <v>3</v>
      </c>
      <c r="G410" s="101">
        <f>Masters!I414</f>
        <v>3</v>
      </c>
      <c r="H410" s="101">
        <f>Masters!J414</f>
        <v>3</v>
      </c>
      <c r="I410" s="101">
        <f>Masters!K414</f>
        <v>3</v>
      </c>
      <c r="J410" s="101">
        <f>Masters!L414</f>
        <v>3</v>
      </c>
      <c r="K410" s="101">
        <f>Masters!M414</f>
        <v>3</v>
      </c>
      <c r="L410" s="101">
        <f>Masters!N414</f>
        <v>3</v>
      </c>
    </row>
    <row r="411">
      <c r="A411" s="101">
        <f>Masters!C415</f>
        <v>9414</v>
      </c>
      <c r="B411" s="102" t="str">
        <f>Masters!D415</f>
        <v>Stone Forming and Finishing Workers</v>
      </c>
      <c r="C411" s="102" t="str">
        <f>Masters!E415</f>
        <v>Concrete, clay and stone forming operators</v>
      </c>
      <c r="D411" s="101">
        <f>Masters!F415</f>
        <v>3</v>
      </c>
      <c r="E411" s="101">
        <f>Masters!G415</f>
        <v>4</v>
      </c>
      <c r="F411" s="101">
        <f>Masters!H415</f>
        <v>4</v>
      </c>
      <c r="G411" s="101">
        <f>Masters!I415</f>
        <v>3</v>
      </c>
      <c r="H411" s="101">
        <f>Masters!J415</f>
        <v>3</v>
      </c>
      <c r="I411" s="101">
        <f>Masters!K415</f>
        <v>4</v>
      </c>
      <c r="J411" s="101">
        <f>Masters!L415</f>
        <v>3</v>
      </c>
      <c r="K411" s="101">
        <f>Masters!M415</f>
        <v>4</v>
      </c>
      <c r="L411" s="101">
        <f>Masters!N415</f>
        <v>3</v>
      </c>
    </row>
    <row r="412">
      <c r="A412" s="101">
        <f>Masters!C416</f>
        <v>2281</v>
      </c>
      <c r="B412" s="102" t="str">
        <f>Masters!D416</f>
        <v>Web Technicians</v>
      </c>
      <c r="C412" s="102" t="str">
        <f>Masters!E416</f>
        <v>Computer network technicians</v>
      </c>
      <c r="D412" s="101">
        <f>Masters!F416</f>
        <v>2</v>
      </c>
      <c r="E412" s="101">
        <f>Masters!G416</f>
        <v>3</v>
      </c>
      <c r="F412" s="101">
        <f>Masters!H416</f>
        <v>2</v>
      </c>
      <c r="G412" s="101">
        <f>Masters!I416</f>
        <v>3</v>
      </c>
      <c r="H412" s="101">
        <f>Masters!J416</f>
        <v>3</v>
      </c>
      <c r="I412" s="101">
        <f>Masters!K416</f>
        <v>3</v>
      </c>
      <c r="J412" s="101">
        <f>Masters!L416</f>
        <v>3</v>
      </c>
      <c r="K412" s="101">
        <f>Masters!M416</f>
        <v>3</v>
      </c>
      <c r="L412" s="101">
        <f>Masters!N416</f>
        <v>3</v>
      </c>
    </row>
    <row r="413">
      <c r="A413" s="101">
        <f>Masters!C417</f>
        <v>7235</v>
      </c>
      <c r="B413" s="102" t="str">
        <f>Masters!D417</f>
        <v>Structural Metal and Platework Fabricators and Fitters</v>
      </c>
      <c r="C413" s="102" t="str">
        <f>Masters!E417</f>
        <v>Structural metal and platework fabricators and fitters</v>
      </c>
      <c r="D413" s="101">
        <f>Masters!F417</f>
        <v>3</v>
      </c>
      <c r="E413" s="101">
        <f>Masters!G417</f>
        <v>4</v>
      </c>
      <c r="F413" s="101">
        <f>Masters!H417</f>
        <v>3</v>
      </c>
      <c r="G413" s="101">
        <f>Masters!I417</f>
        <v>3</v>
      </c>
      <c r="H413" s="101">
        <f>Masters!J417</f>
        <v>3</v>
      </c>
      <c r="I413" s="101">
        <f>Masters!K417</f>
        <v>4</v>
      </c>
      <c r="J413" s="101">
        <f>Masters!L417</f>
        <v>3</v>
      </c>
      <c r="K413" s="101">
        <f>Masters!M417</f>
        <v>3</v>
      </c>
      <c r="L413" s="101">
        <f>Masters!N417</f>
        <v>3</v>
      </c>
    </row>
    <row r="414">
      <c r="A414" s="101">
        <f>Masters!C418</f>
        <v>9442</v>
      </c>
      <c r="B414" s="102" t="str">
        <f>Masters!D418</f>
        <v>Weavers, Knitters and Other Fabric-Making Occupations</v>
      </c>
      <c r="C414" s="102" t="str">
        <f>Masters!E418</f>
        <v>Weavers, knitters and other fabric making occupations</v>
      </c>
      <c r="D414" s="101">
        <f>Masters!F418</f>
        <v>3</v>
      </c>
      <c r="E414" s="101">
        <f>Masters!G418</f>
        <v>4</v>
      </c>
      <c r="F414" s="101">
        <f>Masters!H418</f>
        <v>4</v>
      </c>
      <c r="G414" s="101">
        <f>Masters!I418</f>
        <v>4</v>
      </c>
      <c r="H414" s="101">
        <f>Masters!J418</f>
        <v>3</v>
      </c>
      <c r="I414" s="101">
        <f>Masters!K418</f>
        <v>4</v>
      </c>
      <c r="J414" s="101">
        <f>Masters!L418</f>
        <v>3</v>
      </c>
      <c r="K414" s="101">
        <f>Masters!M418</f>
        <v>3</v>
      </c>
      <c r="L414" s="101">
        <f>Masters!N418</f>
        <v>3</v>
      </c>
    </row>
    <row r="415">
      <c r="A415" s="101">
        <f>Masters!C419</f>
        <v>9521</v>
      </c>
      <c r="B415" s="102" t="str">
        <f>Masters!D419</f>
        <v>Aircraft Assemblers</v>
      </c>
      <c r="C415" s="102" t="str">
        <f>Masters!E419</f>
        <v>Aircraft assemblers and aircraft assembly inspectors</v>
      </c>
      <c r="D415" s="101">
        <f>Masters!F419</f>
        <v>3</v>
      </c>
      <c r="E415" s="101">
        <f>Masters!G419</f>
        <v>3</v>
      </c>
      <c r="F415" s="101">
        <f>Masters!H419</f>
        <v>3</v>
      </c>
      <c r="G415" s="101">
        <f>Masters!I419</f>
        <v>3</v>
      </c>
      <c r="H415" s="101">
        <f>Masters!J419</f>
        <v>3</v>
      </c>
      <c r="I415" s="101">
        <f>Masters!K419</f>
        <v>4</v>
      </c>
      <c r="J415" s="101">
        <f>Masters!L419</f>
        <v>3</v>
      </c>
      <c r="K415" s="101">
        <f>Masters!M419</f>
        <v>3</v>
      </c>
      <c r="L415" s="101">
        <f>Masters!N419</f>
        <v>3</v>
      </c>
    </row>
    <row r="416">
      <c r="A416" s="101">
        <f>Masters!C420</f>
        <v>7315</v>
      </c>
      <c r="B416" s="102" t="str">
        <f>Masters!D420</f>
        <v>Aircraft Inspectors</v>
      </c>
      <c r="C416" s="102" t="str">
        <f>Masters!E420</f>
        <v>Aircraft mechanics and aircraft inspectors</v>
      </c>
      <c r="D416" s="101">
        <f>Masters!F420</f>
        <v>3</v>
      </c>
      <c r="E416" s="101">
        <f>Masters!G420</f>
        <v>3</v>
      </c>
      <c r="F416" s="101">
        <f>Masters!H420</f>
        <v>3</v>
      </c>
      <c r="G416" s="101">
        <f>Masters!I420</f>
        <v>2</v>
      </c>
      <c r="H416" s="101">
        <f>Masters!J420</f>
        <v>2</v>
      </c>
      <c r="I416" s="101">
        <f>Masters!K420</f>
        <v>4</v>
      </c>
      <c r="J416" s="101">
        <f>Masters!L420</f>
        <v>3</v>
      </c>
      <c r="K416" s="101">
        <f>Masters!M420</f>
        <v>3</v>
      </c>
      <c r="L416" s="101">
        <f>Masters!N420</f>
        <v>3</v>
      </c>
    </row>
    <row r="417">
      <c r="A417" s="101">
        <f>Masters!C421</f>
        <v>6342</v>
      </c>
      <c r="B417" s="102" t="str">
        <f>Masters!D421</f>
        <v>Alterationists</v>
      </c>
      <c r="C417" s="102" t="str">
        <f>Masters!E421</f>
        <v>Tailors, dressmakers, furriers and milliners</v>
      </c>
      <c r="D417" s="101">
        <f>Masters!F421</f>
        <v>3</v>
      </c>
      <c r="E417" s="101">
        <f>Masters!G421</f>
        <v>3</v>
      </c>
      <c r="F417" s="101">
        <f>Masters!H421</f>
        <v>4</v>
      </c>
      <c r="G417" s="101">
        <f>Masters!I421</f>
        <v>3</v>
      </c>
      <c r="H417" s="101">
        <f>Masters!J421</f>
        <v>3</v>
      </c>
      <c r="I417" s="101">
        <f>Masters!K421</f>
        <v>4</v>
      </c>
      <c r="J417" s="101">
        <f>Masters!L421</f>
        <v>3</v>
      </c>
      <c r="K417" s="101">
        <f>Masters!M421</f>
        <v>2</v>
      </c>
      <c r="L417" s="101">
        <f>Masters!N421</f>
        <v>3</v>
      </c>
    </row>
    <row r="418">
      <c r="A418" s="101">
        <f>Masters!C422</f>
        <v>2225</v>
      </c>
      <c r="B418" s="102" t="str">
        <f>Masters!D422</f>
        <v>Arborists and Tree Service Technicians</v>
      </c>
      <c r="C418" s="102" t="str">
        <f>Masters!E422</f>
        <v>Landscape and horticulture technicians and specialists</v>
      </c>
      <c r="D418" s="101">
        <f>Masters!F422</f>
        <v>2</v>
      </c>
      <c r="E418" s="101">
        <f>Masters!G422</f>
        <v>3</v>
      </c>
      <c r="F418" s="101">
        <f>Masters!H422</f>
        <v>3</v>
      </c>
      <c r="G418" s="101">
        <f>Masters!I422</f>
        <v>3</v>
      </c>
      <c r="H418" s="101">
        <f>Masters!J422</f>
        <v>3</v>
      </c>
      <c r="I418" s="101">
        <f>Masters!K422</f>
        <v>4</v>
      </c>
      <c r="J418" s="101">
        <f>Masters!L422</f>
        <v>4</v>
      </c>
      <c r="K418" s="101">
        <f>Masters!M422</f>
        <v>3</v>
      </c>
      <c r="L418" s="101">
        <f>Masters!N422</f>
        <v>3</v>
      </c>
    </row>
    <row r="419">
      <c r="A419" s="101">
        <f>Masters!C423</f>
        <v>2251</v>
      </c>
      <c r="B419" s="102" t="str">
        <f>Masters!D423</f>
        <v>Architectural Technologists and Technicians</v>
      </c>
      <c r="C419" s="102" t="str">
        <f>Masters!E423</f>
        <v>Architectural technologists and technicians</v>
      </c>
      <c r="D419" s="101">
        <f>Masters!F423</f>
        <v>2</v>
      </c>
      <c r="E419" s="101">
        <f>Masters!G423</f>
        <v>2</v>
      </c>
      <c r="F419" s="101">
        <f>Masters!H423</f>
        <v>2</v>
      </c>
      <c r="G419" s="101">
        <f>Masters!I423</f>
        <v>2</v>
      </c>
      <c r="H419" s="101">
        <f>Masters!J423</f>
        <v>2</v>
      </c>
      <c r="I419" s="101">
        <f>Masters!K423</f>
        <v>3</v>
      </c>
      <c r="J419" s="101">
        <f>Masters!L423</f>
        <v>3</v>
      </c>
      <c r="K419" s="101">
        <f>Masters!M423</f>
        <v>3</v>
      </c>
      <c r="L419" s="101">
        <f>Masters!N423</f>
        <v>4</v>
      </c>
    </row>
    <row r="420">
      <c r="A420" s="101">
        <f>Masters!C424</f>
        <v>5132</v>
      </c>
      <c r="B420" s="102" t="str">
        <f>Masters!D424</f>
        <v>Arrangers</v>
      </c>
      <c r="C420" s="102" t="str">
        <f>Masters!E424</f>
        <v>Conductors, composers and arrangers</v>
      </c>
      <c r="D420" s="101">
        <f>Masters!F424</f>
        <v>1</v>
      </c>
      <c r="E420" s="101">
        <f>Masters!G424</f>
        <v>2</v>
      </c>
      <c r="F420" s="101">
        <f>Masters!H424</f>
        <v>3</v>
      </c>
      <c r="G420" s="101">
        <f>Masters!I424</f>
        <v>3</v>
      </c>
      <c r="H420" s="101">
        <f>Masters!J424</f>
        <v>3</v>
      </c>
      <c r="I420" s="101">
        <f>Masters!K424</f>
        <v>2</v>
      </c>
      <c r="J420" s="101">
        <f>Masters!L424</f>
        <v>3</v>
      </c>
      <c r="K420" s="101">
        <f>Masters!M424</f>
        <v>3</v>
      </c>
      <c r="L420" s="101">
        <f>Masters!N424</f>
        <v>3</v>
      </c>
    </row>
    <row r="421">
      <c r="A421" s="101">
        <f>Masters!C425</f>
        <v>5131</v>
      </c>
      <c r="B421" s="102" t="str">
        <f>Masters!D425</f>
        <v>Art Directors</v>
      </c>
      <c r="C421" s="102" t="str">
        <f>Masters!E425</f>
        <v>Producers, directors, choreographers and related occupations</v>
      </c>
      <c r="D421" s="101">
        <f>Masters!F425</f>
        <v>2</v>
      </c>
      <c r="E421" s="101">
        <f>Masters!G425</f>
        <v>2</v>
      </c>
      <c r="F421" s="101">
        <f>Masters!H425</f>
        <v>3</v>
      </c>
      <c r="G421" s="101">
        <f>Masters!I425</f>
        <v>2</v>
      </c>
      <c r="H421" s="101">
        <f>Masters!J425</f>
        <v>3</v>
      </c>
      <c r="I421" s="101">
        <f>Masters!K425</f>
        <v>3</v>
      </c>
      <c r="J421" s="101">
        <f>Masters!L425</f>
        <v>4</v>
      </c>
      <c r="K421" s="101">
        <f>Masters!M425</f>
        <v>4</v>
      </c>
      <c r="L421" s="101">
        <f>Masters!N425</f>
        <v>4</v>
      </c>
    </row>
    <row r="422">
      <c r="A422" s="101">
        <f>Masters!C426</f>
        <v>6562</v>
      </c>
      <c r="B422" s="102" t="str">
        <f>Masters!D426</f>
        <v>Tattoo Artists</v>
      </c>
      <c r="C422" s="102" t="str">
        <f>Masters!E426</f>
        <v>Estheticians, electrologists and related occupations</v>
      </c>
      <c r="D422" s="101">
        <f>Masters!F426</f>
        <v>4</v>
      </c>
      <c r="E422" s="101">
        <f>Masters!G426</f>
        <v>4</v>
      </c>
      <c r="F422" s="101">
        <f>Masters!H426</f>
        <v>4</v>
      </c>
      <c r="G422" s="101">
        <f>Masters!I426</f>
        <v>3</v>
      </c>
      <c r="H422" s="101">
        <f>Masters!J426</f>
        <v>3</v>
      </c>
      <c r="I422" s="101">
        <f>Masters!K426</f>
        <v>4</v>
      </c>
      <c r="J422" s="101">
        <f>Masters!L426</f>
        <v>3</v>
      </c>
      <c r="K422" s="101">
        <f>Masters!M426</f>
        <v>2</v>
      </c>
      <c r="L422" s="101">
        <f>Masters!N426</f>
        <v>3</v>
      </c>
    </row>
    <row r="423">
      <c r="A423" s="101">
        <f>Masters!C427</f>
        <v>3237</v>
      </c>
      <c r="B423" s="102" t="str">
        <f>Masters!D427</f>
        <v>Audio Prosthetists</v>
      </c>
      <c r="C423" s="102" t="str">
        <f>Masters!E427</f>
        <v>Other technical occupations in therapy and assessment</v>
      </c>
      <c r="D423" s="101">
        <f>Masters!F427</f>
        <v>3</v>
      </c>
      <c r="E423" s="101">
        <f>Masters!G427</f>
        <v>3</v>
      </c>
      <c r="F423" s="101">
        <f>Masters!H427</f>
        <v>3</v>
      </c>
      <c r="G423" s="101">
        <f>Masters!I427</f>
        <v>4</v>
      </c>
      <c r="H423" s="101">
        <f>Masters!J427</f>
        <v>4</v>
      </c>
      <c r="I423" s="101">
        <f>Masters!K427</f>
        <v>3</v>
      </c>
      <c r="J423" s="101">
        <f>Masters!L427</f>
        <v>3</v>
      </c>
      <c r="K423" s="101">
        <f>Masters!M427</f>
        <v>3</v>
      </c>
      <c r="L423" s="101">
        <f>Masters!N427</f>
        <v>3</v>
      </c>
    </row>
    <row r="424">
      <c r="A424" s="101">
        <f>Masters!C428</f>
        <v>3237</v>
      </c>
      <c r="B424" s="102" t="str">
        <f>Masters!D428</f>
        <v>Audiometric Assistants</v>
      </c>
      <c r="C424" s="102" t="str">
        <f>Masters!E428</f>
        <v>Other technical occupations in therapy and assessment</v>
      </c>
      <c r="D424" s="101">
        <f>Masters!F428</f>
        <v>3</v>
      </c>
      <c r="E424" s="101">
        <f>Masters!G428</f>
        <v>3</v>
      </c>
      <c r="F424" s="101">
        <f>Masters!H428</f>
        <v>4</v>
      </c>
      <c r="G424" s="101">
        <f>Masters!I428</f>
        <v>4</v>
      </c>
      <c r="H424" s="101">
        <f>Masters!J428</f>
        <v>4</v>
      </c>
      <c r="I424" s="101">
        <f>Masters!K428</f>
        <v>3</v>
      </c>
      <c r="J424" s="101">
        <f>Masters!L428</f>
        <v>4</v>
      </c>
      <c r="K424" s="101">
        <f>Masters!M428</f>
        <v>3</v>
      </c>
      <c r="L424" s="101">
        <f>Masters!N428</f>
        <v>3</v>
      </c>
    </row>
    <row r="425">
      <c r="A425" s="101">
        <f>Masters!C429</f>
        <v>2244</v>
      </c>
      <c r="B425" s="102" t="str">
        <f>Masters!D429</f>
        <v>Avionics Mechanics and Technicians</v>
      </c>
      <c r="C425" s="102" t="str">
        <f>Masters!E429</f>
        <v>Aircraft instrument, electrical and avionics mechanics, technicians and inspectors</v>
      </c>
      <c r="D425" s="101">
        <f>Masters!F429</f>
        <v>3</v>
      </c>
      <c r="E425" s="101">
        <f>Masters!G429</f>
        <v>3</v>
      </c>
      <c r="F425" s="101">
        <f>Masters!H429</f>
        <v>3</v>
      </c>
      <c r="G425" s="101">
        <f>Masters!I429</f>
        <v>2</v>
      </c>
      <c r="H425" s="101">
        <f>Masters!J429</f>
        <v>2</v>
      </c>
      <c r="I425" s="101">
        <f>Masters!K429</f>
        <v>4</v>
      </c>
      <c r="J425" s="101">
        <f>Masters!L429</f>
        <v>2</v>
      </c>
      <c r="K425" s="101">
        <f>Masters!M429</f>
        <v>1</v>
      </c>
      <c r="L425" s="101">
        <f>Masters!N429</f>
        <v>1</v>
      </c>
    </row>
    <row r="426">
      <c r="A426" s="101">
        <f>Masters!C430</f>
        <v>6722</v>
      </c>
      <c r="B426" s="102" t="str">
        <f>Masters!D430</f>
        <v>Amusement Attraction Operators</v>
      </c>
      <c r="C426" s="102" t="str">
        <f>Masters!E430</f>
        <v>Operators and attendants in amusement, recreation and sport</v>
      </c>
      <c r="D426" s="101">
        <f>Masters!F430</f>
        <v>4</v>
      </c>
      <c r="E426" s="101">
        <f>Masters!G430</f>
        <v>4</v>
      </c>
      <c r="F426" s="101">
        <f>Masters!H430</f>
        <v>4</v>
      </c>
      <c r="G426" s="101">
        <f>Masters!I430</f>
        <v>3</v>
      </c>
      <c r="H426" s="101">
        <f>Masters!J430</f>
        <v>4</v>
      </c>
      <c r="I426" s="101">
        <f>Masters!K430</f>
        <v>4</v>
      </c>
      <c r="J426" s="101">
        <f>Masters!L430</f>
        <v>3</v>
      </c>
      <c r="K426" s="101">
        <f>Masters!M430</f>
        <v>4</v>
      </c>
      <c r="L426" s="101">
        <f>Masters!N430</f>
        <v>3</v>
      </c>
    </row>
    <row r="427">
      <c r="A427" s="101">
        <f>Masters!C431</f>
        <v>6722</v>
      </c>
      <c r="B427" s="102" t="str">
        <f>Masters!D431</f>
        <v>Attendants in Amusement, Recreation and Sport</v>
      </c>
      <c r="C427" s="102" t="str">
        <f>Masters!E431</f>
        <v>Operators and attendants in amusement, recreation and sport</v>
      </c>
      <c r="D427" s="101">
        <f>Masters!F431</f>
        <v>4</v>
      </c>
      <c r="E427" s="101">
        <f>Masters!G431</f>
        <v>4</v>
      </c>
      <c r="F427" s="101">
        <f>Masters!H431</f>
        <v>3</v>
      </c>
      <c r="G427" s="101">
        <f>Masters!I431</f>
        <v>3</v>
      </c>
      <c r="H427" s="101">
        <f>Masters!J431</f>
        <v>4</v>
      </c>
      <c r="I427" s="101">
        <f>Masters!K431</f>
        <v>3</v>
      </c>
      <c r="J427" s="101">
        <f>Masters!L431</f>
        <v>3</v>
      </c>
      <c r="K427" s="101">
        <f>Masters!M431</f>
        <v>4</v>
      </c>
      <c r="L427" s="101">
        <f>Masters!N431</f>
        <v>3</v>
      </c>
    </row>
    <row r="428">
      <c r="A428" s="101">
        <f>Masters!C432</f>
        <v>7281</v>
      </c>
      <c r="B428" s="102" t="str">
        <f>Masters!D432</f>
        <v>Bricklayers</v>
      </c>
      <c r="C428" s="102" t="str">
        <f>Masters!E432</f>
        <v>Bricklayers</v>
      </c>
      <c r="D428" s="101">
        <f>Masters!F432</f>
        <v>3</v>
      </c>
      <c r="E428" s="101">
        <f>Masters!G432</f>
        <v>4</v>
      </c>
      <c r="F428" s="101">
        <f>Masters!H432</f>
        <v>3</v>
      </c>
      <c r="G428" s="101">
        <f>Masters!I432</f>
        <v>3</v>
      </c>
      <c r="H428" s="101">
        <f>Masters!J432</f>
        <v>4</v>
      </c>
      <c r="I428" s="101">
        <f>Masters!K432</f>
        <v>4</v>
      </c>
      <c r="J428" s="101">
        <f>Masters!L432</f>
        <v>3</v>
      </c>
      <c r="K428" s="101">
        <f>Masters!M432</f>
        <v>4</v>
      </c>
      <c r="L428" s="101">
        <f>Masters!N432</f>
        <v>3</v>
      </c>
    </row>
    <row r="429">
      <c r="A429" s="101">
        <f>Masters!C433</f>
        <v>6321</v>
      </c>
      <c r="B429" s="102" t="str">
        <f>Masters!D433</f>
        <v>Chefs and Specialist Chefs</v>
      </c>
      <c r="C429" s="102" t="str">
        <f>Masters!E433</f>
        <v>Chefs</v>
      </c>
      <c r="D429" s="101">
        <f>Masters!F433</f>
        <v>3</v>
      </c>
      <c r="E429" s="101">
        <f>Masters!G433</f>
        <v>3</v>
      </c>
      <c r="F429" s="101">
        <f>Masters!H433</f>
        <v>3</v>
      </c>
      <c r="G429" s="101">
        <f>Masters!I433</f>
        <v>4</v>
      </c>
      <c r="H429" s="101">
        <f>Masters!J433</f>
        <v>3</v>
      </c>
      <c r="I429" s="101">
        <f>Masters!K433</f>
        <v>4</v>
      </c>
      <c r="J429" s="101">
        <f>Masters!L433</f>
        <v>3</v>
      </c>
      <c r="K429" s="101">
        <f>Masters!M433</f>
        <v>3</v>
      </c>
      <c r="L429" s="101">
        <f>Masters!N433</f>
        <v>3</v>
      </c>
    </row>
    <row r="430">
      <c r="A430" s="101">
        <f>Masters!C434</f>
        <v>7533</v>
      </c>
      <c r="B430" s="102" t="str">
        <f>Masters!D434</f>
        <v>Cable Ferry Operators</v>
      </c>
      <c r="C430" s="102" t="str">
        <f>Masters!E434</f>
        <v>Boat and cable ferry operators and related occupations</v>
      </c>
      <c r="D430" s="101">
        <f>Masters!F434</f>
        <v>3</v>
      </c>
      <c r="E430" s="101">
        <f>Masters!G434</f>
        <v>4</v>
      </c>
      <c r="F430" s="101">
        <f>Masters!H434</f>
        <v>4</v>
      </c>
      <c r="G430" s="101">
        <f>Masters!I434</f>
        <v>3</v>
      </c>
      <c r="H430" s="101">
        <f>Masters!J434</f>
        <v>3</v>
      </c>
      <c r="I430" s="101">
        <f>Masters!K434</f>
        <v>5</v>
      </c>
      <c r="J430" s="101">
        <f>Masters!L434</f>
        <v>4</v>
      </c>
      <c r="K430" s="101">
        <f>Masters!M434</f>
        <v>4</v>
      </c>
      <c r="L430" s="101">
        <f>Masters!N434</f>
        <v>3</v>
      </c>
    </row>
    <row r="431">
      <c r="A431" s="101">
        <f>Masters!C435</f>
        <v>2211</v>
      </c>
      <c r="B431" s="102" t="str">
        <f>Masters!D435</f>
        <v>Chemical Technologists</v>
      </c>
      <c r="C431" s="102" t="str">
        <f>Masters!E435</f>
        <v>Chemical technologists and technicians</v>
      </c>
      <c r="D431" s="101">
        <f>Masters!F435</f>
        <v>2</v>
      </c>
      <c r="E431" s="101">
        <f>Masters!G435</f>
        <v>2</v>
      </c>
      <c r="F431" s="101">
        <f>Masters!H435</f>
        <v>2</v>
      </c>
      <c r="G431" s="101">
        <f>Masters!I435</f>
        <v>3</v>
      </c>
      <c r="H431" s="101">
        <f>Masters!J435</f>
        <v>2</v>
      </c>
      <c r="I431" s="101">
        <f>Masters!K435</f>
        <v>3</v>
      </c>
      <c r="J431" s="101">
        <f>Masters!L435</f>
        <v>3</v>
      </c>
      <c r="K431" s="101">
        <f>Masters!M435</f>
        <v>3</v>
      </c>
      <c r="L431" s="101">
        <f>Masters!N435</f>
        <v>3</v>
      </c>
    </row>
    <row r="432">
      <c r="A432" s="101">
        <f>Masters!C436</f>
        <v>3232</v>
      </c>
      <c r="B432" s="102" t="str">
        <f>Masters!D436</f>
        <v>Chinese Medical Practitioners</v>
      </c>
      <c r="C432" s="102" t="str">
        <f>Masters!E436</f>
        <v>Practitioners of natural healing</v>
      </c>
      <c r="D432" s="101">
        <f>Masters!F436</f>
        <v>3</v>
      </c>
      <c r="E432" s="101">
        <f>Masters!G436</f>
        <v>3</v>
      </c>
      <c r="F432" s="101">
        <f>Masters!H436</f>
        <v>4</v>
      </c>
      <c r="G432" s="101">
        <f>Masters!I436</f>
        <v>4</v>
      </c>
      <c r="H432" s="101">
        <f>Masters!J436</f>
        <v>4</v>
      </c>
      <c r="I432" s="101">
        <f>Masters!K436</f>
        <v>3</v>
      </c>
      <c r="J432" s="101">
        <f>Masters!L436</f>
        <v>3</v>
      </c>
      <c r="K432" s="101">
        <f>Masters!M436</f>
        <v>4</v>
      </c>
      <c r="L432" s="101">
        <f>Masters!N436</f>
        <v>3</v>
      </c>
    </row>
    <row r="433">
      <c r="A433" s="101">
        <f>Masters!C437</f>
        <v>5131</v>
      </c>
      <c r="B433" s="102" t="str">
        <f>Masters!D437</f>
        <v>Choreographers</v>
      </c>
      <c r="C433" s="102" t="str">
        <f>Masters!E437</f>
        <v>Producers, directors, choreographers and related occupations</v>
      </c>
      <c r="D433" s="101">
        <f>Masters!F437</f>
        <v>2</v>
      </c>
      <c r="E433" s="101">
        <f>Masters!G437</f>
        <v>2</v>
      </c>
      <c r="F433" s="101">
        <f>Masters!H437</f>
        <v>3</v>
      </c>
      <c r="G433" s="101">
        <f>Masters!I437</f>
        <v>2</v>
      </c>
      <c r="H433" s="101">
        <f>Masters!J437</f>
        <v>3</v>
      </c>
      <c r="I433" s="101">
        <f>Masters!K437</f>
        <v>4</v>
      </c>
      <c r="J433" s="101">
        <f>Masters!L437</f>
        <v>3</v>
      </c>
      <c r="K433" s="101">
        <f>Masters!M437</f>
        <v>4</v>
      </c>
      <c r="L433" s="101">
        <f>Masters!N437</f>
        <v>4</v>
      </c>
    </row>
    <row r="434">
      <c r="A434" s="101">
        <f>Masters!C438</f>
        <v>1452</v>
      </c>
      <c r="B434" s="102" t="str">
        <f>Masters!D438</f>
        <v>Classified Advertising Clerks</v>
      </c>
      <c r="C434" s="102" t="str">
        <f>Masters!E438</f>
        <v>Correspondence, publication and regulatory clerks</v>
      </c>
      <c r="D434" s="101">
        <f>Masters!F438</f>
        <v>3</v>
      </c>
      <c r="E434" s="101">
        <f>Masters!G438</f>
        <v>3</v>
      </c>
      <c r="F434" s="101">
        <f>Masters!H438</f>
        <v>3</v>
      </c>
      <c r="G434" s="101">
        <f>Masters!I438</f>
        <v>4</v>
      </c>
      <c r="H434" s="101">
        <f>Masters!J438</f>
        <v>3</v>
      </c>
      <c r="I434" s="101">
        <f>Masters!K438</f>
        <v>3</v>
      </c>
      <c r="J434" s="101">
        <f>Masters!L438</f>
        <v>3</v>
      </c>
      <c r="K434" s="101">
        <f>Masters!M438</f>
        <v>3</v>
      </c>
      <c r="L434" s="101">
        <f>Masters!N438</f>
        <v>4</v>
      </c>
    </row>
    <row r="435">
      <c r="A435" s="101">
        <f>Masters!C439</f>
        <v>3131</v>
      </c>
      <c r="B435" s="102" t="str">
        <f>Masters!D439</f>
        <v>Community Pharmacists and Hospital Pharmacists</v>
      </c>
      <c r="C435" s="102" t="str">
        <f>Masters!E439</f>
        <v>Pharmacists</v>
      </c>
      <c r="D435" s="101">
        <f>Masters!F439</f>
        <v>2</v>
      </c>
      <c r="E435" s="101">
        <f>Masters!G439</f>
        <v>2</v>
      </c>
      <c r="F435" s="101">
        <f>Masters!H439</f>
        <v>2</v>
      </c>
      <c r="G435" s="101">
        <f>Masters!I439</f>
        <v>3</v>
      </c>
      <c r="H435" s="101">
        <f>Masters!J439</f>
        <v>2</v>
      </c>
      <c r="I435" s="101">
        <f>Masters!K439</f>
        <v>3</v>
      </c>
      <c r="J435" s="101">
        <f>Masters!L439</f>
        <v>3</v>
      </c>
      <c r="K435" s="101">
        <f>Masters!M439</f>
        <v>3</v>
      </c>
      <c r="L435" s="101">
        <f>Masters!N439</f>
        <v>3</v>
      </c>
    </row>
    <row r="436">
      <c r="A436" s="101">
        <f>Masters!C440</f>
        <v>5132</v>
      </c>
      <c r="B436" s="102" t="str">
        <f>Masters!D440</f>
        <v>Composers</v>
      </c>
      <c r="C436" s="102" t="str">
        <f>Masters!E440</f>
        <v>Conductors, composers and arrangers</v>
      </c>
      <c r="D436" s="101">
        <f>Masters!F440</f>
        <v>1</v>
      </c>
      <c r="E436" s="101">
        <f>Masters!G440</f>
        <v>2</v>
      </c>
      <c r="F436" s="101">
        <f>Masters!H440</f>
        <v>3</v>
      </c>
      <c r="G436" s="101">
        <f>Masters!I440</f>
        <v>3</v>
      </c>
      <c r="H436" s="101">
        <f>Masters!J440</f>
        <v>3</v>
      </c>
      <c r="I436" s="101">
        <f>Masters!K440</f>
        <v>2</v>
      </c>
      <c r="J436" s="101">
        <f>Masters!L440</f>
        <v>3</v>
      </c>
      <c r="K436" s="101">
        <f>Masters!M440</f>
        <v>3</v>
      </c>
      <c r="L436" s="101">
        <f>Masters!N440</f>
        <v>3</v>
      </c>
    </row>
    <row r="437">
      <c r="A437" s="101">
        <f>Masters!C441</f>
        <v>2224</v>
      </c>
      <c r="B437" s="102" t="str">
        <f>Masters!D441</f>
        <v>Conservation and Fishery Officers</v>
      </c>
      <c r="C437" s="102" t="str">
        <f>Masters!E441</f>
        <v>Conservation and fishery officers</v>
      </c>
      <c r="D437" s="101">
        <f>Masters!F441</f>
        <v>2</v>
      </c>
      <c r="E437" s="101">
        <f>Masters!G441</f>
        <v>3</v>
      </c>
      <c r="F437" s="101">
        <f>Masters!H441</f>
        <v>3</v>
      </c>
      <c r="G437" s="101">
        <f>Masters!I441</f>
        <v>3</v>
      </c>
      <c r="H437" s="101">
        <f>Masters!J441</f>
        <v>3</v>
      </c>
      <c r="I437" s="101">
        <f>Masters!K441</f>
        <v>3</v>
      </c>
      <c r="J437" s="101">
        <f>Masters!L441</f>
        <v>4</v>
      </c>
      <c r="K437" s="101">
        <f>Masters!M441</f>
        <v>4</v>
      </c>
      <c r="L437" s="101">
        <f>Masters!N441</f>
        <v>4</v>
      </c>
    </row>
    <row r="438">
      <c r="A438" s="101">
        <f>Masters!C442</f>
        <v>1452</v>
      </c>
      <c r="B438" s="102" t="str">
        <f>Masters!D442</f>
        <v>Correspondence Clerks</v>
      </c>
      <c r="C438" s="102" t="str">
        <f>Masters!E442</f>
        <v>Correspondence, publication and regulatory clerks</v>
      </c>
      <c r="D438" s="101">
        <f>Masters!F442</f>
        <v>3</v>
      </c>
      <c r="E438" s="101">
        <f>Masters!G442</f>
        <v>3</v>
      </c>
      <c r="F438" s="101">
        <f>Masters!H442</f>
        <v>4</v>
      </c>
      <c r="G438" s="101">
        <f>Masters!I442</f>
        <v>4</v>
      </c>
      <c r="H438" s="101">
        <f>Masters!J442</f>
        <v>4</v>
      </c>
      <c r="I438" s="101">
        <f>Masters!K442</f>
        <v>3</v>
      </c>
      <c r="J438" s="101">
        <f>Masters!L442</f>
        <v>3</v>
      </c>
      <c r="K438" s="101">
        <f>Masters!M442</f>
        <v>3</v>
      </c>
      <c r="L438" s="101">
        <f>Masters!N442</f>
        <v>4</v>
      </c>
    </row>
    <row r="439">
      <c r="A439" s="101">
        <f>Masters!C443</f>
        <v>6562</v>
      </c>
      <c r="B439" s="102" t="str">
        <f>Masters!D443</f>
        <v>Cosmeticians</v>
      </c>
      <c r="C439" s="102" t="str">
        <f>Masters!E443</f>
        <v>Estheticians, electrologists and related occupations</v>
      </c>
      <c r="D439" s="101">
        <f>Masters!F443</f>
        <v>3</v>
      </c>
      <c r="E439" s="101">
        <f>Masters!G443</f>
        <v>3</v>
      </c>
      <c r="F439" s="101">
        <f>Masters!H443</f>
        <v>4</v>
      </c>
      <c r="G439" s="101">
        <f>Masters!I443</f>
        <v>4</v>
      </c>
      <c r="H439" s="101">
        <f>Masters!J443</f>
        <v>3</v>
      </c>
      <c r="I439" s="101">
        <f>Masters!K443</f>
        <v>4</v>
      </c>
      <c r="J439" s="101">
        <f>Masters!L443</f>
        <v>3</v>
      </c>
      <c r="K439" s="101">
        <f>Masters!M443</f>
        <v>2</v>
      </c>
      <c r="L439" s="101">
        <f>Masters!N443</f>
        <v>3</v>
      </c>
    </row>
    <row r="440">
      <c r="A440" s="101">
        <f>Masters!C444</f>
        <v>1251</v>
      </c>
      <c r="B440" s="102" t="str">
        <f>Masters!D444</f>
        <v>Court Recorders</v>
      </c>
      <c r="C440" s="102" t="str">
        <f>Masters!E444</f>
        <v>Court reporters, medical transcriptionists and related occupations</v>
      </c>
      <c r="D440" s="101">
        <f>Masters!F444</f>
        <v>3</v>
      </c>
      <c r="E440" s="101">
        <f>Masters!G444</f>
        <v>2</v>
      </c>
      <c r="F440" s="101">
        <f>Masters!H444</f>
        <v>4</v>
      </c>
      <c r="G440" s="101">
        <f>Masters!I444</f>
        <v>4</v>
      </c>
      <c r="H440" s="101">
        <f>Masters!J444</f>
        <v>4</v>
      </c>
      <c r="I440" s="101">
        <f>Masters!K444</f>
        <v>3</v>
      </c>
      <c r="J440" s="101">
        <f>Masters!L444</f>
        <v>3</v>
      </c>
      <c r="K440" s="101">
        <f>Masters!M444</f>
        <v>3</v>
      </c>
      <c r="L440" s="101">
        <f>Masters!N444</f>
        <v>3</v>
      </c>
    </row>
    <row r="441">
      <c r="A441" s="101">
        <f>Masters!C445</f>
        <v>7513</v>
      </c>
      <c r="B441" s="102" t="str">
        <f>Masters!D445</f>
        <v>Chauffeurs</v>
      </c>
      <c r="C441" s="102" t="str">
        <f>Masters!E445</f>
        <v>Taxi and limousine drivers and chauffeurs</v>
      </c>
      <c r="D441" s="101">
        <f>Masters!F445</f>
        <v>4</v>
      </c>
      <c r="E441" s="101">
        <f>Masters!G445</f>
        <v>4</v>
      </c>
      <c r="F441" s="101">
        <f>Masters!H445</f>
        <v>4</v>
      </c>
      <c r="G441" s="101">
        <f>Masters!I445</f>
        <v>3</v>
      </c>
      <c r="H441" s="101">
        <f>Masters!J445</f>
        <v>4</v>
      </c>
      <c r="I441" s="101">
        <f>Masters!K445</f>
        <v>4</v>
      </c>
      <c r="J441" s="101">
        <f>Masters!L445</f>
        <v>3</v>
      </c>
      <c r="K441" s="101">
        <f>Masters!M445</f>
        <v>4</v>
      </c>
      <c r="L441" s="101">
        <f>Masters!N445</f>
        <v>3</v>
      </c>
    </row>
    <row r="442">
      <c r="A442" s="101">
        <f>Masters!C446</f>
        <v>5212</v>
      </c>
      <c r="B442" s="102" t="str">
        <f>Masters!D446</f>
        <v>Curatorial Assistants</v>
      </c>
      <c r="C442" s="102" t="str">
        <f>Masters!E446</f>
        <v>Technical occupations related to museums and art galleries</v>
      </c>
      <c r="D442" s="101">
        <f>Masters!F446</f>
        <v>3</v>
      </c>
      <c r="E442" s="101">
        <f>Masters!G446</f>
        <v>3</v>
      </c>
      <c r="F442" s="101">
        <f>Masters!H446</f>
        <v>3</v>
      </c>
      <c r="G442" s="101">
        <f>Masters!I446</f>
        <v>4</v>
      </c>
      <c r="H442" s="101">
        <f>Masters!J446</f>
        <v>4</v>
      </c>
      <c r="I442" s="101">
        <f>Masters!K446</f>
        <v>3</v>
      </c>
      <c r="J442" s="101">
        <f>Masters!L446</f>
        <v>3</v>
      </c>
      <c r="K442" s="101">
        <f>Masters!M446</f>
        <v>3</v>
      </c>
      <c r="L442" s="101">
        <f>Masters!N446</f>
        <v>3</v>
      </c>
    </row>
    <row r="443">
      <c r="A443" s="101">
        <f>Masters!C447</f>
        <v>5112</v>
      </c>
      <c r="B443" s="102" t="str">
        <f>Masters!D447</f>
        <v>Curators</v>
      </c>
      <c r="C443" s="102" t="str">
        <f>Masters!E447</f>
        <v>Conservators and curators</v>
      </c>
      <c r="D443" s="101">
        <f>Masters!F447</f>
        <v>2</v>
      </c>
      <c r="E443" s="101">
        <f>Masters!G447</f>
        <v>2</v>
      </c>
      <c r="F443" s="101">
        <f>Masters!H447</f>
        <v>3</v>
      </c>
      <c r="G443" s="101">
        <f>Masters!I447</f>
        <v>3</v>
      </c>
      <c r="H443" s="101">
        <f>Masters!J447</f>
        <v>2</v>
      </c>
      <c r="I443" s="101">
        <f>Masters!K447</f>
        <v>4</v>
      </c>
      <c r="J443" s="101">
        <f>Masters!L447</f>
        <v>3</v>
      </c>
      <c r="K443" s="101">
        <f>Masters!M447</f>
        <v>3</v>
      </c>
      <c r="L443" s="101">
        <f>Masters!N447</f>
        <v>3</v>
      </c>
    </row>
    <row r="444">
      <c r="A444" s="101">
        <f>Masters!C448</f>
        <v>9472</v>
      </c>
      <c r="B444" s="102" t="str">
        <f>Masters!D448</f>
        <v>Cylinder Preparers</v>
      </c>
      <c r="C444" s="102" t="str">
        <f>Masters!E448</f>
        <v>Camera, platemaking and other prepress occupations</v>
      </c>
      <c r="D444" s="101">
        <f>Masters!F448</f>
        <v>3</v>
      </c>
      <c r="E444" s="101">
        <f>Masters!G448</f>
        <v>3</v>
      </c>
      <c r="F444" s="101">
        <f>Masters!H448</f>
        <v>3</v>
      </c>
      <c r="G444" s="101">
        <f>Masters!I448</f>
        <v>3</v>
      </c>
      <c r="H444" s="101">
        <f>Masters!J448</f>
        <v>2</v>
      </c>
      <c r="I444" s="101">
        <f>Masters!K448</f>
        <v>4</v>
      </c>
      <c r="J444" s="101">
        <f>Masters!L448</f>
        <v>3</v>
      </c>
      <c r="K444" s="101">
        <f>Masters!M448</f>
        <v>3</v>
      </c>
      <c r="L444" s="101">
        <f>Masters!N448</f>
        <v>3</v>
      </c>
    </row>
    <row r="445">
      <c r="A445" s="101">
        <f>Masters!C449</f>
        <v>2273</v>
      </c>
      <c r="B445" s="102" t="str">
        <f>Masters!D449</f>
        <v>Deck Officers, Water Transport</v>
      </c>
      <c r="C445" s="102" t="str">
        <f>Masters!E449</f>
        <v>Deck officers, water transport</v>
      </c>
      <c r="D445" s="101">
        <f>Masters!F449</f>
        <v>3</v>
      </c>
      <c r="E445" s="101">
        <f>Masters!G449</f>
        <v>2</v>
      </c>
      <c r="F445" s="101">
        <f>Masters!H449</f>
        <v>3</v>
      </c>
      <c r="G445" s="101">
        <f>Masters!I449</f>
        <v>2</v>
      </c>
      <c r="H445" s="101">
        <f>Masters!J449</f>
        <v>2</v>
      </c>
      <c r="I445" s="101">
        <f>Masters!K449</f>
        <v>3</v>
      </c>
      <c r="J445" s="101">
        <f>Masters!L449</f>
        <v>3</v>
      </c>
      <c r="K445" s="101">
        <f>Masters!M449</f>
        <v>4</v>
      </c>
      <c r="L445" s="101">
        <f>Masters!N449</f>
        <v>3</v>
      </c>
    </row>
    <row r="446">
      <c r="A446" s="101">
        <f>Masters!C450</f>
        <v>9421</v>
      </c>
      <c r="B446" s="102" t="str">
        <f>Masters!D450</f>
        <v>Chemical Plant Machine Operators</v>
      </c>
      <c r="C446" s="102" t="str">
        <f>Masters!E450</f>
        <v>Chemical plant machine operators</v>
      </c>
      <c r="D446" s="101">
        <f>Masters!F450</f>
        <v>3</v>
      </c>
      <c r="E446" s="101">
        <f>Masters!G450</f>
        <v>4</v>
      </c>
      <c r="F446" s="101">
        <f>Masters!H450</f>
        <v>4</v>
      </c>
      <c r="G446" s="101">
        <f>Masters!I450</f>
        <v>4</v>
      </c>
      <c r="H446" s="101">
        <f>Masters!J450</f>
        <v>4</v>
      </c>
      <c r="I446" s="101">
        <f>Masters!K450</f>
        <v>4</v>
      </c>
      <c r="J446" s="101">
        <f>Masters!L450</f>
        <v>3</v>
      </c>
      <c r="K446" s="101">
        <f>Masters!M450</f>
        <v>4</v>
      </c>
      <c r="L446" s="101">
        <f>Masters!N450</f>
        <v>3</v>
      </c>
    </row>
    <row r="447">
      <c r="A447" s="101">
        <f>Masters!C451</f>
        <v>3411</v>
      </c>
      <c r="B447" s="102" t="str">
        <f>Masters!D451</f>
        <v>Dental Assistants</v>
      </c>
      <c r="C447" s="102" t="str">
        <f>Masters!E451</f>
        <v>Dental assistants</v>
      </c>
      <c r="D447" s="101">
        <f>Masters!F451</f>
        <v>3</v>
      </c>
      <c r="E447" s="101">
        <f>Masters!G451</f>
        <v>3</v>
      </c>
      <c r="F447" s="101">
        <f>Masters!H451</f>
        <v>3</v>
      </c>
      <c r="G447" s="101">
        <f>Masters!I451</f>
        <v>4</v>
      </c>
      <c r="H447" s="101">
        <f>Masters!J451</f>
        <v>3</v>
      </c>
      <c r="I447" s="101">
        <f>Masters!K451</f>
        <v>4</v>
      </c>
      <c r="J447" s="101">
        <f>Masters!L451</f>
        <v>3</v>
      </c>
      <c r="K447" s="101">
        <f>Masters!M451</f>
        <v>3</v>
      </c>
      <c r="L447" s="101">
        <f>Masters!N451</f>
        <v>3</v>
      </c>
    </row>
    <row r="448">
      <c r="A448" s="101">
        <f>Masters!C452</f>
        <v>3113</v>
      </c>
      <c r="B448" s="102" t="str">
        <f>Masters!D452</f>
        <v>Dentists</v>
      </c>
      <c r="C448" s="102" t="str">
        <f>Masters!E452</f>
        <v>Dentists</v>
      </c>
      <c r="D448" s="101">
        <f>Masters!F452</f>
        <v>1</v>
      </c>
      <c r="E448" s="101">
        <f>Masters!G452</f>
        <v>1</v>
      </c>
      <c r="F448" s="101">
        <f>Masters!H452</f>
        <v>2</v>
      </c>
      <c r="G448" s="101">
        <f>Masters!I452</f>
        <v>1</v>
      </c>
      <c r="H448" s="101">
        <f>Masters!J452</f>
        <v>2</v>
      </c>
      <c r="I448" s="101">
        <f>Masters!K452</f>
        <v>3</v>
      </c>
      <c r="J448" s="101">
        <f>Masters!L452</f>
        <v>1</v>
      </c>
      <c r="K448" s="101">
        <f>Masters!M452</f>
        <v>1</v>
      </c>
      <c r="L448" s="101">
        <f>Masters!N452</f>
        <v>1</v>
      </c>
    </row>
    <row r="449">
      <c r="A449" s="101">
        <f>Masters!C453</f>
        <v>513</v>
      </c>
      <c r="B449" s="102" t="str">
        <f>Masters!D453</f>
        <v>Directors</v>
      </c>
      <c r="C449" s="102" t="str">
        <f>Masters!E453</f>
        <v>Recreation, sports and fitness program and service directors</v>
      </c>
      <c r="D449" s="101">
        <f>Masters!F453</f>
        <v>2</v>
      </c>
      <c r="E449" s="101">
        <f>Masters!G453</f>
        <v>2</v>
      </c>
      <c r="F449" s="101">
        <f>Masters!H453</f>
        <v>3</v>
      </c>
      <c r="G449" s="101">
        <f>Masters!I453</f>
        <v>2</v>
      </c>
      <c r="H449" s="101">
        <f>Masters!J453</f>
        <v>3</v>
      </c>
      <c r="I449" s="101">
        <f>Masters!K453</f>
        <v>3</v>
      </c>
      <c r="J449" s="101">
        <f>Masters!L453</f>
        <v>4</v>
      </c>
      <c r="K449" s="101">
        <f>Masters!M453</f>
        <v>4</v>
      </c>
      <c r="L449" s="101">
        <f>Masters!N453</f>
        <v>4</v>
      </c>
    </row>
    <row r="450">
      <c r="A450" s="101">
        <f>Masters!C454</f>
        <v>5131</v>
      </c>
      <c r="B450" s="102" t="str">
        <f>Masters!D454</f>
        <v>Directors of Photography</v>
      </c>
      <c r="C450" s="102" t="str">
        <f>Masters!E454</f>
        <v>Producers, directors, choreographers and related occupations</v>
      </c>
      <c r="D450" s="101">
        <f>Masters!F454</f>
        <v>2</v>
      </c>
      <c r="E450" s="101">
        <f>Masters!G454</f>
        <v>2</v>
      </c>
      <c r="F450" s="101">
        <f>Masters!H454</f>
        <v>3</v>
      </c>
      <c r="G450" s="101">
        <f>Masters!I454</f>
        <v>2</v>
      </c>
      <c r="H450" s="101">
        <f>Masters!J454</f>
        <v>3</v>
      </c>
      <c r="I450" s="101">
        <f>Masters!K454</f>
        <v>3</v>
      </c>
      <c r="J450" s="101">
        <f>Masters!L454</f>
        <v>4</v>
      </c>
      <c r="K450" s="101">
        <f>Masters!M454</f>
        <v>4</v>
      </c>
      <c r="L450" s="101">
        <f>Masters!N454</f>
        <v>4</v>
      </c>
    </row>
    <row r="451">
      <c r="A451" s="101">
        <f>Masters!C455</f>
        <v>4216</v>
      </c>
      <c r="B451" s="102" t="str">
        <f>Masters!D455</f>
        <v>Driving Instructors</v>
      </c>
      <c r="C451" s="102" t="str">
        <f>Masters!E455</f>
        <v>Other instructors</v>
      </c>
      <c r="D451" s="101">
        <f>Masters!F455</f>
        <v>3</v>
      </c>
      <c r="E451" s="101">
        <f>Masters!G455</f>
        <v>3</v>
      </c>
      <c r="F451" s="101">
        <f>Masters!H455</f>
        <v>4</v>
      </c>
      <c r="G451" s="101">
        <f>Masters!I455</f>
        <v>3</v>
      </c>
      <c r="H451" s="101">
        <f>Masters!J455</f>
        <v>4</v>
      </c>
      <c r="I451" s="101">
        <f>Masters!K455</f>
        <v>4</v>
      </c>
      <c r="J451" s="101">
        <f>Masters!L455</f>
        <v>3</v>
      </c>
      <c r="K451" s="101">
        <f>Masters!M455</f>
        <v>4</v>
      </c>
      <c r="L451" s="101">
        <f>Masters!N455</f>
        <v>3</v>
      </c>
    </row>
    <row r="452">
      <c r="A452" s="101">
        <f>Masters!C456</f>
        <v>7371</v>
      </c>
      <c r="B452" s="102" t="str">
        <f>Masters!D456</f>
        <v>Crane Operators</v>
      </c>
      <c r="C452" s="102" t="str">
        <f>Masters!E456</f>
        <v>Crane operators</v>
      </c>
      <c r="D452" s="101">
        <f>Masters!F456</f>
        <v>3</v>
      </c>
      <c r="E452" s="101">
        <f>Masters!G456</f>
        <v>4</v>
      </c>
      <c r="F452" s="101">
        <f>Masters!H456</f>
        <v>5</v>
      </c>
      <c r="G452" s="101">
        <f>Masters!I456</f>
        <v>3</v>
      </c>
      <c r="H452" s="101">
        <f>Masters!J456</f>
        <v>4</v>
      </c>
      <c r="I452" s="101">
        <f>Masters!K456</f>
        <v>4</v>
      </c>
      <c r="J452" s="101">
        <f>Masters!L456</f>
        <v>3</v>
      </c>
      <c r="K452" s="101">
        <f>Masters!M456</f>
        <v>4</v>
      </c>
      <c r="L452" s="101">
        <f>Masters!N456</f>
        <v>3</v>
      </c>
    </row>
    <row r="453">
      <c r="A453" s="101">
        <f>Masters!C457</f>
        <v>9523</v>
      </c>
      <c r="B453" s="102" t="str">
        <f>Masters!D457</f>
        <v>Electronics Inspectors</v>
      </c>
      <c r="C453" s="102" t="str">
        <f>Masters!E457</f>
        <v>Electronics assemblers, fabricators, inspectors and testers</v>
      </c>
      <c r="D453" s="101">
        <f>Masters!F457</f>
        <v>3</v>
      </c>
      <c r="E453" s="101">
        <f>Masters!G457</f>
        <v>3</v>
      </c>
      <c r="F453" s="101">
        <f>Masters!H457</f>
        <v>3</v>
      </c>
      <c r="G453" s="101">
        <f>Masters!I457</f>
        <v>4</v>
      </c>
      <c r="H453" s="101">
        <f>Masters!J457</f>
        <v>3</v>
      </c>
      <c r="I453" s="101">
        <f>Masters!K457</f>
        <v>4</v>
      </c>
      <c r="J453" s="101">
        <f>Masters!L457</f>
        <v>3</v>
      </c>
      <c r="K453" s="101">
        <f>Masters!M457</f>
        <v>3</v>
      </c>
      <c r="L453" s="101">
        <f>Masters!N457</f>
        <v>3</v>
      </c>
    </row>
    <row r="454">
      <c r="A454" s="101">
        <f>Masters!C458</f>
        <v>7514</v>
      </c>
      <c r="B454" s="102" t="str">
        <f>Masters!D458</f>
        <v>Delivery and Courier Service Drivers</v>
      </c>
      <c r="C454" s="102" t="str">
        <f>Masters!E458</f>
        <v>Delivery and courier service drivers</v>
      </c>
      <c r="D454" s="101">
        <f>Masters!F458</f>
        <v>4</v>
      </c>
      <c r="E454" s="101">
        <f>Masters!G458</f>
        <v>4</v>
      </c>
      <c r="F454" s="101">
        <f>Masters!H458</f>
        <v>4</v>
      </c>
      <c r="G454" s="101">
        <f>Masters!I458</f>
        <v>3</v>
      </c>
      <c r="H454" s="101">
        <f>Masters!J458</f>
        <v>4</v>
      </c>
      <c r="I454" s="101">
        <f>Masters!K458</f>
        <v>4</v>
      </c>
      <c r="J454" s="101">
        <f>Masters!L458</f>
        <v>3</v>
      </c>
      <c r="K454" s="101">
        <f>Masters!M458</f>
        <v>4</v>
      </c>
      <c r="L454" s="101">
        <f>Masters!N458</f>
        <v>3</v>
      </c>
    </row>
    <row r="455">
      <c r="A455" s="101">
        <f>Masters!C459</f>
        <v>5131</v>
      </c>
      <c r="B455" s="102" t="str">
        <f>Masters!D459</f>
        <v>Film Editors</v>
      </c>
      <c r="C455" s="102" t="str">
        <f>Masters!E459</f>
        <v>Producers, directors, choreographers and related occupations</v>
      </c>
      <c r="D455" s="101">
        <f>Masters!F459</f>
        <v>2</v>
      </c>
      <c r="E455" s="101">
        <f>Masters!G459</f>
        <v>2</v>
      </c>
      <c r="F455" s="101">
        <f>Masters!H459</f>
        <v>3</v>
      </c>
      <c r="G455" s="101">
        <f>Masters!I459</f>
        <v>2</v>
      </c>
      <c r="H455" s="101">
        <f>Masters!J459</f>
        <v>3</v>
      </c>
      <c r="I455" s="101">
        <f>Masters!K459</f>
        <v>3</v>
      </c>
      <c r="J455" s="101">
        <f>Masters!L459</f>
        <v>4</v>
      </c>
      <c r="K455" s="101">
        <f>Masters!M459</f>
        <v>4</v>
      </c>
      <c r="L455" s="101">
        <f>Masters!N459</f>
        <v>4</v>
      </c>
    </row>
    <row r="456">
      <c r="A456" s="101">
        <f>Masters!C460</f>
        <v>5227</v>
      </c>
      <c r="B456" s="102" t="str">
        <f>Masters!D460</f>
        <v>Film, Radio and Television Producers</v>
      </c>
      <c r="C456" s="102" t="str">
        <f>Masters!E460</f>
        <v>Support occupations in motion pictures, broadcasting, photography and the performing arts</v>
      </c>
      <c r="D456" s="101">
        <f>Masters!F460</f>
        <v>2</v>
      </c>
      <c r="E456" s="101">
        <f>Masters!G460</f>
        <v>2</v>
      </c>
      <c r="F456" s="101">
        <f>Masters!H460</f>
        <v>3</v>
      </c>
      <c r="G456" s="101">
        <f>Masters!I460</f>
        <v>2</v>
      </c>
      <c r="H456" s="101">
        <f>Masters!J460</f>
        <v>3</v>
      </c>
      <c r="I456" s="101">
        <f>Masters!K460</f>
        <v>3</v>
      </c>
      <c r="J456" s="101">
        <f>Masters!L460</f>
        <v>4</v>
      </c>
      <c r="K456" s="101">
        <f>Masters!M460</f>
        <v>4</v>
      </c>
      <c r="L456" s="101">
        <f>Masters!N460</f>
        <v>4</v>
      </c>
    </row>
    <row r="457">
      <c r="A457" s="101">
        <f>Masters!C461</f>
        <v>4312</v>
      </c>
      <c r="B457" s="102" t="str">
        <f>Masters!D461</f>
        <v>Firefighters</v>
      </c>
      <c r="C457" s="102" t="str">
        <f>Masters!E461</f>
        <v>Firefighters</v>
      </c>
      <c r="D457" s="101">
        <f>Masters!F461</f>
        <v>3</v>
      </c>
      <c r="E457" s="101">
        <f>Masters!G461</f>
        <v>3</v>
      </c>
      <c r="F457" s="101">
        <f>Masters!H461</f>
        <v>4</v>
      </c>
      <c r="G457" s="101">
        <f>Masters!I461</f>
        <v>3</v>
      </c>
      <c r="H457" s="101">
        <f>Masters!J461</f>
        <v>3</v>
      </c>
      <c r="I457" s="101">
        <f>Masters!K461</f>
        <v>5</v>
      </c>
      <c r="J457" s="101">
        <f>Masters!L461</f>
        <v>3</v>
      </c>
      <c r="K457" s="101">
        <f>Masters!M461</f>
        <v>4</v>
      </c>
      <c r="L457" s="101">
        <f>Masters!N461</f>
        <v>3</v>
      </c>
    </row>
    <row r="458">
      <c r="A458" s="101">
        <f>Masters!C462</f>
        <v>1414</v>
      </c>
      <c r="B458" s="102" t="str">
        <f>Masters!D462</f>
        <v>Front Desk Clerks (Except Hotel)</v>
      </c>
      <c r="C458" s="102" t="str">
        <f>Masters!E462</f>
        <v>Receptionists</v>
      </c>
      <c r="D458" s="101">
        <f>Masters!F462</f>
        <v>3</v>
      </c>
      <c r="E458" s="101">
        <f>Masters!G462</f>
        <v>3</v>
      </c>
      <c r="F458" s="101">
        <f>Masters!H462</f>
        <v>4</v>
      </c>
      <c r="G458" s="101">
        <f>Masters!I462</f>
        <v>4</v>
      </c>
      <c r="H458" s="101">
        <f>Masters!J462</f>
        <v>4</v>
      </c>
      <c r="I458" s="101">
        <f>Masters!K462</f>
        <v>3</v>
      </c>
      <c r="J458" s="101">
        <f>Masters!L462</f>
        <v>3</v>
      </c>
      <c r="K458" s="101">
        <f>Masters!M462</f>
        <v>3</v>
      </c>
      <c r="L458" s="101">
        <f>Masters!N462</f>
        <v>4</v>
      </c>
    </row>
    <row r="459">
      <c r="A459" s="101">
        <f>Masters!C463</f>
        <v>7284</v>
      </c>
      <c r="B459" s="102" t="str">
        <f>Masters!D463</f>
        <v>Drywall Installers and Finishers</v>
      </c>
      <c r="C459" s="102" t="str">
        <f>Masters!E463</f>
        <v>Plasterers, drywall installers and finishers and lathers</v>
      </c>
      <c r="D459" s="101">
        <f>Masters!F463</f>
        <v>3</v>
      </c>
      <c r="E459" s="101">
        <f>Masters!G463</f>
        <v>4</v>
      </c>
      <c r="F459" s="101">
        <f>Masters!H463</f>
        <v>4</v>
      </c>
      <c r="G459" s="101">
        <f>Masters!I463</f>
        <v>3</v>
      </c>
      <c r="H459" s="101">
        <f>Masters!J463</f>
        <v>4</v>
      </c>
      <c r="I459" s="101">
        <f>Masters!K463</f>
        <v>5</v>
      </c>
      <c r="J459" s="101">
        <f>Masters!L463</f>
        <v>3</v>
      </c>
      <c r="K459" s="101">
        <f>Masters!M463</f>
        <v>4</v>
      </c>
      <c r="L459" s="101">
        <f>Masters!N463</f>
        <v>3</v>
      </c>
    </row>
    <row r="460">
      <c r="A460" s="101">
        <f>Masters!C464</f>
        <v>9445</v>
      </c>
      <c r="B460" s="102" t="str">
        <f>Masters!D464</f>
        <v>Fabric Cutters</v>
      </c>
      <c r="C460" s="102" t="str">
        <f>Masters!E464</f>
        <v>Fabric, fur and leather cutters</v>
      </c>
      <c r="D460" s="101">
        <f>Masters!F464</f>
        <v>3</v>
      </c>
      <c r="E460" s="101">
        <f>Masters!G464</f>
        <v>4</v>
      </c>
      <c r="F460" s="101">
        <f>Masters!H464</f>
        <v>4</v>
      </c>
      <c r="G460" s="101">
        <f>Masters!I464</f>
        <v>4</v>
      </c>
      <c r="H460" s="101">
        <f>Masters!J464</f>
        <v>4</v>
      </c>
      <c r="I460" s="101">
        <f>Masters!K464</f>
        <v>4</v>
      </c>
      <c r="J460" s="101">
        <f>Masters!L464</f>
        <v>3</v>
      </c>
      <c r="K460" s="101">
        <f>Masters!M464</f>
        <v>4</v>
      </c>
      <c r="L460" s="101">
        <f>Masters!N464</f>
        <v>3</v>
      </c>
    </row>
    <row r="461">
      <c r="A461" s="101">
        <f>Masters!C465</f>
        <v>1411</v>
      </c>
      <c r="B461" s="102" t="str">
        <f>Masters!D465</f>
        <v>General Office Clerks</v>
      </c>
      <c r="C461" s="102" t="str">
        <f>Masters!E465</f>
        <v>General office support workers</v>
      </c>
      <c r="D461" s="101">
        <f>Masters!F465</f>
        <v>3</v>
      </c>
      <c r="E461" s="101">
        <f>Masters!G465</f>
        <v>3</v>
      </c>
      <c r="F461" s="101">
        <f>Masters!H465</f>
        <v>4</v>
      </c>
      <c r="G461" s="101">
        <f>Masters!I465</f>
        <v>4</v>
      </c>
      <c r="H461" s="101">
        <f>Masters!J465</f>
        <v>4</v>
      </c>
      <c r="I461" s="101">
        <f>Masters!K465</f>
        <v>3</v>
      </c>
      <c r="J461" s="101">
        <f>Masters!L465</f>
        <v>3</v>
      </c>
      <c r="K461" s="101">
        <f>Masters!M465</f>
        <v>3</v>
      </c>
      <c r="L461" s="101">
        <f>Masters!N465</f>
        <v>4</v>
      </c>
    </row>
    <row r="462">
      <c r="A462" s="101">
        <f>Masters!C466</f>
        <v>9445</v>
      </c>
      <c r="B462" s="102" t="str">
        <f>Masters!D466</f>
        <v>Fur Cutters</v>
      </c>
      <c r="C462" s="102" t="str">
        <f>Masters!E466</f>
        <v>Fabric, fur and leather cutters</v>
      </c>
      <c r="D462" s="101">
        <f>Masters!F466</f>
        <v>3</v>
      </c>
      <c r="E462" s="101">
        <f>Masters!G466</f>
        <v>4</v>
      </c>
      <c r="F462" s="101">
        <f>Masters!H466</f>
        <v>4</v>
      </c>
      <c r="G462" s="101">
        <f>Masters!I466</f>
        <v>4</v>
      </c>
      <c r="H462" s="101">
        <f>Masters!J466</f>
        <v>4</v>
      </c>
      <c r="I462" s="101">
        <f>Masters!K466</f>
        <v>4</v>
      </c>
      <c r="J462" s="101">
        <f>Masters!L466</f>
        <v>3</v>
      </c>
      <c r="K462" s="101">
        <f>Masters!M466</f>
        <v>4</v>
      </c>
      <c r="L462" s="101">
        <f>Masters!N466</f>
        <v>3</v>
      </c>
    </row>
    <row r="463">
      <c r="A463" s="101">
        <f>Masters!C467</f>
        <v>9532</v>
      </c>
      <c r="B463" s="102" t="str">
        <f>Masters!D467</f>
        <v>Furniture and Fixture Inspectors</v>
      </c>
      <c r="C463" s="102" t="str">
        <f>Masters!E467</f>
        <v>Furniture and fixture assemblers and inspectors</v>
      </c>
      <c r="D463" s="101">
        <f>Masters!F467</f>
        <v>4</v>
      </c>
      <c r="E463" s="101">
        <f>Masters!G467</f>
        <v>4</v>
      </c>
      <c r="F463" s="101">
        <f>Masters!H467</f>
        <v>4</v>
      </c>
      <c r="G463" s="101">
        <f>Masters!I467</f>
        <v>3</v>
      </c>
      <c r="H463" s="101">
        <f>Masters!J467</f>
        <v>4</v>
      </c>
      <c r="I463" s="101">
        <f>Masters!K467</f>
        <v>4</v>
      </c>
      <c r="J463" s="101">
        <f>Masters!L467</f>
        <v>3</v>
      </c>
      <c r="K463" s="101">
        <f>Masters!M467</f>
        <v>4</v>
      </c>
      <c r="L463" s="101">
        <f>Masters!N467</f>
        <v>3</v>
      </c>
    </row>
    <row r="464">
      <c r="A464" s="101">
        <f>Masters!C468</f>
        <v>9413</v>
      </c>
      <c r="B464" s="102" t="str">
        <f>Masters!D468</f>
        <v>Glass Cutters</v>
      </c>
      <c r="C464" s="102" t="str">
        <f>Masters!E468</f>
        <v>Glass forming and finishing machine operators and glass cutters</v>
      </c>
      <c r="D464" s="101">
        <f>Masters!F468</f>
        <v>3</v>
      </c>
      <c r="E464" s="101">
        <f>Masters!G468</f>
        <v>4</v>
      </c>
      <c r="F464" s="101">
        <f>Masters!H468</f>
        <v>4</v>
      </c>
      <c r="G464" s="101">
        <f>Masters!I468</f>
        <v>4</v>
      </c>
      <c r="H464" s="101">
        <f>Masters!J468</f>
        <v>4</v>
      </c>
      <c r="I464" s="101">
        <f>Masters!K468</f>
        <v>4</v>
      </c>
      <c r="J464" s="101">
        <f>Masters!L468</f>
        <v>3</v>
      </c>
      <c r="K464" s="101">
        <f>Masters!M468</f>
        <v>4</v>
      </c>
      <c r="L464" s="101">
        <f>Masters!N468</f>
        <v>3</v>
      </c>
    </row>
    <row r="465">
      <c r="A465" s="101">
        <f>Masters!C469</f>
        <v>6562</v>
      </c>
      <c r="B465" s="102" t="str">
        <f>Masters!D469</f>
        <v>Hair Replacement Technicians (Non-Medical)</v>
      </c>
      <c r="C465" s="102" t="str">
        <f>Masters!E469</f>
        <v>Estheticians, electrologists and related occupations</v>
      </c>
      <c r="D465" s="101">
        <f>Masters!F469</f>
        <v>3</v>
      </c>
      <c r="E465" s="101">
        <f>Masters!G469</f>
        <v>3</v>
      </c>
      <c r="F465" s="101">
        <f>Masters!H469</f>
        <v>4</v>
      </c>
      <c r="G465" s="101">
        <f>Masters!I469</f>
        <v>4</v>
      </c>
      <c r="H465" s="101">
        <f>Masters!J469</f>
        <v>3</v>
      </c>
      <c r="I465" s="101">
        <f>Masters!K469</f>
        <v>4</v>
      </c>
      <c r="J465" s="101">
        <f>Masters!L469</f>
        <v>3</v>
      </c>
      <c r="K465" s="101">
        <f>Masters!M469</f>
        <v>2</v>
      </c>
      <c r="L465" s="101">
        <f>Masters!N469</f>
        <v>3</v>
      </c>
    </row>
    <row r="466">
      <c r="A466" s="101">
        <f>Masters!C470</f>
        <v>6341</v>
      </c>
      <c r="B466" s="102" t="str">
        <f>Masters!D470</f>
        <v>Hairstylists</v>
      </c>
      <c r="C466" s="102" t="str">
        <f>Masters!E470</f>
        <v>Hairstylists and barbers</v>
      </c>
      <c r="D466" s="101">
        <f>Masters!F470</f>
        <v>3</v>
      </c>
      <c r="E466" s="101">
        <f>Masters!G470</f>
        <v>3</v>
      </c>
      <c r="F466" s="101">
        <f>Masters!H470</f>
        <v>4</v>
      </c>
      <c r="G466" s="101">
        <f>Masters!I470</f>
        <v>4</v>
      </c>
      <c r="H466" s="101">
        <f>Masters!J470</f>
        <v>3</v>
      </c>
      <c r="I466" s="101">
        <f>Masters!K470</f>
        <v>4</v>
      </c>
      <c r="J466" s="101">
        <f>Masters!L470</f>
        <v>3</v>
      </c>
      <c r="K466" s="101">
        <f>Masters!M470</f>
        <v>2</v>
      </c>
      <c r="L466" s="101">
        <f>Masters!N470</f>
        <v>3</v>
      </c>
    </row>
    <row r="467">
      <c r="A467" s="101">
        <f>Masters!C471</f>
        <v>9413</v>
      </c>
      <c r="B467" s="102" t="str">
        <f>Masters!D471</f>
        <v>Glass Forming Machine Operators</v>
      </c>
      <c r="C467" s="102" t="str">
        <f>Masters!E471</f>
        <v>Glass forming and finishing machine operators and glass cutters</v>
      </c>
      <c r="D467" s="101">
        <f>Masters!F471</f>
        <v>3</v>
      </c>
      <c r="E467" s="101">
        <f>Masters!G471</f>
        <v>4</v>
      </c>
      <c r="F467" s="101">
        <f>Masters!H471</f>
        <v>4</v>
      </c>
      <c r="G467" s="101">
        <f>Masters!I471</f>
        <v>4</v>
      </c>
      <c r="H467" s="101">
        <f>Masters!J471</f>
        <v>4</v>
      </c>
      <c r="I467" s="101">
        <f>Masters!K471</f>
        <v>4</v>
      </c>
      <c r="J467" s="101">
        <f>Masters!L471</f>
        <v>3</v>
      </c>
      <c r="K467" s="101">
        <f>Masters!M471</f>
        <v>4</v>
      </c>
      <c r="L467" s="101">
        <f>Masters!N471</f>
        <v>3</v>
      </c>
    </row>
    <row r="468">
      <c r="A468" s="101">
        <f>Masters!C472</f>
        <v>9413</v>
      </c>
      <c r="B468" s="102" t="str">
        <f>Masters!D472</f>
        <v>Glass Process Control Operators</v>
      </c>
      <c r="C468" s="102" t="str">
        <f>Masters!E472</f>
        <v>Glass forming and finishing machine operators and glass cutters</v>
      </c>
      <c r="D468" s="101">
        <f>Masters!F472</f>
        <v>3</v>
      </c>
      <c r="E468" s="101">
        <f>Masters!G472</f>
        <v>4</v>
      </c>
      <c r="F468" s="101">
        <f>Masters!H472</f>
        <v>4</v>
      </c>
      <c r="G468" s="101">
        <f>Masters!I472</f>
        <v>4</v>
      </c>
      <c r="H468" s="101">
        <f>Masters!J472</f>
        <v>4</v>
      </c>
      <c r="I468" s="101">
        <f>Masters!K472</f>
        <v>4</v>
      </c>
      <c r="J468" s="101">
        <f>Masters!L472</f>
        <v>3</v>
      </c>
      <c r="K468" s="101">
        <f>Masters!M472</f>
        <v>4</v>
      </c>
      <c r="L468" s="101">
        <f>Masters!N472</f>
        <v>3</v>
      </c>
    </row>
    <row r="469">
      <c r="A469" s="101">
        <f>Masters!C473</f>
        <v>1414</v>
      </c>
      <c r="B469" s="102" t="str">
        <f>Masters!D473</f>
        <v>Hospital Admitting Clerks</v>
      </c>
      <c r="C469" s="102" t="str">
        <f>Masters!E473</f>
        <v>Receptionists</v>
      </c>
      <c r="D469" s="101">
        <f>Masters!F473</f>
        <v>3</v>
      </c>
      <c r="E469" s="101">
        <f>Masters!G473</f>
        <v>3</v>
      </c>
      <c r="F469" s="101">
        <f>Masters!H473</f>
        <v>4</v>
      </c>
      <c r="G469" s="101">
        <f>Masters!I473</f>
        <v>4</v>
      </c>
      <c r="H469" s="101">
        <f>Masters!J473</f>
        <v>4</v>
      </c>
      <c r="I469" s="101">
        <f>Masters!K473</f>
        <v>3</v>
      </c>
      <c r="J469" s="101">
        <f>Masters!L473</f>
        <v>3</v>
      </c>
      <c r="K469" s="101">
        <f>Masters!M473</f>
        <v>3</v>
      </c>
      <c r="L469" s="101">
        <f>Masters!N473</f>
        <v>4</v>
      </c>
    </row>
    <row r="470">
      <c r="A470" s="101">
        <f>Masters!C474</f>
        <v>7521</v>
      </c>
      <c r="B470" s="102" t="str">
        <f>Masters!D474</f>
        <v>Heavy Equipment Operators (Except Crane)</v>
      </c>
      <c r="C470" s="102" t="str">
        <f>Masters!E474</f>
        <v>Heavy equipment operators (except crane)</v>
      </c>
      <c r="D470" s="101">
        <f>Masters!F474</f>
        <v>3</v>
      </c>
      <c r="E470" s="101">
        <f>Masters!G474</f>
        <v>4</v>
      </c>
      <c r="F470" s="101">
        <f>Masters!H474</f>
        <v>4</v>
      </c>
      <c r="G470" s="101">
        <f>Masters!I474</f>
        <v>3</v>
      </c>
      <c r="H470" s="101">
        <f>Masters!J474</f>
        <v>4</v>
      </c>
      <c r="I470" s="101">
        <f>Masters!K474</f>
        <v>5</v>
      </c>
      <c r="J470" s="101">
        <f>Masters!L474</f>
        <v>3</v>
      </c>
      <c r="K470" s="101">
        <f>Masters!M474</f>
        <v>4</v>
      </c>
      <c r="L470" s="101">
        <f>Masters!N474</f>
        <v>3</v>
      </c>
    </row>
    <row r="471">
      <c r="A471" s="101">
        <f>Masters!C475</f>
        <v>2233</v>
      </c>
      <c r="B471" s="102" t="str">
        <f>Masters!D475</f>
        <v>Industrial Engineering and Manufacturing Technologists</v>
      </c>
      <c r="C471" s="102" t="str">
        <f>Masters!E475</f>
        <v>Industrial engineering and manufacturing technologists and technicians</v>
      </c>
      <c r="D471" s="101">
        <f>Masters!F475</f>
        <v>2</v>
      </c>
      <c r="E471" s="101">
        <f>Masters!G475</f>
        <v>2</v>
      </c>
      <c r="F471" s="101">
        <f>Masters!H475</f>
        <v>2</v>
      </c>
      <c r="G471" s="101">
        <f>Masters!I475</f>
        <v>2</v>
      </c>
      <c r="H471" s="101">
        <f>Masters!J475</f>
        <v>3</v>
      </c>
      <c r="I471" s="101">
        <f>Masters!K475</f>
        <v>3</v>
      </c>
      <c r="J471" s="101">
        <f>Masters!L475</f>
        <v>4</v>
      </c>
      <c r="K471" s="101">
        <f>Masters!M475</f>
        <v>4</v>
      </c>
      <c r="L471" s="101">
        <f>Masters!N475</f>
        <v>3</v>
      </c>
    </row>
    <row r="472">
      <c r="A472" s="101">
        <f>Masters!C476</f>
        <v>3131</v>
      </c>
      <c r="B472" s="102" t="str">
        <f>Masters!D476</f>
        <v>Industrial Pharmacists</v>
      </c>
      <c r="C472" s="102" t="str">
        <f>Masters!E476</f>
        <v>Pharmacists</v>
      </c>
      <c r="D472" s="101">
        <f>Masters!F476</f>
        <v>2</v>
      </c>
      <c r="E472" s="101">
        <f>Masters!G476</f>
        <v>2</v>
      </c>
      <c r="F472" s="101">
        <f>Masters!H476</f>
        <v>2</v>
      </c>
      <c r="G472" s="101">
        <f>Masters!I476</f>
        <v>3</v>
      </c>
      <c r="H472" s="101">
        <f>Masters!J476</f>
        <v>2</v>
      </c>
      <c r="I472" s="101">
        <f>Masters!K476</f>
        <v>3</v>
      </c>
      <c r="J472" s="101">
        <f>Masters!L476</f>
        <v>3</v>
      </c>
      <c r="K472" s="101">
        <f>Masters!M476</f>
        <v>3</v>
      </c>
      <c r="L472" s="101">
        <f>Masters!N476</f>
        <v>3</v>
      </c>
    </row>
    <row r="473">
      <c r="A473" s="101">
        <f>Masters!C477</f>
        <v>9441</v>
      </c>
      <c r="B473" s="102" t="str">
        <f>Masters!D477</f>
        <v>Hide and Pelt Processing Workers</v>
      </c>
      <c r="C473" s="102" t="str">
        <f>Masters!E477</f>
        <v>Textile fibre and yarn, hide and pelt processing machine operators and workers</v>
      </c>
      <c r="D473" s="101">
        <f>Masters!F477</f>
        <v>4</v>
      </c>
      <c r="E473" s="101">
        <f>Masters!G477</f>
        <v>4</v>
      </c>
      <c r="F473" s="101">
        <f>Masters!H477</f>
        <v>4</v>
      </c>
      <c r="G473" s="101">
        <f>Masters!I477</f>
        <v>4</v>
      </c>
      <c r="H473" s="101">
        <f>Masters!J477</f>
        <v>3</v>
      </c>
      <c r="I473" s="101">
        <f>Masters!K477</f>
        <v>4</v>
      </c>
      <c r="J473" s="101">
        <f>Masters!L477</f>
        <v>3</v>
      </c>
      <c r="K473" s="101">
        <f>Masters!M477</f>
        <v>4</v>
      </c>
      <c r="L473" s="101">
        <f>Masters!N477</f>
        <v>3</v>
      </c>
    </row>
    <row r="474">
      <c r="A474" s="101">
        <f>Masters!C478</f>
        <v>2262</v>
      </c>
      <c r="B474" s="102" t="str">
        <f>Masters!D478</f>
        <v>Inspectors, Weights and Measures</v>
      </c>
      <c r="C474" s="102" t="str">
        <f>Masters!E478</f>
        <v>Engineering inspectors and regulatory officers</v>
      </c>
      <c r="D474" s="101">
        <f>Masters!F478</f>
        <v>2</v>
      </c>
      <c r="E474" s="101">
        <f>Masters!G478</f>
        <v>3</v>
      </c>
      <c r="F474" s="101">
        <f>Masters!H478</f>
        <v>3</v>
      </c>
      <c r="G474" s="101">
        <f>Masters!I478</f>
        <v>3</v>
      </c>
      <c r="H474" s="101">
        <f>Masters!J478</f>
        <v>3</v>
      </c>
      <c r="I474" s="101">
        <f>Masters!K478</f>
        <v>3</v>
      </c>
      <c r="J474" s="101">
        <f>Masters!L478</f>
        <v>4</v>
      </c>
      <c r="K474" s="101">
        <f>Masters!M478</f>
        <v>4</v>
      </c>
      <c r="L474" s="101">
        <f>Masters!N478</f>
        <v>4</v>
      </c>
    </row>
    <row r="475">
      <c r="A475" s="101">
        <f>Masters!C479</f>
        <v>4215</v>
      </c>
      <c r="B475" s="102" t="str">
        <f>Masters!D479</f>
        <v>Instructors and Teachers of Persons with Disabilities</v>
      </c>
      <c r="C475" s="102" t="str">
        <f>Masters!E479</f>
        <v>Instructors of persons with disabilities</v>
      </c>
      <c r="D475" s="101">
        <f>Masters!F479</f>
        <v>2</v>
      </c>
      <c r="E475" s="101">
        <f>Masters!G479</f>
        <v>2</v>
      </c>
      <c r="F475" s="101">
        <f>Masters!H479</f>
        <v>3</v>
      </c>
      <c r="G475" s="101">
        <f>Masters!I479</f>
        <v>4</v>
      </c>
      <c r="H475" s="101">
        <f>Masters!J479</f>
        <v>4</v>
      </c>
      <c r="I475" s="101">
        <f>Masters!K479</f>
        <v>3</v>
      </c>
      <c r="J475" s="101">
        <f>Masters!L479</f>
        <v>3</v>
      </c>
      <c r="K475" s="101">
        <f>Masters!M479</f>
        <v>3</v>
      </c>
      <c r="L475" s="101">
        <f>Masters!N479</f>
        <v>3</v>
      </c>
    </row>
    <row r="476">
      <c r="A476" s="101">
        <f>Masters!C480</f>
        <v>2225</v>
      </c>
      <c r="B476" s="102" t="str">
        <f>Masters!D480</f>
        <v>Landscape Gardeners</v>
      </c>
      <c r="C476" s="102" t="str">
        <f>Masters!E480</f>
        <v>Landscape and horticulture technicians and specialists</v>
      </c>
      <c r="D476" s="101">
        <f>Masters!F480</f>
        <v>3</v>
      </c>
      <c r="E476" s="101">
        <f>Masters!G480</f>
        <v>3</v>
      </c>
      <c r="F476" s="101">
        <f>Masters!H480</f>
        <v>3</v>
      </c>
      <c r="G476" s="101">
        <f>Masters!I480</f>
        <v>3</v>
      </c>
      <c r="H476" s="101">
        <f>Masters!J480</f>
        <v>3</v>
      </c>
      <c r="I476" s="101">
        <f>Masters!K480</f>
        <v>4</v>
      </c>
      <c r="J476" s="101">
        <f>Masters!L480</f>
        <v>3</v>
      </c>
      <c r="K476" s="101">
        <f>Masters!M480</f>
        <v>4</v>
      </c>
      <c r="L476" s="101">
        <f>Masters!N480</f>
        <v>3</v>
      </c>
    </row>
    <row r="477">
      <c r="A477" s="101">
        <f>Masters!C481</f>
        <v>8255</v>
      </c>
      <c r="B477" s="102" t="str">
        <f>Masters!D481</f>
        <v>Landscaping and Grounds Maintenance Contractors and Managers</v>
      </c>
      <c r="C477" s="102" t="str">
        <f>Masters!E481</f>
        <v>Contractors and supervisors, landscaping, grounds maintenance and horticulture services</v>
      </c>
      <c r="D477" s="101">
        <f>Masters!F481</f>
        <v>2</v>
      </c>
      <c r="E477" s="101">
        <f>Masters!G481</f>
        <v>3</v>
      </c>
      <c r="F477" s="101">
        <f>Masters!H481</f>
        <v>3</v>
      </c>
      <c r="G477" s="101">
        <f>Masters!I481</f>
        <v>2</v>
      </c>
      <c r="H477" s="101">
        <f>Masters!J481</f>
        <v>3</v>
      </c>
      <c r="I477" s="101">
        <f>Masters!K481</f>
        <v>4</v>
      </c>
      <c r="J477" s="101">
        <f>Masters!L481</f>
        <v>4</v>
      </c>
      <c r="K477" s="101">
        <f>Masters!M481</f>
        <v>4</v>
      </c>
      <c r="L477" s="101">
        <f>Masters!N481</f>
        <v>4</v>
      </c>
    </row>
    <row r="478">
      <c r="A478" s="101">
        <f>Masters!C482</f>
        <v>4412</v>
      </c>
      <c r="B478" s="102" t="str">
        <f>Masters!D482</f>
        <v>Housekeepers</v>
      </c>
      <c r="C478" s="102" t="str">
        <f>Masters!E482</f>
        <v>Home support workers, housekeepers and related occupations</v>
      </c>
      <c r="D478" s="101">
        <f>Masters!F482</f>
        <v>3</v>
      </c>
      <c r="E478" s="101">
        <f>Masters!G482</f>
        <v>4</v>
      </c>
      <c r="F478" s="101">
        <f>Masters!H482</f>
        <v>4</v>
      </c>
      <c r="G478" s="101">
        <f>Masters!I482</f>
        <v>4</v>
      </c>
      <c r="H478" s="101">
        <f>Masters!J482</f>
        <v>4</v>
      </c>
      <c r="I478" s="101">
        <f>Masters!K482</f>
        <v>4</v>
      </c>
      <c r="J478" s="101">
        <f>Masters!L482</f>
        <v>3</v>
      </c>
      <c r="K478" s="101">
        <f>Masters!M482</f>
        <v>4</v>
      </c>
      <c r="L478" s="101">
        <f>Masters!N482</f>
        <v>3</v>
      </c>
    </row>
    <row r="479">
      <c r="A479" s="101">
        <f>Masters!C483</f>
        <v>1242</v>
      </c>
      <c r="B479" s="102" t="str">
        <f>Masters!D483</f>
        <v>Legal Secretaries</v>
      </c>
      <c r="C479" s="102" t="str">
        <f>Masters!E483</f>
        <v>Legal administrative assistants</v>
      </c>
      <c r="D479" s="101">
        <f>Masters!F483</f>
        <v>3</v>
      </c>
      <c r="E479" s="101">
        <f>Masters!G483</f>
        <v>3</v>
      </c>
      <c r="F479" s="101">
        <f>Masters!H483</f>
        <v>3</v>
      </c>
      <c r="G479" s="101">
        <f>Masters!I483</f>
        <v>4</v>
      </c>
      <c r="H479" s="101">
        <f>Masters!J483</f>
        <v>3</v>
      </c>
      <c r="I479" s="101">
        <f>Masters!K483</f>
        <v>2</v>
      </c>
      <c r="J479" s="101">
        <f>Masters!L483</f>
        <v>3</v>
      </c>
      <c r="K479" s="101">
        <f>Masters!M483</f>
        <v>3</v>
      </c>
      <c r="L479" s="101">
        <f>Masters!N483</f>
        <v>3</v>
      </c>
    </row>
    <row r="480">
      <c r="A480" s="101">
        <f>Masters!C484</f>
        <v>9415</v>
      </c>
      <c r="B480" s="102" t="str">
        <f>Masters!D484</f>
        <v>Inspectors and Testers, Mineral and Metal Processing</v>
      </c>
      <c r="C480" s="102" t="str">
        <f>Masters!E484</f>
        <v>Inspectors and testers, mineral and metal processing</v>
      </c>
      <c r="D480" s="101">
        <f>Masters!F484</f>
        <v>3</v>
      </c>
      <c r="E480" s="101">
        <f>Masters!G484</f>
        <v>4</v>
      </c>
      <c r="F480" s="101">
        <f>Masters!H484</f>
        <v>4</v>
      </c>
      <c r="G480" s="101">
        <f>Masters!I484</f>
        <v>4</v>
      </c>
      <c r="H480" s="101">
        <f>Masters!J484</f>
        <v>3</v>
      </c>
      <c r="I480" s="101">
        <f>Masters!K484</f>
        <v>4</v>
      </c>
      <c r="J480" s="101">
        <f>Masters!L484</f>
        <v>4</v>
      </c>
      <c r="K480" s="101">
        <f>Masters!M484</f>
        <v>4</v>
      </c>
      <c r="L480" s="101">
        <f>Masters!N484</f>
        <v>3</v>
      </c>
    </row>
    <row r="481">
      <c r="A481" s="101">
        <f>Masters!C485</f>
        <v>1451</v>
      </c>
      <c r="B481" s="102" t="str">
        <f>Masters!D485</f>
        <v>Library Clerks</v>
      </c>
      <c r="C481" s="102" t="str">
        <f>Masters!E485</f>
        <v>Library assistants and clerks</v>
      </c>
      <c r="D481" s="101">
        <f>Masters!F485</f>
        <v>3</v>
      </c>
      <c r="E481" s="101">
        <f>Masters!G485</f>
        <v>3</v>
      </c>
      <c r="F481" s="101">
        <f>Masters!H485</f>
        <v>4</v>
      </c>
      <c r="G481" s="101">
        <f>Masters!I485</f>
        <v>4</v>
      </c>
      <c r="H481" s="101">
        <f>Masters!J485</f>
        <v>3</v>
      </c>
      <c r="I481" s="101">
        <f>Masters!K485</f>
        <v>3</v>
      </c>
      <c r="J481" s="101">
        <f>Masters!L485</f>
        <v>3</v>
      </c>
      <c r="K481" s="101">
        <f>Masters!M485</f>
        <v>4</v>
      </c>
      <c r="L481" s="101">
        <f>Masters!N485</f>
        <v>4</v>
      </c>
    </row>
    <row r="482">
      <c r="A482" s="101">
        <f>Masters!C486</f>
        <v>7533</v>
      </c>
      <c r="B482" s="102" t="str">
        <f>Masters!D486</f>
        <v>Lock Equipment Operators</v>
      </c>
      <c r="C482" s="102" t="str">
        <f>Masters!E486</f>
        <v>Boat and cable ferry operators and related occupations</v>
      </c>
      <c r="D482" s="101">
        <f>Masters!F486</f>
        <v>3</v>
      </c>
      <c r="E482" s="101">
        <f>Masters!G486</f>
        <v>3</v>
      </c>
      <c r="F482" s="101">
        <f>Masters!H486</f>
        <v>4</v>
      </c>
      <c r="G482" s="101">
        <f>Masters!I486</f>
        <v>3</v>
      </c>
      <c r="H482" s="101">
        <f>Masters!J486</f>
        <v>3</v>
      </c>
      <c r="I482" s="101">
        <f>Masters!K486</f>
        <v>4</v>
      </c>
      <c r="J482" s="101">
        <f>Masters!L486</f>
        <v>4</v>
      </c>
      <c r="K482" s="101">
        <f>Masters!M486</f>
        <v>4</v>
      </c>
      <c r="L482" s="101">
        <f>Masters!N486</f>
        <v>3</v>
      </c>
    </row>
    <row r="483">
      <c r="A483" s="101">
        <f>Masters!C487</f>
        <v>9445</v>
      </c>
      <c r="B483" s="102" t="str">
        <f>Masters!D487</f>
        <v>Leather Cutters</v>
      </c>
      <c r="C483" s="102" t="str">
        <f>Masters!E487</f>
        <v>Fabric, fur and leather cutters</v>
      </c>
      <c r="D483" s="101">
        <f>Masters!F487</f>
        <v>3</v>
      </c>
      <c r="E483" s="101">
        <f>Masters!G487</f>
        <v>4</v>
      </c>
      <c r="F483" s="101">
        <f>Masters!H487</f>
        <v>4</v>
      </c>
      <c r="G483" s="101">
        <f>Masters!I487</f>
        <v>4</v>
      </c>
      <c r="H483" s="101">
        <f>Masters!J487</f>
        <v>4</v>
      </c>
      <c r="I483" s="101">
        <f>Masters!K487</f>
        <v>4</v>
      </c>
      <c r="J483" s="101">
        <f>Masters!L487</f>
        <v>3</v>
      </c>
      <c r="K483" s="101">
        <f>Masters!M487</f>
        <v>4</v>
      </c>
      <c r="L483" s="101">
        <f>Masters!N487</f>
        <v>3</v>
      </c>
    </row>
    <row r="484">
      <c r="A484" s="101">
        <f>Masters!C488</f>
        <v>1512</v>
      </c>
      <c r="B484" s="102" t="str">
        <f>Masters!D488</f>
        <v>Letter Carriers</v>
      </c>
      <c r="C484" s="102" t="str">
        <f>Masters!E488</f>
        <v>Letter carriers</v>
      </c>
      <c r="D484" s="101">
        <f>Masters!F488</f>
        <v>4</v>
      </c>
      <c r="E484" s="101">
        <f>Masters!G488</f>
        <v>4</v>
      </c>
      <c r="F484" s="101">
        <f>Masters!H488</f>
        <v>4</v>
      </c>
      <c r="G484" s="101">
        <f>Masters!I488</f>
        <v>4</v>
      </c>
      <c r="H484" s="101">
        <f>Masters!J488</f>
        <v>4</v>
      </c>
      <c r="I484" s="101">
        <f>Masters!K488</f>
        <v>3</v>
      </c>
      <c r="J484" s="101">
        <f>Masters!L488</f>
        <v>3</v>
      </c>
      <c r="K484" s="101">
        <f>Masters!M488</f>
        <v>4</v>
      </c>
      <c r="L484" s="101">
        <f>Masters!N488</f>
        <v>3</v>
      </c>
    </row>
    <row r="485">
      <c r="A485" s="101">
        <f>Masters!C489</f>
        <v>9411</v>
      </c>
      <c r="B485" s="102" t="str">
        <f>Masters!D489</f>
        <v>Machine Operators, Mineral and Metal Processing</v>
      </c>
      <c r="C485" s="102" t="str">
        <f>Masters!E489</f>
        <v>Machine operators, mineral and metal processing</v>
      </c>
      <c r="D485" s="101">
        <f>Masters!F489</f>
        <v>3</v>
      </c>
      <c r="E485" s="101">
        <f>Masters!G489</f>
        <v>4</v>
      </c>
      <c r="F485" s="101">
        <f>Masters!H489</f>
        <v>4</v>
      </c>
      <c r="G485" s="101">
        <f>Masters!I489</f>
        <v>4</v>
      </c>
      <c r="H485" s="101">
        <f>Masters!J489</f>
        <v>4</v>
      </c>
      <c r="I485" s="101">
        <f>Masters!K489</f>
        <v>4</v>
      </c>
      <c r="J485" s="101">
        <f>Masters!L489</f>
        <v>3</v>
      </c>
      <c r="K485" s="101">
        <f>Masters!M489</f>
        <v>4</v>
      </c>
      <c r="L485" s="101">
        <f>Masters!N489</f>
        <v>3</v>
      </c>
    </row>
    <row r="486">
      <c r="A486" s="101">
        <f>Masters!C490</f>
        <v>6561</v>
      </c>
      <c r="B486" s="102" t="str">
        <f>Masters!D490</f>
        <v>Make-Up Consultants</v>
      </c>
      <c r="C486" s="102" t="str">
        <f>Masters!E490</f>
        <v>Image, social and other personal consultants</v>
      </c>
      <c r="D486" s="101">
        <f>Masters!F490</f>
        <v>3</v>
      </c>
      <c r="E486" s="101">
        <f>Masters!G490</f>
        <v>3</v>
      </c>
      <c r="F486" s="101">
        <f>Masters!H490</f>
        <v>4</v>
      </c>
      <c r="G486" s="101">
        <f>Masters!I490</f>
        <v>4</v>
      </c>
      <c r="H486" s="101">
        <f>Masters!J490</f>
        <v>3</v>
      </c>
      <c r="I486" s="101">
        <f>Masters!K490</f>
        <v>3</v>
      </c>
      <c r="J486" s="101">
        <f>Masters!L490</f>
        <v>4</v>
      </c>
      <c r="K486" s="101">
        <f>Masters!M490</f>
        <v>3</v>
      </c>
      <c r="L486" s="101">
        <f>Masters!N490</f>
        <v>4</v>
      </c>
    </row>
    <row r="487">
      <c r="A487" s="101">
        <f>Masters!C491</f>
        <v>1511</v>
      </c>
      <c r="B487" s="102" t="str">
        <f>Masters!D491</f>
        <v>Mail Room Clerks</v>
      </c>
      <c r="C487" s="102" t="str">
        <f>Masters!E491</f>
        <v>Mail, postal and related workers</v>
      </c>
      <c r="D487" s="101">
        <f>Masters!F491</f>
        <v>3</v>
      </c>
      <c r="E487" s="101">
        <f>Masters!G491</f>
        <v>4</v>
      </c>
      <c r="F487" s="101">
        <f>Masters!H491</f>
        <v>4</v>
      </c>
      <c r="G487" s="101">
        <f>Masters!I491</f>
        <v>4</v>
      </c>
      <c r="H487" s="101">
        <f>Masters!J491</f>
        <v>4</v>
      </c>
      <c r="I487" s="101">
        <f>Masters!K491</f>
        <v>3</v>
      </c>
      <c r="J487" s="101">
        <f>Masters!L491</f>
        <v>4</v>
      </c>
      <c r="K487" s="101">
        <f>Masters!M491</f>
        <v>3</v>
      </c>
      <c r="L487" s="101">
        <f>Masters!N491</f>
        <v>4</v>
      </c>
    </row>
    <row r="488">
      <c r="A488" s="101">
        <f>Masters!C492</f>
        <v>3236</v>
      </c>
      <c r="B488" s="102" t="str">
        <f>Masters!D492</f>
        <v>Massage Therapists</v>
      </c>
      <c r="C488" s="102" t="str">
        <f>Masters!E492</f>
        <v>Massage therapists</v>
      </c>
      <c r="D488" s="101">
        <f>Masters!F492</f>
        <v>3</v>
      </c>
      <c r="E488" s="101">
        <f>Masters!G492</f>
        <v>3</v>
      </c>
      <c r="F488" s="101">
        <f>Masters!H492</f>
        <v>4</v>
      </c>
      <c r="G488" s="101">
        <f>Masters!I492</f>
        <v>4</v>
      </c>
      <c r="H488" s="101">
        <f>Masters!J492</f>
        <v>4</v>
      </c>
      <c r="I488" s="101">
        <f>Masters!K492</f>
        <v>4</v>
      </c>
      <c r="J488" s="101">
        <f>Masters!L492</f>
        <v>3</v>
      </c>
      <c r="K488" s="101">
        <f>Masters!M492</f>
        <v>3</v>
      </c>
      <c r="L488" s="101">
        <f>Masters!N492</f>
        <v>3</v>
      </c>
    </row>
    <row r="489">
      <c r="A489" s="101">
        <f>Masters!C493</f>
        <v>1511</v>
      </c>
      <c r="B489" s="102" t="str">
        <f>Masters!D493</f>
        <v>Mail Sorters</v>
      </c>
      <c r="C489" s="102" t="str">
        <f>Masters!E493</f>
        <v>Mail, postal and related workers</v>
      </c>
      <c r="D489" s="101">
        <f>Masters!F493</f>
        <v>3</v>
      </c>
      <c r="E489" s="101">
        <f>Masters!G493</f>
        <v>4</v>
      </c>
      <c r="F489" s="101">
        <f>Masters!H493</f>
        <v>4</v>
      </c>
      <c r="G489" s="101">
        <f>Masters!I493</f>
        <v>4</v>
      </c>
      <c r="H489" s="101">
        <f>Masters!J493</f>
        <v>4</v>
      </c>
      <c r="I489" s="101">
        <f>Masters!K493</f>
        <v>3</v>
      </c>
      <c r="J489" s="101">
        <f>Masters!L493</f>
        <v>4</v>
      </c>
      <c r="K489" s="101">
        <f>Masters!M493</f>
        <v>3</v>
      </c>
      <c r="L489" s="101">
        <f>Masters!N493</f>
        <v>4</v>
      </c>
    </row>
    <row r="490">
      <c r="A490" s="101">
        <f>Masters!C494</f>
        <v>1243</v>
      </c>
      <c r="B490" s="102" t="str">
        <f>Masters!D494</f>
        <v>Medical and Dental Receptionists</v>
      </c>
      <c r="C490" s="102" t="str">
        <f>Masters!E494</f>
        <v>Medical administrative assistants</v>
      </c>
      <c r="D490" s="101">
        <f>Masters!F494</f>
        <v>3</v>
      </c>
      <c r="E490" s="101">
        <f>Masters!G494</f>
        <v>3</v>
      </c>
      <c r="F490" s="101">
        <f>Masters!H494</f>
        <v>4</v>
      </c>
      <c r="G490" s="101">
        <f>Masters!I494</f>
        <v>4</v>
      </c>
      <c r="H490" s="101">
        <f>Masters!J494</f>
        <v>4</v>
      </c>
      <c r="I490" s="101">
        <f>Masters!K494</f>
        <v>3</v>
      </c>
      <c r="J490" s="101">
        <f>Masters!L494</f>
        <v>3</v>
      </c>
      <c r="K490" s="101">
        <f>Masters!M494</f>
        <v>3</v>
      </c>
      <c r="L490" s="101">
        <f>Masters!N494</f>
        <v>4</v>
      </c>
    </row>
    <row r="491">
      <c r="A491" s="101">
        <f>Masters!C495</f>
        <v>3211</v>
      </c>
      <c r="B491" s="102" t="str">
        <f>Masters!D495</f>
        <v>Medical Laboratory Technologists</v>
      </c>
      <c r="C491" s="102" t="str">
        <f>Masters!E495</f>
        <v>Medical laboratory technologists</v>
      </c>
      <c r="D491" s="101">
        <f>Masters!F495</f>
        <v>2</v>
      </c>
      <c r="E491" s="101">
        <f>Masters!G495</f>
        <v>2</v>
      </c>
      <c r="F491" s="101">
        <f>Masters!H495</f>
        <v>2</v>
      </c>
      <c r="G491" s="101">
        <f>Masters!I495</f>
        <v>3</v>
      </c>
      <c r="H491" s="101">
        <f>Masters!J495</f>
        <v>2</v>
      </c>
      <c r="I491" s="101">
        <f>Masters!K495</f>
        <v>3</v>
      </c>
      <c r="J491" s="101">
        <f>Masters!L495</f>
        <v>3</v>
      </c>
      <c r="K491" s="101">
        <f>Masters!M495</f>
        <v>3</v>
      </c>
      <c r="L491" s="101">
        <f>Masters!N495</f>
        <v>3</v>
      </c>
    </row>
    <row r="492">
      <c r="A492" s="101">
        <f>Masters!C496</f>
        <v>1243</v>
      </c>
      <c r="B492" s="102" t="str">
        <f>Masters!D496</f>
        <v>Medical Secretaries</v>
      </c>
      <c r="C492" s="102" t="str">
        <f>Masters!E496</f>
        <v>Medical administrative assistants</v>
      </c>
      <c r="D492" s="101">
        <f>Masters!F496</f>
        <v>3</v>
      </c>
      <c r="E492" s="101">
        <f>Masters!G496</f>
        <v>3</v>
      </c>
      <c r="F492" s="101">
        <f>Masters!H496</f>
        <v>3</v>
      </c>
      <c r="G492" s="101">
        <f>Masters!I496</f>
        <v>4</v>
      </c>
      <c r="H492" s="101">
        <f>Masters!J496</f>
        <v>3</v>
      </c>
      <c r="I492" s="101">
        <f>Masters!K496</f>
        <v>2</v>
      </c>
      <c r="J492" s="101">
        <f>Masters!L496</f>
        <v>3</v>
      </c>
      <c r="K492" s="101">
        <f>Masters!M496</f>
        <v>3</v>
      </c>
      <c r="L492" s="101">
        <f>Masters!N496</f>
        <v>3</v>
      </c>
    </row>
    <row r="493">
      <c r="A493" s="101">
        <f>Masters!C497</f>
        <v>9412</v>
      </c>
      <c r="B493" s="102" t="str">
        <f>Masters!D497</f>
        <v>Manual Coremakers</v>
      </c>
      <c r="C493" s="102" t="str">
        <f>Masters!E497</f>
        <v>Foundry workers</v>
      </c>
      <c r="D493" s="101">
        <f>Masters!F497</f>
        <v>4</v>
      </c>
      <c r="E493" s="101">
        <f>Masters!G497</f>
        <v>4</v>
      </c>
      <c r="F493" s="101">
        <f>Masters!H497</f>
        <v>4</v>
      </c>
      <c r="G493" s="101">
        <f>Masters!I497</f>
        <v>4</v>
      </c>
      <c r="H493" s="101">
        <f>Masters!J497</f>
        <v>3</v>
      </c>
      <c r="I493" s="101">
        <f>Masters!K497</f>
        <v>4</v>
      </c>
      <c r="J493" s="101">
        <f>Masters!L497</f>
        <v>3</v>
      </c>
      <c r="K493" s="101">
        <f>Masters!M497</f>
        <v>4</v>
      </c>
      <c r="L493" s="101">
        <f>Masters!N497</f>
        <v>3</v>
      </c>
    </row>
    <row r="494">
      <c r="A494" s="101">
        <f>Masters!C498</f>
        <v>2262</v>
      </c>
      <c r="B494" s="102" t="str">
        <f>Masters!D498</f>
        <v>Motor Vehicle Defects Investigators</v>
      </c>
      <c r="C494" s="102" t="str">
        <f>Masters!E498</f>
        <v>Engineering inspectors and regulatory officers</v>
      </c>
      <c r="D494" s="101">
        <f>Masters!F498</f>
        <v>2</v>
      </c>
      <c r="E494" s="101">
        <f>Masters!G498</f>
        <v>3</v>
      </c>
      <c r="F494" s="101">
        <f>Masters!H498</f>
        <v>3</v>
      </c>
      <c r="G494" s="101">
        <f>Masters!I498</f>
        <v>3</v>
      </c>
      <c r="H494" s="101">
        <f>Masters!J498</f>
        <v>3</v>
      </c>
      <c r="I494" s="101">
        <f>Masters!K498</f>
        <v>3</v>
      </c>
      <c r="J494" s="101">
        <f>Masters!L498</f>
        <v>4</v>
      </c>
      <c r="K494" s="101">
        <f>Masters!M498</f>
        <v>4</v>
      </c>
      <c r="L494" s="101">
        <f>Masters!N498</f>
        <v>4</v>
      </c>
    </row>
    <row r="495">
      <c r="A495" s="101">
        <f>Masters!C499</f>
        <v>2261</v>
      </c>
      <c r="B495" s="102" t="str">
        <f>Masters!D499</f>
        <v>Nondestructive Testers and Inspectors</v>
      </c>
      <c r="C495" s="102" t="str">
        <f>Masters!E499</f>
        <v>Non-destructive testers and inspection technicians</v>
      </c>
      <c r="D495" s="101">
        <f>Masters!F499</f>
        <v>3</v>
      </c>
      <c r="E495" s="101">
        <f>Masters!G499</f>
        <v>3</v>
      </c>
      <c r="F495" s="101">
        <f>Masters!H499</f>
        <v>3</v>
      </c>
      <c r="G495" s="101">
        <f>Masters!I499</f>
        <v>3</v>
      </c>
      <c r="H495" s="101">
        <f>Masters!J499</f>
        <v>3</v>
      </c>
      <c r="I495" s="101">
        <f>Masters!K499</f>
        <v>4</v>
      </c>
      <c r="J495" s="101">
        <f>Masters!L499</f>
        <v>3</v>
      </c>
      <c r="K495" s="101">
        <f>Masters!M499</f>
        <v>4</v>
      </c>
      <c r="L495" s="101">
        <f>Masters!N499</f>
        <v>3</v>
      </c>
    </row>
    <row r="496">
      <c r="A496" s="101">
        <f>Masters!C500</f>
        <v>3215</v>
      </c>
      <c r="B496" s="102" t="str">
        <f>Masters!D500</f>
        <v>Nuclear Medicine Technologists</v>
      </c>
      <c r="C496" s="102" t="str">
        <f>Masters!E500</f>
        <v>Medical radiation technologists</v>
      </c>
      <c r="D496" s="101">
        <f>Masters!F500</f>
        <v>2</v>
      </c>
      <c r="E496" s="101">
        <f>Masters!G500</f>
        <v>2</v>
      </c>
      <c r="F496" s="101">
        <f>Masters!H500</f>
        <v>3</v>
      </c>
      <c r="G496" s="101">
        <f>Masters!I500</f>
        <v>3</v>
      </c>
      <c r="H496" s="101">
        <f>Masters!J500</f>
        <v>2</v>
      </c>
      <c r="I496" s="101">
        <f>Masters!K500</f>
        <v>4</v>
      </c>
      <c r="J496" s="101">
        <f>Masters!L500</f>
        <v>3</v>
      </c>
      <c r="K496" s="101">
        <f>Masters!M500</f>
        <v>3</v>
      </c>
      <c r="L496" s="101">
        <f>Masters!N500</f>
        <v>3</v>
      </c>
    </row>
    <row r="497">
      <c r="A497" s="101">
        <f>Masters!C501</f>
        <v>9526</v>
      </c>
      <c r="B497" s="102" t="str">
        <f>Masters!D501</f>
        <v>Mechanical Assemblers</v>
      </c>
      <c r="C497" s="102" t="str">
        <f>Masters!E501</f>
        <v>Mechanical assemblers and inspectors</v>
      </c>
      <c r="D497" s="101">
        <f>Masters!F501</f>
        <v>4</v>
      </c>
      <c r="E497" s="101">
        <f>Masters!G501</f>
        <v>4</v>
      </c>
      <c r="F497" s="101">
        <f>Masters!H501</f>
        <v>4</v>
      </c>
      <c r="G497" s="101">
        <f>Masters!I501</f>
        <v>4</v>
      </c>
      <c r="H497" s="101">
        <f>Masters!J501</f>
        <v>3</v>
      </c>
      <c r="I497" s="101">
        <f>Masters!K501</f>
        <v>4</v>
      </c>
      <c r="J497" s="101">
        <f>Masters!L501</f>
        <v>3</v>
      </c>
      <c r="K497" s="101">
        <f>Masters!M501</f>
        <v>4</v>
      </c>
      <c r="L497" s="101">
        <f>Masters!N501</f>
        <v>3</v>
      </c>
    </row>
    <row r="498">
      <c r="A498" s="101">
        <f>Masters!C502</f>
        <v>8232</v>
      </c>
      <c r="B498" s="102" t="str">
        <f>Masters!D502</f>
        <v>Oil and Gas Well Loggers, Testers and Related Workers</v>
      </c>
      <c r="C498" s="102" t="str">
        <f>Masters!E502</f>
        <v>Oil and gas well drillers, servicers, testers and related workers</v>
      </c>
      <c r="D498" s="101">
        <f>Masters!F502</f>
        <v>3</v>
      </c>
      <c r="E498" s="101">
        <f>Masters!G502</f>
        <v>3</v>
      </c>
      <c r="F498" s="101">
        <f>Masters!H502</f>
        <v>4</v>
      </c>
      <c r="G498" s="101">
        <f>Masters!I502</f>
        <v>3</v>
      </c>
      <c r="H498" s="101">
        <f>Masters!J502</f>
        <v>4</v>
      </c>
      <c r="I498" s="101">
        <f>Masters!K502</f>
        <v>4</v>
      </c>
      <c r="J498" s="101">
        <f>Masters!L502</f>
        <v>3</v>
      </c>
      <c r="K498" s="101">
        <f>Masters!M502</f>
        <v>4</v>
      </c>
      <c r="L498" s="101">
        <f>Masters!N502</f>
        <v>3</v>
      </c>
    </row>
    <row r="499">
      <c r="A499" s="101">
        <f>Masters!C503</f>
        <v>3414</v>
      </c>
      <c r="B499" s="102" t="str">
        <f>Masters!D503</f>
        <v>Morgue Attendants</v>
      </c>
      <c r="C499" s="102" t="str">
        <f>Masters!E503</f>
        <v>Other assisting occupations in support of health services</v>
      </c>
      <c r="D499" s="101">
        <f>Masters!F503</f>
        <v>3</v>
      </c>
      <c r="E499" s="101">
        <f>Masters!G503</f>
        <v>4</v>
      </c>
      <c r="F499" s="101">
        <f>Masters!H503</f>
        <v>4</v>
      </c>
      <c r="G499" s="101">
        <f>Masters!I503</f>
        <v>4</v>
      </c>
      <c r="H499" s="101">
        <f>Masters!J503</f>
        <v>4</v>
      </c>
      <c r="I499" s="101">
        <f>Masters!K503</f>
        <v>4</v>
      </c>
      <c r="J499" s="101">
        <f>Masters!L503</f>
        <v>4</v>
      </c>
      <c r="K499" s="101">
        <f>Masters!M503</f>
        <v>3</v>
      </c>
      <c r="L499" s="101">
        <f>Masters!N503</f>
        <v>3</v>
      </c>
    </row>
    <row r="500">
      <c r="A500" s="101">
        <f>Masters!C504</f>
        <v>3233</v>
      </c>
      <c r="B500" s="102" t="str">
        <f>Masters!D504</f>
        <v>Operating Room Technicians</v>
      </c>
      <c r="C500" s="102" t="str">
        <f>Masters!E504</f>
        <v>Licensed practical nurses</v>
      </c>
      <c r="D500" s="101">
        <f>Masters!F504</f>
        <v>3</v>
      </c>
      <c r="E500" s="101">
        <f>Masters!G504</f>
        <v>3</v>
      </c>
      <c r="F500" s="101">
        <f>Masters!H504</f>
        <v>4</v>
      </c>
      <c r="G500" s="101">
        <f>Masters!I504</f>
        <v>4</v>
      </c>
      <c r="H500" s="101">
        <f>Masters!J504</f>
        <v>4</v>
      </c>
      <c r="I500" s="101">
        <f>Masters!K504</f>
        <v>4</v>
      </c>
      <c r="J500" s="101">
        <f>Masters!L504</f>
        <v>3</v>
      </c>
      <c r="K500" s="101">
        <f>Masters!M504</f>
        <v>3</v>
      </c>
      <c r="L500" s="101">
        <f>Masters!N504</f>
        <v>3</v>
      </c>
    </row>
    <row r="501">
      <c r="A501" s="101">
        <f>Masters!C505</f>
        <v>3231</v>
      </c>
      <c r="B501" s="102" t="str">
        <f>Masters!D505</f>
        <v>Opticians</v>
      </c>
      <c r="C501" s="102" t="str">
        <f>Masters!E505</f>
        <v>Opticians</v>
      </c>
      <c r="D501" s="101">
        <f>Masters!F505</f>
        <v>3</v>
      </c>
      <c r="E501" s="101">
        <f>Masters!G505</f>
        <v>3</v>
      </c>
      <c r="F501" s="101">
        <f>Masters!H505</f>
        <v>3</v>
      </c>
      <c r="G501" s="101">
        <f>Masters!I505</f>
        <v>3</v>
      </c>
      <c r="H501" s="101">
        <f>Masters!J505</f>
        <v>3</v>
      </c>
      <c r="I501" s="101">
        <f>Masters!K505</f>
        <v>4</v>
      </c>
      <c r="J501" s="101">
        <f>Masters!L505</f>
        <v>3</v>
      </c>
      <c r="K501" s="101">
        <f>Masters!M505</f>
        <v>2</v>
      </c>
      <c r="L501" s="101">
        <f>Masters!N505</f>
        <v>3</v>
      </c>
    </row>
    <row r="502">
      <c r="A502" s="101">
        <f>Masters!C506</f>
        <v>8412</v>
      </c>
      <c r="B502" s="102" t="str">
        <f>Masters!D506</f>
        <v>Oil and Gas Well Drilling Workers</v>
      </c>
      <c r="C502" s="102" t="str">
        <f>Masters!E506</f>
        <v>Oil and gas well drilling and related workers and services operators</v>
      </c>
      <c r="D502" s="101">
        <f>Masters!F506</f>
        <v>3</v>
      </c>
      <c r="E502" s="101">
        <f>Masters!G506</f>
        <v>4</v>
      </c>
      <c r="F502" s="101">
        <f>Masters!H506</f>
        <v>4</v>
      </c>
      <c r="G502" s="101">
        <f>Masters!I506</f>
        <v>4</v>
      </c>
      <c r="H502" s="101">
        <f>Masters!J506</f>
        <v>4</v>
      </c>
      <c r="I502" s="101">
        <f>Masters!K506</f>
        <v>4</v>
      </c>
      <c r="J502" s="101">
        <f>Masters!L506</f>
        <v>3</v>
      </c>
      <c r="K502" s="101">
        <f>Masters!M506</f>
        <v>4</v>
      </c>
      <c r="L502" s="101">
        <f>Masters!N506</f>
        <v>3</v>
      </c>
    </row>
    <row r="503">
      <c r="A503" s="101">
        <f>Masters!C507</f>
        <v>8412</v>
      </c>
      <c r="B503" s="102" t="str">
        <f>Masters!D507</f>
        <v>Oil and Gas Well Services Operators</v>
      </c>
      <c r="C503" s="102" t="str">
        <f>Masters!E507</f>
        <v>Oil and gas well drilling and related workers and services operators</v>
      </c>
      <c r="D503" s="101">
        <f>Masters!F507</f>
        <v>3</v>
      </c>
      <c r="E503" s="101">
        <f>Masters!G507</f>
        <v>4</v>
      </c>
      <c r="F503" s="101">
        <f>Masters!H507</f>
        <v>4</v>
      </c>
      <c r="G503" s="101">
        <f>Masters!I507</f>
        <v>4</v>
      </c>
      <c r="H503" s="101">
        <f>Masters!J507</f>
        <v>4</v>
      </c>
      <c r="I503" s="101">
        <f>Masters!K507</f>
        <v>4</v>
      </c>
      <c r="J503" s="101">
        <f>Masters!L507</f>
        <v>3</v>
      </c>
      <c r="K503" s="101">
        <f>Masters!M507</f>
        <v>4</v>
      </c>
      <c r="L503" s="101">
        <f>Masters!N507</f>
        <v>3</v>
      </c>
    </row>
    <row r="504">
      <c r="A504" s="101">
        <f>Masters!C508</f>
        <v>7335</v>
      </c>
      <c r="B504" s="102" t="str">
        <f>Masters!D508</f>
        <v>Other Small Engine and Equipment Mechanics</v>
      </c>
      <c r="C504" s="102" t="str">
        <f>Masters!E508</f>
        <v>Other small engine and small equipment repairers</v>
      </c>
      <c r="D504" s="101">
        <f>Masters!F508</f>
        <v>3</v>
      </c>
      <c r="E504" s="101">
        <f>Masters!G508</f>
        <v>3</v>
      </c>
      <c r="F504" s="101">
        <f>Masters!H508</f>
        <v>3</v>
      </c>
      <c r="G504" s="101">
        <f>Masters!I508</f>
        <v>3</v>
      </c>
      <c r="H504" s="101">
        <f>Masters!J508</f>
        <v>3</v>
      </c>
      <c r="I504" s="101">
        <f>Masters!K508</f>
        <v>4</v>
      </c>
      <c r="J504" s="101">
        <f>Masters!L508</f>
        <v>4</v>
      </c>
      <c r="K504" s="101">
        <f>Masters!M508</f>
        <v>3</v>
      </c>
      <c r="L504" s="101">
        <f>Masters!N508</f>
        <v>3</v>
      </c>
    </row>
    <row r="505">
      <c r="A505" s="101">
        <f>Masters!C509</f>
        <v>9537</v>
      </c>
      <c r="B505" s="102" t="str">
        <f>Masters!D509</f>
        <v>Other Assemblers</v>
      </c>
      <c r="C505" s="102" t="str">
        <f>Masters!E509</f>
        <v>Other products assemblers, finishers and inspectors</v>
      </c>
      <c r="D505" s="101">
        <f>Masters!F509</f>
        <v>4</v>
      </c>
      <c r="E505" s="101">
        <f>Masters!G509</f>
        <v>4</v>
      </c>
      <c r="F505" s="101">
        <f>Masters!H509</f>
        <v>4</v>
      </c>
      <c r="G505" s="101">
        <f>Masters!I509</f>
        <v>4</v>
      </c>
      <c r="H505" s="101">
        <f>Masters!J509</f>
        <v>4</v>
      </c>
      <c r="I505" s="101">
        <f>Masters!K509</f>
        <v>4</v>
      </c>
      <c r="J505" s="101">
        <f>Masters!L509</f>
        <v>3</v>
      </c>
      <c r="K505" s="101">
        <f>Masters!M509</f>
        <v>3</v>
      </c>
      <c r="L505" s="101">
        <f>Masters!N509</f>
        <v>3</v>
      </c>
    </row>
    <row r="506">
      <c r="A506" s="101">
        <f>Masters!C510</f>
        <v>7294</v>
      </c>
      <c r="B506" s="102" t="str">
        <f>Masters!D510</f>
        <v>Painters and Decorators</v>
      </c>
      <c r="C506" s="102" t="str">
        <f>Masters!E510</f>
        <v>Painters and decorators (except interior decorators)</v>
      </c>
      <c r="D506" s="101">
        <f>Masters!F510</f>
        <v>3</v>
      </c>
      <c r="E506" s="101">
        <f>Masters!G510</f>
        <v>3</v>
      </c>
      <c r="F506" s="101">
        <f>Masters!H510</f>
        <v>3</v>
      </c>
      <c r="G506" s="101">
        <f>Masters!I510</f>
        <v>3</v>
      </c>
      <c r="H506" s="101">
        <f>Masters!J510</f>
        <v>3</v>
      </c>
      <c r="I506" s="101">
        <f>Masters!K510</f>
        <v>5</v>
      </c>
      <c r="J506" s="101">
        <f>Masters!L510</f>
        <v>3</v>
      </c>
      <c r="K506" s="101">
        <f>Masters!M510</f>
        <v>3</v>
      </c>
      <c r="L506" s="101">
        <f>Masters!N510</f>
        <v>3</v>
      </c>
    </row>
    <row r="507">
      <c r="A507" s="101">
        <f>Masters!C511</f>
        <v>9537</v>
      </c>
      <c r="B507" s="102" t="str">
        <f>Masters!D511</f>
        <v>Other Inspectors</v>
      </c>
      <c r="C507" s="102" t="str">
        <f>Masters!E511</f>
        <v>Other products assemblers, finishers and inspectors</v>
      </c>
      <c r="D507" s="101">
        <f>Masters!F511</f>
        <v>4</v>
      </c>
      <c r="E507" s="101">
        <f>Masters!G511</f>
        <v>4</v>
      </c>
      <c r="F507" s="101">
        <f>Masters!H511</f>
        <v>4</v>
      </c>
      <c r="G507" s="101">
        <f>Masters!I511</f>
        <v>4</v>
      </c>
      <c r="H507" s="101">
        <f>Masters!J511</f>
        <v>4</v>
      </c>
      <c r="I507" s="101">
        <f>Masters!K511</f>
        <v>4</v>
      </c>
      <c r="J507" s="101">
        <f>Masters!L511</f>
        <v>3</v>
      </c>
      <c r="K507" s="101">
        <f>Masters!M511</f>
        <v>3</v>
      </c>
      <c r="L507" s="101">
        <f>Masters!N511</f>
        <v>3</v>
      </c>
    </row>
    <row r="508">
      <c r="A508" s="101">
        <f>Masters!C512</f>
        <v>3212</v>
      </c>
      <c r="B508" s="102" t="str">
        <f>Masters!D512</f>
        <v>Pathologists' Assistants</v>
      </c>
      <c r="C508" s="102" t="str">
        <f>Masters!E512</f>
        <v>Medical laboratory technicians and pathologists' assistants</v>
      </c>
      <c r="D508" s="101">
        <f>Masters!F512</f>
        <v>2</v>
      </c>
      <c r="E508" s="101">
        <f>Masters!G512</f>
        <v>2</v>
      </c>
      <c r="F508" s="101">
        <f>Masters!H512</f>
        <v>2</v>
      </c>
      <c r="G508" s="101">
        <f>Masters!I512</f>
        <v>3</v>
      </c>
      <c r="H508" s="101">
        <f>Masters!J512</f>
        <v>2</v>
      </c>
      <c r="I508" s="101">
        <f>Masters!K512</f>
        <v>3</v>
      </c>
      <c r="J508" s="101">
        <f>Masters!L512</f>
        <v>3</v>
      </c>
      <c r="K508" s="101">
        <f>Masters!M512</f>
        <v>3</v>
      </c>
      <c r="L508" s="101">
        <f>Masters!N512</f>
        <v>3</v>
      </c>
    </row>
    <row r="509">
      <c r="A509" s="101">
        <f>Masters!C513</f>
        <v>1432</v>
      </c>
      <c r="B509" s="102" t="str">
        <f>Masters!D513</f>
        <v>Payroll Clerks</v>
      </c>
      <c r="C509" s="102" t="str">
        <f>Masters!E513</f>
        <v>Payroll clerks</v>
      </c>
      <c r="D509" s="101">
        <f>Masters!F513</f>
        <v>3</v>
      </c>
      <c r="E509" s="101">
        <f>Masters!G513</f>
        <v>3</v>
      </c>
      <c r="F509" s="101">
        <f>Masters!H513</f>
        <v>3</v>
      </c>
      <c r="G509" s="101">
        <f>Masters!I513</f>
        <v>3</v>
      </c>
      <c r="H509" s="101">
        <f>Masters!J513</f>
        <v>3</v>
      </c>
      <c r="I509" s="101">
        <f>Masters!K513</f>
        <v>2</v>
      </c>
      <c r="J509" s="101">
        <f>Masters!L513</f>
        <v>3</v>
      </c>
      <c r="K509" s="101">
        <f>Masters!M513</f>
        <v>3</v>
      </c>
      <c r="L509" s="101">
        <f>Masters!N513</f>
        <v>4</v>
      </c>
    </row>
    <row r="510">
      <c r="A510" s="101">
        <f>Masters!C514</f>
        <v>9434</v>
      </c>
      <c r="B510" s="102" t="str">
        <f>Masters!D514</f>
        <v>Other Wood Processing Machine Operators</v>
      </c>
      <c r="C510" s="102" t="str">
        <f>Masters!E514</f>
        <v>Other wood processing machine operators</v>
      </c>
      <c r="D510" s="101">
        <f>Masters!F514</f>
        <v>3</v>
      </c>
      <c r="E510" s="101">
        <f>Masters!G514</f>
        <v>4</v>
      </c>
      <c r="F510" s="101">
        <f>Masters!H514</f>
        <v>4</v>
      </c>
      <c r="G510" s="101">
        <f>Masters!I514</f>
        <v>4</v>
      </c>
      <c r="H510" s="101">
        <f>Masters!J514</f>
        <v>4</v>
      </c>
      <c r="I510" s="101">
        <f>Masters!K514</f>
        <v>4</v>
      </c>
      <c r="J510" s="101">
        <f>Masters!L514</f>
        <v>3</v>
      </c>
      <c r="K510" s="101">
        <f>Masters!M514</f>
        <v>4</v>
      </c>
      <c r="L510" s="101">
        <f>Masters!N514</f>
        <v>3</v>
      </c>
    </row>
    <row r="511">
      <c r="A511" s="101">
        <f>Masters!C515</f>
        <v>9232</v>
      </c>
      <c r="B511" s="102" t="str">
        <f>Masters!D515</f>
        <v>Petroleum, Gas and Chemical Process Operators</v>
      </c>
      <c r="C511" s="102" t="str">
        <f>Masters!E515</f>
        <v>Petroleum, gas and chemical process operators</v>
      </c>
      <c r="D511" s="101">
        <f>Masters!F515</f>
        <v>3</v>
      </c>
      <c r="E511" s="101">
        <f>Masters!G515</f>
        <v>3</v>
      </c>
      <c r="F511" s="101">
        <f>Masters!H515</f>
        <v>3</v>
      </c>
      <c r="G511" s="101">
        <f>Masters!I515</f>
        <v>3</v>
      </c>
      <c r="H511" s="101">
        <f>Masters!J515</f>
        <v>4</v>
      </c>
      <c r="I511" s="101">
        <f>Masters!K515</f>
        <v>4</v>
      </c>
      <c r="J511" s="101">
        <f>Masters!L515</f>
        <v>3</v>
      </c>
      <c r="K511" s="101">
        <f>Masters!M515</f>
        <v>3</v>
      </c>
      <c r="L511" s="101">
        <f>Masters!N515</f>
        <v>3</v>
      </c>
    </row>
    <row r="512">
      <c r="A512" s="101">
        <f>Masters!C516</f>
        <v>5212</v>
      </c>
      <c r="B512" s="102" t="str">
        <f>Masters!D516</f>
        <v>Picture Framers</v>
      </c>
      <c r="C512" s="102" t="str">
        <f>Masters!E516</f>
        <v>Technical occupations related to museums and art galleries</v>
      </c>
      <c r="D512" s="101">
        <f>Masters!F516</f>
        <v>3</v>
      </c>
      <c r="E512" s="101">
        <f>Masters!G516</f>
        <v>3</v>
      </c>
      <c r="F512" s="101">
        <f>Masters!H516</f>
        <v>3</v>
      </c>
      <c r="G512" s="101">
        <f>Masters!I516</f>
        <v>3</v>
      </c>
      <c r="H512" s="101">
        <f>Masters!J516</f>
        <v>4</v>
      </c>
      <c r="I512" s="101">
        <f>Masters!K516</f>
        <v>4</v>
      </c>
      <c r="J512" s="101">
        <f>Masters!L516</f>
        <v>3</v>
      </c>
      <c r="K512" s="101">
        <f>Masters!M516</f>
        <v>3</v>
      </c>
      <c r="L512" s="101">
        <f>Masters!N516</f>
        <v>3</v>
      </c>
    </row>
    <row r="513">
      <c r="A513" s="101">
        <f>Masters!C517</f>
        <v>9435</v>
      </c>
      <c r="B513" s="102" t="str">
        <f>Masters!D517</f>
        <v>Paper Converting Machine Operators</v>
      </c>
      <c r="C513" s="102" t="str">
        <f>Masters!E517</f>
        <v>Paper converting machine operators</v>
      </c>
      <c r="D513" s="101">
        <f>Masters!F517</f>
        <v>4</v>
      </c>
      <c r="E513" s="101">
        <f>Masters!G517</f>
        <v>4</v>
      </c>
      <c r="F513" s="101">
        <f>Masters!H517</f>
        <v>4</v>
      </c>
      <c r="G513" s="101">
        <f>Masters!I517</f>
        <v>3</v>
      </c>
      <c r="H513" s="101">
        <f>Masters!J517</f>
        <v>3</v>
      </c>
      <c r="I513" s="101">
        <f>Masters!K517</f>
        <v>4</v>
      </c>
      <c r="J513" s="101">
        <f>Masters!L517</f>
        <v>4</v>
      </c>
      <c r="K513" s="101">
        <f>Masters!M517</f>
        <v>4</v>
      </c>
      <c r="L513" s="101">
        <f>Masters!N517</f>
        <v>3</v>
      </c>
    </row>
    <row r="514">
      <c r="A514" s="101">
        <f>Masters!C518</f>
        <v>4311</v>
      </c>
      <c r="B514" s="102" t="str">
        <f>Masters!D518</f>
        <v>Police Officers (Except Commissioned)</v>
      </c>
      <c r="C514" s="102" t="str">
        <f>Masters!E518</f>
        <v>Police officers (except commissioned)</v>
      </c>
      <c r="D514" s="101">
        <f>Masters!F518</f>
        <v>3</v>
      </c>
      <c r="E514" s="101">
        <f>Masters!G518</f>
        <v>3</v>
      </c>
      <c r="F514" s="101">
        <f>Masters!H518</f>
        <v>3</v>
      </c>
      <c r="G514" s="101">
        <f>Masters!I518</f>
        <v>3</v>
      </c>
      <c r="H514" s="101">
        <f>Masters!J518</f>
        <v>3</v>
      </c>
      <c r="I514" s="101">
        <f>Masters!K518</f>
        <v>4</v>
      </c>
      <c r="J514" s="101">
        <f>Masters!L518</f>
        <v>3</v>
      </c>
      <c r="K514" s="101">
        <f>Masters!M518</f>
        <v>4</v>
      </c>
      <c r="L514" s="101">
        <f>Masters!N518</f>
        <v>3</v>
      </c>
    </row>
    <row r="515">
      <c r="A515" s="101">
        <f>Masters!C519</f>
        <v>6563</v>
      </c>
      <c r="B515" s="102" t="str">
        <f>Masters!D519</f>
        <v>Pet Groomers and Animal Care Workers</v>
      </c>
      <c r="C515" s="102" t="str">
        <f>Masters!E519</f>
        <v>Pet groomers and animal care workers</v>
      </c>
      <c r="D515" s="101">
        <f>Masters!F519</f>
        <v>4</v>
      </c>
      <c r="E515" s="101">
        <f>Masters!G519</f>
        <v>4</v>
      </c>
      <c r="F515" s="101">
        <f>Masters!H519</f>
        <v>4</v>
      </c>
      <c r="G515" s="101">
        <f>Masters!I519</f>
        <v>4</v>
      </c>
      <c r="H515" s="101">
        <f>Masters!J519</f>
        <v>4</v>
      </c>
      <c r="I515" s="101">
        <f>Masters!K519</f>
        <v>4</v>
      </c>
      <c r="J515" s="101">
        <f>Masters!L519</f>
        <v>3</v>
      </c>
      <c r="K515" s="101">
        <f>Masters!M519</f>
        <v>3</v>
      </c>
      <c r="L515" s="101">
        <f>Masters!N519</f>
        <v>3</v>
      </c>
    </row>
    <row r="516">
      <c r="A516" s="101">
        <f>Masters!C520</f>
        <v>7284</v>
      </c>
      <c r="B516" s="102" t="str">
        <f>Masters!D520</f>
        <v>Plasterers</v>
      </c>
      <c r="C516" s="102" t="str">
        <f>Masters!E520</f>
        <v>Plasterers, drywall installers and finishers and lathers</v>
      </c>
      <c r="D516" s="101">
        <f>Masters!F520</f>
        <v>3</v>
      </c>
      <c r="E516" s="101">
        <f>Masters!G520</f>
        <v>4</v>
      </c>
      <c r="F516" s="101">
        <f>Masters!H520</f>
        <v>4</v>
      </c>
      <c r="G516" s="101">
        <f>Masters!I520</f>
        <v>3</v>
      </c>
      <c r="H516" s="101">
        <f>Masters!J520</f>
        <v>4</v>
      </c>
      <c r="I516" s="101">
        <f>Masters!K520</f>
        <v>5</v>
      </c>
      <c r="J516" s="101">
        <f>Masters!L520</f>
        <v>3</v>
      </c>
      <c r="K516" s="101">
        <f>Masters!M520</f>
        <v>4</v>
      </c>
      <c r="L516" s="101">
        <f>Masters!N520</f>
        <v>3</v>
      </c>
    </row>
    <row r="517">
      <c r="A517" s="101">
        <f>Masters!C521</f>
        <v>2262</v>
      </c>
      <c r="B517" s="102" t="str">
        <f>Masters!D521</f>
        <v>Railway Accident Investigation Officers</v>
      </c>
      <c r="C517" s="102" t="str">
        <f>Masters!E521</f>
        <v>Engineering inspectors and regulatory officers</v>
      </c>
      <c r="D517" s="101">
        <f>Masters!F521</f>
        <v>2</v>
      </c>
      <c r="E517" s="101">
        <f>Masters!G521</f>
        <v>3</v>
      </c>
      <c r="F517" s="101">
        <f>Masters!H521</f>
        <v>3</v>
      </c>
      <c r="G517" s="101">
        <f>Masters!I521</f>
        <v>3</v>
      </c>
      <c r="H517" s="101">
        <f>Masters!J521</f>
        <v>3</v>
      </c>
      <c r="I517" s="101">
        <f>Masters!K521</f>
        <v>3</v>
      </c>
      <c r="J517" s="101">
        <f>Masters!L521</f>
        <v>4</v>
      </c>
      <c r="K517" s="101">
        <f>Masters!M521</f>
        <v>4</v>
      </c>
      <c r="L517" s="101">
        <f>Masters!N521</f>
        <v>4</v>
      </c>
    </row>
    <row r="518">
      <c r="A518" s="101">
        <f>Masters!C522</f>
        <v>1452</v>
      </c>
      <c r="B518" s="102" t="str">
        <f>Masters!D522</f>
        <v>Readers and Press Clippers</v>
      </c>
      <c r="C518" s="102" t="str">
        <f>Masters!E522</f>
        <v>Correspondence, publication and regulatory clerks</v>
      </c>
      <c r="D518" s="101">
        <f>Masters!F522</f>
        <v>3</v>
      </c>
      <c r="E518" s="101">
        <f>Masters!G522</f>
        <v>3</v>
      </c>
      <c r="F518" s="101">
        <f>Masters!H522</f>
        <v>4</v>
      </c>
      <c r="G518" s="101">
        <f>Masters!I522</f>
        <v>4</v>
      </c>
      <c r="H518" s="101">
        <f>Masters!J522</f>
        <v>4</v>
      </c>
      <c r="I518" s="101">
        <f>Masters!K522</f>
        <v>3</v>
      </c>
      <c r="J518" s="101">
        <f>Masters!L522</f>
        <v>3</v>
      </c>
      <c r="K518" s="101">
        <f>Masters!M522</f>
        <v>3</v>
      </c>
      <c r="L518" s="101">
        <f>Masters!N522</f>
        <v>4</v>
      </c>
    </row>
    <row r="519">
      <c r="A519" s="101">
        <f>Masters!C523</f>
        <v>1414</v>
      </c>
      <c r="B519" s="102" t="str">
        <f>Masters!D523</f>
        <v>Receptionists</v>
      </c>
      <c r="C519" s="102" t="str">
        <f>Masters!E523</f>
        <v>Receptionists</v>
      </c>
      <c r="D519" s="101">
        <f>Masters!F523</f>
        <v>3</v>
      </c>
      <c r="E519" s="101">
        <f>Masters!G523</f>
        <v>3</v>
      </c>
      <c r="F519" s="101">
        <f>Masters!H523</f>
        <v>4</v>
      </c>
      <c r="G519" s="101">
        <f>Masters!I523</f>
        <v>4</v>
      </c>
      <c r="H519" s="101">
        <f>Masters!J523</f>
        <v>4</v>
      </c>
      <c r="I519" s="101">
        <f>Masters!K523</f>
        <v>3</v>
      </c>
      <c r="J519" s="101">
        <f>Masters!L523</f>
        <v>3</v>
      </c>
      <c r="K519" s="101">
        <f>Masters!M523</f>
        <v>3</v>
      </c>
      <c r="L519" s="101">
        <f>Masters!N523</f>
        <v>4</v>
      </c>
    </row>
    <row r="520">
      <c r="A520" s="101">
        <f>Masters!C524</f>
        <v>3232</v>
      </c>
      <c r="B520" s="102" t="str">
        <f>Masters!D524</f>
        <v>Reflexologists</v>
      </c>
      <c r="C520" s="102" t="str">
        <f>Masters!E524</f>
        <v>Practitioners of natural healing</v>
      </c>
      <c r="D520" s="101">
        <f>Masters!F524</f>
        <v>3</v>
      </c>
      <c r="E520" s="101">
        <f>Masters!G524</f>
        <v>3</v>
      </c>
      <c r="F520" s="101">
        <f>Masters!H524</f>
        <v>4</v>
      </c>
      <c r="G520" s="101">
        <f>Masters!I524</f>
        <v>4</v>
      </c>
      <c r="H520" s="101">
        <f>Masters!J524</f>
        <v>4</v>
      </c>
      <c r="I520" s="101">
        <f>Masters!K524</f>
        <v>4</v>
      </c>
      <c r="J520" s="101">
        <f>Masters!L524</f>
        <v>3</v>
      </c>
      <c r="K520" s="101">
        <f>Masters!M524</f>
        <v>3</v>
      </c>
      <c r="L520" s="101">
        <f>Masters!N524</f>
        <v>3</v>
      </c>
    </row>
    <row r="521">
      <c r="A521" s="101">
        <f>Masters!C525</f>
        <v>3232</v>
      </c>
      <c r="B521" s="102" t="str">
        <f>Masters!D525</f>
        <v>Rolfers</v>
      </c>
      <c r="C521" s="102" t="str">
        <f>Masters!E525</f>
        <v>Practitioners of natural healing</v>
      </c>
      <c r="D521" s="101">
        <f>Masters!F525</f>
        <v>3</v>
      </c>
      <c r="E521" s="101">
        <f>Masters!G525</f>
        <v>3</v>
      </c>
      <c r="F521" s="101">
        <f>Masters!H525</f>
        <v>4</v>
      </c>
      <c r="G521" s="101">
        <f>Masters!I525</f>
        <v>4</v>
      </c>
      <c r="H521" s="101">
        <f>Masters!J525</f>
        <v>4</v>
      </c>
      <c r="I521" s="101">
        <f>Masters!K525</f>
        <v>4</v>
      </c>
      <c r="J521" s="101">
        <f>Masters!L525</f>
        <v>3</v>
      </c>
      <c r="K521" s="101">
        <f>Masters!M525</f>
        <v>3</v>
      </c>
      <c r="L521" s="101">
        <f>Masters!N525</f>
        <v>3</v>
      </c>
    </row>
    <row r="522">
      <c r="A522" s="101">
        <f>Masters!C526</f>
        <v>1241</v>
      </c>
      <c r="B522" s="102" t="str">
        <f>Masters!D526</f>
        <v>Secretaries (Except Legal and Medical)</v>
      </c>
      <c r="C522" s="102" t="str">
        <f>Masters!E526</f>
        <v>Administrative assistants</v>
      </c>
      <c r="D522" s="101">
        <f>Masters!F526</f>
        <v>3</v>
      </c>
      <c r="E522" s="101">
        <f>Masters!G526</f>
        <v>3</v>
      </c>
      <c r="F522" s="101">
        <f>Masters!H526</f>
        <v>3</v>
      </c>
      <c r="G522" s="101">
        <f>Masters!I526</f>
        <v>4</v>
      </c>
      <c r="H522" s="101">
        <f>Masters!J526</f>
        <v>3</v>
      </c>
      <c r="I522" s="101">
        <f>Masters!K526</f>
        <v>2</v>
      </c>
      <c r="J522" s="101">
        <f>Masters!L526</f>
        <v>3</v>
      </c>
      <c r="K522" s="101">
        <f>Masters!M526</f>
        <v>3</v>
      </c>
      <c r="L522" s="101">
        <f>Masters!N526</f>
        <v>3</v>
      </c>
    </row>
    <row r="523">
      <c r="A523" s="101">
        <f>Masters!C527</f>
        <v>5226</v>
      </c>
      <c r="B523" s="102" t="str">
        <f>Masters!D527</f>
        <v>Settings Shop Foremen/women</v>
      </c>
      <c r="C523" s="102" t="str">
        <f>Masters!E527</f>
        <v>Other technical and co-ordinating occupations in motion pictures, broadcasting and the performing arts</v>
      </c>
      <c r="D523" s="101">
        <f>Masters!F527</f>
        <v>3</v>
      </c>
      <c r="E523" s="101">
        <f>Masters!G527</f>
        <v>3</v>
      </c>
      <c r="F523" s="101">
        <f>Masters!H527</f>
        <v>3</v>
      </c>
      <c r="G523" s="101">
        <f>Masters!I527</f>
        <v>2</v>
      </c>
      <c r="H523" s="101">
        <f>Masters!J527</f>
        <v>2</v>
      </c>
      <c r="I523" s="101">
        <f>Masters!K527</f>
        <v>3</v>
      </c>
      <c r="J523" s="101">
        <f>Masters!L527</f>
        <v>4</v>
      </c>
      <c r="K523" s="101">
        <f>Masters!M527</f>
        <v>4</v>
      </c>
      <c r="L523" s="101">
        <f>Masters!N527</f>
        <v>3</v>
      </c>
    </row>
    <row r="524">
      <c r="A524" s="101">
        <f>Masters!C528</f>
        <v>5125</v>
      </c>
      <c r="B524" s="102" t="str">
        <f>Masters!D528</f>
        <v>Sign Language Interpreters</v>
      </c>
      <c r="C524" s="102" t="str">
        <f>Masters!E528</f>
        <v>Translators, terminologists and interpreters</v>
      </c>
      <c r="D524" s="101">
        <f>Masters!F528</f>
        <v>2</v>
      </c>
      <c r="E524" s="101">
        <f>Masters!G528</f>
        <v>1</v>
      </c>
      <c r="F524" s="101">
        <f>Masters!H528</f>
        <v>4</v>
      </c>
      <c r="G524" s="101">
        <f>Masters!I528</f>
        <v>4</v>
      </c>
      <c r="H524" s="101">
        <f>Masters!J528</f>
        <v>4</v>
      </c>
      <c r="I524" s="101">
        <f>Masters!K528</f>
        <v>3</v>
      </c>
      <c r="J524" s="101">
        <f>Masters!L528</f>
        <v>1</v>
      </c>
      <c r="K524" s="101">
        <f>Masters!M528</f>
        <v>1</v>
      </c>
      <c r="L524" s="101">
        <f>Masters!N528</f>
        <v>3</v>
      </c>
    </row>
    <row r="525">
      <c r="A525" s="101">
        <f>Masters!C529</f>
        <v>9471</v>
      </c>
      <c r="B525" s="102" t="str">
        <f>Masters!D529</f>
        <v>Printing Machine Operators</v>
      </c>
      <c r="C525" s="102" t="str">
        <f>Masters!E529</f>
        <v>Plateless printing equipment operators</v>
      </c>
      <c r="D525" s="101">
        <f>Masters!F529</f>
        <v>3</v>
      </c>
      <c r="E525" s="101">
        <f>Masters!G529</f>
        <v>4</v>
      </c>
      <c r="F525" s="101">
        <f>Masters!H529</f>
        <v>4</v>
      </c>
      <c r="G525" s="101">
        <f>Masters!I529</f>
        <v>4</v>
      </c>
      <c r="H525" s="101">
        <f>Masters!J529</f>
        <v>3</v>
      </c>
      <c r="I525" s="101">
        <f>Masters!K529</f>
        <v>4</v>
      </c>
      <c r="J525" s="101">
        <f>Masters!L529</f>
        <v>4</v>
      </c>
      <c r="K525" s="101">
        <f>Masters!M529</f>
        <v>4</v>
      </c>
      <c r="L525" s="101">
        <f>Masters!N529</f>
        <v>3</v>
      </c>
    </row>
    <row r="526">
      <c r="A526" s="101">
        <f>Masters!C530</f>
        <v>5253</v>
      </c>
      <c r="B526" s="102" t="str">
        <f>Masters!D530</f>
        <v>Sports Officials and Referees</v>
      </c>
      <c r="C526" s="102" t="str">
        <f>Masters!E530</f>
        <v>Sports officials and referees</v>
      </c>
      <c r="D526" s="101">
        <f>Masters!F530</f>
        <v>3</v>
      </c>
      <c r="E526" s="101">
        <f>Masters!G530</f>
        <v>3</v>
      </c>
      <c r="F526" s="101">
        <f>Masters!H530</f>
        <v>4</v>
      </c>
      <c r="G526" s="101">
        <f>Masters!I530</f>
        <v>2</v>
      </c>
      <c r="H526" s="101">
        <f>Masters!J530</f>
        <v>3</v>
      </c>
      <c r="I526" s="101">
        <f>Masters!K530</f>
        <v>4</v>
      </c>
      <c r="J526" s="101">
        <f>Masters!L530</f>
        <v>4</v>
      </c>
      <c r="K526" s="101">
        <f>Masters!M530</f>
        <v>4</v>
      </c>
      <c r="L526" s="101">
        <f>Masters!N530</f>
        <v>4</v>
      </c>
    </row>
    <row r="527">
      <c r="A527" s="101">
        <f>Masters!C531</f>
        <v>7522</v>
      </c>
      <c r="B527" s="102" t="str">
        <f>Masters!D531</f>
        <v>Public Works Maintenance Equipment Operators</v>
      </c>
      <c r="C527" s="102" t="str">
        <f>Masters!E531</f>
        <v>Public works maintenance equipment operators and related workers</v>
      </c>
      <c r="D527" s="101">
        <f>Masters!F531</f>
        <v>4</v>
      </c>
      <c r="E527" s="101">
        <f>Masters!G531</f>
        <v>4</v>
      </c>
      <c r="F527" s="101">
        <f>Masters!H531</f>
        <v>4</v>
      </c>
      <c r="G527" s="101">
        <f>Masters!I531</f>
        <v>3</v>
      </c>
      <c r="H527" s="101">
        <f>Masters!J531</f>
        <v>4</v>
      </c>
      <c r="I527" s="101">
        <f>Masters!K531</f>
        <v>4</v>
      </c>
      <c r="J527" s="101">
        <f>Masters!L531</f>
        <v>3</v>
      </c>
      <c r="K527" s="101">
        <f>Masters!M531</f>
        <v>4</v>
      </c>
      <c r="L527" s="101">
        <f>Masters!N531</f>
        <v>3</v>
      </c>
    </row>
    <row r="528">
      <c r="A528" s="101">
        <f>Masters!C532</f>
        <v>8422</v>
      </c>
      <c r="B528" s="102" t="str">
        <f>Masters!D532</f>
        <v>Silviculture and Forestry Workers</v>
      </c>
      <c r="C528" s="102" t="str">
        <f>Masters!E532</f>
        <v>Silviculture and forestry workers</v>
      </c>
      <c r="D528" s="101">
        <f>Masters!F532</f>
        <v>3</v>
      </c>
      <c r="E528" s="101">
        <f>Masters!G532</f>
        <v>4</v>
      </c>
      <c r="F528" s="101">
        <f>Masters!H532</f>
        <v>4</v>
      </c>
      <c r="G528" s="101">
        <f>Masters!I532</f>
        <v>4</v>
      </c>
      <c r="H528" s="101">
        <f>Masters!J532</f>
        <v>4</v>
      </c>
      <c r="I528" s="101">
        <f>Masters!K532</f>
        <v>4</v>
      </c>
      <c r="J528" s="101">
        <f>Masters!L532</f>
        <v>3</v>
      </c>
      <c r="K528" s="101">
        <f>Masters!M532</f>
        <v>4</v>
      </c>
      <c r="L528" s="101">
        <f>Masters!N532</f>
        <v>3</v>
      </c>
    </row>
    <row r="529">
      <c r="A529" s="101">
        <f>Masters!C533</f>
        <v>9223</v>
      </c>
      <c r="B529" s="102" t="str">
        <f>Masters!D533</f>
        <v>Supervisors, Electrical Products Manufacturing</v>
      </c>
      <c r="C529" s="102" t="str">
        <f>Masters!E533</f>
        <v>Supervisors, electrical products manufacturing</v>
      </c>
      <c r="D529" s="101">
        <f>Masters!F533</f>
        <v>3</v>
      </c>
      <c r="E529" s="101">
        <f>Masters!G533</f>
        <v>3</v>
      </c>
      <c r="F529" s="101">
        <f>Masters!H533</f>
        <v>3</v>
      </c>
      <c r="G529" s="101">
        <f>Masters!I533</f>
        <v>3</v>
      </c>
      <c r="H529" s="101">
        <f>Masters!J533</f>
        <v>4</v>
      </c>
      <c r="I529" s="101">
        <f>Masters!K533</f>
        <v>3</v>
      </c>
      <c r="J529" s="101">
        <f>Masters!L533</f>
        <v>3</v>
      </c>
      <c r="K529" s="101">
        <f>Masters!M533</f>
        <v>4</v>
      </c>
      <c r="L529" s="101">
        <f>Masters!N533</f>
        <v>3</v>
      </c>
    </row>
    <row r="530">
      <c r="A530" s="101">
        <f>Masters!C534</f>
        <v>9222</v>
      </c>
      <c r="B530" s="102" t="str">
        <f>Masters!D534</f>
        <v>Supervisors, Electronics Manufacturing</v>
      </c>
      <c r="C530" s="102" t="str">
        <f>Masters!E534</f>
        <v>Supervisors, electronics manufacturing</v>
      </c>
      <c r="D530" s="101">
        <f>Masters!F534</f>
        <v>3</v>
      </c>
      <c r="E530" s="101">
        <f>Masters!G534</f>
        <v>3</v>
      </c>
      <c r="F530" s="101">
        <f>Masters!H534</f>
        <v>3</v>
      </c>
      <c r="G530" s="101">
        <f>Masters!I534</f>
        <v>3</v>
      </c>
      <c r="H530" s="101">
        <f>Masters!J534</f>
        <v>4</v>
      </c>
      <c r="I530" s="101">
        <f>Masters!K534</f>
        <v>3</v>
      </c>
      <c r="J530" s="101">
        <f>Masters!L534</f>
        <v>3</v>
      </c>
      <c r="K530" s="101">
        <f>Masters!M534</f>
        <v>4</v>
      </c>
      <c r="L530" s="101">
        <f>Masters!N534</f>
        <v>3</v>
      </c>
    </row>
    <row r="531">
      <c r="A531" s="101">
        <f>Masters!C535</f>
        <v>9215</v>
      </c>
      <c r="B531" s="102" t="str">
        <f>Masters!D535</f>
        <v>Supervisors, Forest Products Processing</v>
      </c>
      <c r="C531" s="102" t="str">
        <f>Masters!E535</f>
        <v>Supervisors, forest products processing</v>
      </c>
      <c r="D531" s="101">
        <f>Masters!F535</f>
        <v>3</v>
      </c>
      <c r="E531" s="101">
        <f>Masters!G535</f>
        <v>3</v>
      </c>
      <c r="F531" s="101">
        <f>Masters!H535</f>
        <v>3</v>
      </c>
      <c r="G531" s="101">
        <f>Masters!I535</f>
        <v>3</v>
      </c>
      <c r="H531" s="101">
        <f>Masters!J535</f>
        <v>4</v>
      </c>
      <c r="I531" s="101">
        <f>Masters!K535</f>
        <v>3</v>
      </c>
      <c r="J531" s="101">
        <f>Masters!L535</f>
        <v>3</v>
      </c>
      <c r="K531" s="101">
        <f>Masters!M535</f>
        <v>4</v>
      </c>
      <c r="L531" s="101">
        <f>Masters!N535</f>
        <v>3</v>
      </c>
    </row>
    <row r="532">
      <c r="A532" s="101">
        <f>Masters!C536</f>
        <v>9211</v>
      </c>
      <c r="B532" s="102" t="str">
        <f>Masters!D536</f>
        <v>Supervisors, Mineral and Metal Processing</v>
      </c>
      <c r="C532" s="102" t="str">
        <f>Masters!E536</f>
        <v>Supervisors, mineral and metal processing</v>
      </c>
      <c r="D532" s="101">
        <f>Masters!F536</f>
        <v>3</v>
      </c>
      <c r="E532" s="101">
        <f>Masters!G536</f>
        <v>3</v>
      </c>
      <c r="F532" s="101">
        <f>Masters!H536</f>
        <v>3</v>
      </c>
      <c r="G532" s="101">
        <f>Masters!I536</f>
        <v>4</v>
      </c>
      <c r="H532" s="101">
        <f>Masters!J536</f>
        <v>3</v>
      </c>
      <c r="I532" s="101">
        <f>Masters!K536</f>
        <v>3</v>
      </c>
      <c r="J532" s="101">
        <f>Masters!L536</f>
        <v>3</v>
      </c>
      <c r="K532" s="101">
        <f>Masters!M536</f>
        <v>4</v>
      </c>
      <c r="L532" s="101">
        <f>Masters!N536</f>
        <v>3</v>
      </c>
    </row>
    <row r="533">
      <c r="A533" s="101">
        <f>Masters!C537</f>
        <v>7305</v>
      </c>
      <c r="B533" s="102" t="str">
        <f>Masters!D537</f>
        <v>Supervisors, Motor Transport and Other Ground Transit Operators</v>
      </c>
      <c r="C533" s="102" t="str">
        <f>Masters!E537</f>
        <v>Supervisors, motor transport and other ground transit operators</v>
      </c>
      <c r="D533" s="101">
        <f>Masters!F537</f>
        <v>3</v>
      </c>
      <c r="E533" s="101">
        <f>Masters!G537</f>
        <v>3</v>
      </c>
      <c r="F533" s="101">
        <f>Masters!H537</f>
        <v>3</v>
      </c>
      <c r="G533" s="101">
        <f>Masters!I537</f>
        <v>3</v>
      </c>
      <c r="H533" s="101">
        <f>Masters!J537</f>
        <v>4</v>
      </c>
      <c r="I533" s="101">
        <f>Masters!K537</f>
        <v>3</v>
      </c>
      <c r="J533" s="101">
        <f>Masters!L537</f>
        <v>3</v>
      </c>
      <c r="K533" s="101">
        <f>Masters!M537</f>
        <v>4</v>
      </c>
      <c r="L533" s="101">
        <f>Masters!N537</f>
        <v>3</v>
      </c>
    </row>
    <row r="534">
      <c r="A534" s="101">
        <f>Masters!C538</f>
        <v>9227</v>
      </c>
      <c r="B534" s="102" t="str">
        <f>Masters!D538</f>
        <v>Supervisors, Other Products Manufacturing and Assembly</v>
      </c>
      <c r="C534" s="102" t="str">
        <f>Masters!E538</f>
        <v>Supervisors, other products manufacturing and assembly</v>
      </c>
      <c r="D534" s="101">
        <f>Masters!F538</f>
        <v>3</v>
      </c>
      <c r="E534" s="101">
        <f>Masters!G538</f>
        <v>3</v>
      </c>
      <c r="F534" s="101">
        <f>Masters!H538</f>
        <v>3</v>
      </c>
      <c r="G534" s="101">
        <f>Masters!I538</f>
        <v>4</v>
      </c>
      <c r="H534" s="101">
        <f>Masters!J538</f>
        <v>4</v>
      </c>
      <c r="I534" s="101">
        <f>Masters!K538</f>
        <v>3</v>
      </c>
      <c r="J534" s="101">
        <f>Masters!L538</f>
        <v>3</v>
      </c>
      <c r="K534" s="101">
        <f>Masters!M538</f>
        <v>3</v>
      </c>
      <c r="L534" s="101">
        <f>Masters!N538</f>
        <v>3</v>
      </c>
    </row>
    <row r="535">
      <c r="A535" s="101">
        <f>Masters!C539</f>
        <v>9212</v>
      </c>
      <c r="B535" s="102" t="str">
        <f>Masters!D539</f>
        <v>Supervisors, Petroleum, Gas and Chemical Processing and Utilities</v>
      </c>
      <c r="C535" s="102" t="str">
        <f>Masters!E539</f>
        <v>Supervisors, petroleum, gas and chemical processing and utilities</v>
      </c>
      <c r="D535" s="101">
        <f>Masters!F539</f>
        <v>3</v>
      </c>
      <c r="E535" s="101">
        <f>Masters!G539</f>
        <v>3</v>
      </c>
      <c r="F535" s="101">
        <f>Masters!H539</f>
        <v>3</v>
      </c>
      <c r="G535" s="101">
        <f>Masters!I539</f>
        <v>4</v>
      </c>
      <c r="H535" s="101">
        <f>Masters!J539</f>
        <v>3</v>
      </c>
      <c r="I535" s="101">
        <f>Masters!K539</f>
        <v>3</v>
      </c>
      <c r="J535" s="101">
        <f>Masters!L539</f>
        <v>3</v>
      </c>
      <c r="K535" s="101">
        <f>Masters!M539</f>
        <v>4</v>
      </c>
      <c r="L535" s="101">
        <f>Masters!N539</f>
        <v>3</v>
      </c>
    </row>
    <row r="536">
      <c r="A536" s="101">
        <f>Masters!C540</f>
        <v>1414</v>
      </c>
      <c r="B536" s="102" t="str">
        <f>Masters!D540</f>
        <v>Switchboard Operators</v>
      </c>
      <c r="C536" s="102" t="str">
        <f>Masters!E540</f>
        <v>Receptionists</v>
      </c>
      <c r="D536" s="101">
        <f>Masters!F540</f>
        <v>3</v>
      </c>
      <c r="E536" s="101">
        <f>Masters!G540</f>
        <v>3</v>
      </c>
      <c r="F536" s="101">
        <f>Masters!H540</f>
        <v>4</v>
      </c>
      <c r="G536" s="101">
        <f>Masters!I540</f>
        <v>4</v>
      </c>
      <c r="H536" s="101">
        <f>Masters!J540</f>
        <v>4</v>
      </c>
      <c r="I536" s="101">
        <f>Masters!K540</f>
        <v>3</v>
      </c>
      <c r="J536" s="101">
        <f>Masters!L540</f>
        <v>3</v>
      </c>
      <c r="K536" s="101">
        <f>Masters!M540</f>
        <v>3</v>
      </c>
      <c r="L536" s="101">
        <f>Masters!N540</f>
        <v>4</v>
      </c>
    </row>
    <row r="537">
      <c r="A537" s="101">
        <f>Masters!C541</f>
        <v>1522</v>
      </c>
      <c r="B537" s="102" t="str">
        <f>Masters!D541</f>
        <v>Storekeepers and Parts Clerks</v>
      </c>
      <c r="C537" s="102" t="str">
        <f>Masters!E541</f>
        <v>Storekeepers and partspersons</v>
      </c>
      <c r="D537" s="101">
        <f>Masters!F541</f>
        <v>3</v>
      </c>
      <c r="E537" s="101">
        <f>Masters!G541</f>
        <v>4</v>
      </c>
      <c r="F537" s="101">
        <f>Masters!H541</f>
        <v>4</v>
      </c>
      <c r="G537" s="101">
        <f>Masters!I541</f>
        <v>3</v>
      </c>
      <c r="H537" s="101">
        <f>Masters!J541</f>
        <v>4</v>
      </c>
      <c r="I537" s="101">
        <f>Masters!K541</f>
        <v>3</v>
      </c>
      <c r="J537" s="101">
        <f>Masters!L541</f>
        <v>4</v>
      </c>
      <c r="K537" s="101">
        <f>Masters!M541</f>
        <v>4</v>
      </c>
      <c r="L537" s="101">
        <f>Masters!N541</f>
        <v>4</v>
      </c>
    </row>
    <row r="538">
      <c r="A538" s="101">
        <f>Masters!C542</f>
        <v>1414</v>
      </c>
      <c r="B538" s="102" t="str">
        <f>Masters!D542</f>
        <v>Telephone Operators</v>
      </c>
      <c r="C538" s="102" t="str">
        <f>Masters!E542</f>
        <v>Receptionists</v>
      </c>
      <c r="D538" s="101">
        <f>Masters!F542</f>
        <v>3</v>
      </c>
      <c r="E538" s="101">
        <f>Masters!G542</f>
        <v>3</v>
      </c>
      <c r="F538" s="101">
        <f>Masters!H542</f>
        <v>3</v>
      </c>
      <c r="G538" s="101">
        <f>Masters!I542</f>
        <v>4</v>
      </c>
      <c r="H538" s="101">
        <f>Masters!J542</f>
        <v>4</v>
      </c>
      <c r="I538" s="101">
        <f>Masters!K542</f>
        <v>3</v>
      </c>
      <c r="J538" s="101">
        <f>Masters!L542</f>
        <v>3</v>
      </c>
      <c r="K538" s="101">
        <f>Masters!M542</f>
        <v>3</v>
      </c>
      <c r="L538" s="101">
        <f>Masters!N542</f>
        <v>3</v>
      </c>
    </row>
    <row r="539">
      <c r="A539" s="101">
        <f>Masters!C543</f>
        <v>7512</v>
      </c>
      <c r="B539" s="102" t="str">
        <f>Masters!D543</f>
        <v>Subway Train and Light Rail Transit Operators</v>
      </c>
      <c r="C539" s="102" t="str">
        <f>Masters!E543</f>
        <v>Bus drivers, subway operators and other transit operators</v>
      </c>
      <c r="D539" s="101">
        <f>Masters!F543</f>
        <v>3</v>
      </c>
      <c r="E539" s="101">
        <f>Masters!G543</f>
        <v>4</v>
      </c>
      <c r="F539" s="101">
        <f>Masters!H543</f>
        <v>4</v>
      </c>
      <c r="G539" s="101">
        <f>Masters!I543</f>
        <v>4</v>
      </c>
      <c r="H539" s="101">
        <f>Masters!J543</f>
        <v>4</v>
      </c>
      <c r="I539" s="101">
        <f>Masters!K543</f>
        <v>4</v>
      </c>
      <c r="J539" s="101">
        <f>Masters!L543</f>
        <v>3</v>
      </c>
      <c r="K539" s="101">
        <f>Masters!M543</f>
        <v>4</v>
      </c>
      <c r="L539" s="101">
        <f>Masters!N543</f>
        <v>3</v>
      </c>
    </row>
    <row r="540">
      <c r="A540" s="101">
        <f>Masters!C544</f>
        <v>7513</v>
      </c>
      <c r="B540" s="102" t="str">
        <f>Masters!D544</f>
        <v>Taxi and Limousine Drivers</v>
      </c>
      <c r="C540" s="102" t="str">
        <f>Masters!E544</f>
        <v>Taxi and limousine drivers and chauffeurs</v>
      </c>
      <c r="D540" s="101">
        <f>Masters!F544</f>
        <v>4</v>
      </c>
      <c r="E540" s="101">
        <f>Masters!G544</f>
        <v>4</v>
      </c>
      <c r="F540" s="101">
        <f>Masters!H544</f>
        <v>4</v>
      </c>
      <c r="G540" s="101">
        <f>Masters!I544</f>
        <v>3</v>
      </c>
      <c r="H540" s="101">
        <f>Masters!J544</f>
        <v>4</v>
      </c>
      <c r="I540" s="101">
        <f>Masters!K544</f>
        <v>4</v>
      </c>
      <c r="J540" s="101">
        <f>Masters!L544</f>
        <v>3</v>
      </c>
      <c r="K540" s="101">
        <f>Masters!M544</f>
        <v>4</v>
      </c>
      <c r="L540" s="101">
        <f>Masters!N544</f>
        <v>3</v>
      </c>
    </row>
    <row r="541">
      <c r="A541" s="101">
        <f>Masters!C545</f>
        <v>9447</v>
      </c>
      <c r="B541" s="102" t="str">
        <f>Masters!D545</f>
        <v>Textile Inspectors, Graders and Samplers</v>
      </c>
      <c r="C541" s="102" t="str">
        <f>Masters!E545</f>
        <v>Inspectors and graders, textile, fabric, fur and leather products manufacturing</v>
      </c>
      <c r="D541" s="101">
        <f>Masters!F545</f>
        <v>3</v>
      </c>
      <c r="E541" s="101">
        <f>Masters!G545</f>
        <v>4</v>
      </c>
      <c r="F541" s="101">
        <f>Masters!H545</f>
        <v>4</v>
      </c>
      <c r="G541" s="101">
        <f>Masters!I545</f>
        <v>4</v>
      </c>
      <c r="H541" s="101">
        <f>Masters!J545</f>
        <v>3</v>
      </c>
      <c r="I541" s="101">
        <f>Masters!K545</f>
        <v>4</v>
      </c>
      <c r="J541" s="101">
        <f>Masters!L545</f>
        <v>4</v>
      </c>
      <c r="K541" s="101">
        <f>Masters!M545</f>
        <v>4</v>
      </c>
      <c r="L541" s="101">
        <f>Masters!N545</f>
        <v>3</v>
      </c>
    </row>
    <row r="542">
      <c r="A542" s="101">
        <f>Masters!C546</f>
        <v>9243</v>
      </c>
      <c r="B542" s="102" t="str">
        <f>Masters!D546</f>
        <v>Waste Plant Operators</v>
      </c>
      <c r="C542" s="102" t="str">
        <f>Masters!E546</f>
        <v>Water and waste treatment plant operators</v>
      </c>
      <c r="D542" s="101">
        <f>Masters!F546</f>
        <v>3</v>
      </c>
      <c r="E542" s="101">
        <f>Masters!G546</f>
        <v>3</v>
      </c>
      <c r="F542" s="101">
        <f>Masters!H546</f>
        <v>3</v>
      </c>
      <c r="G542" s="101">
        <f>Masters!I546</f>
        <v>3</v>
      </c>
      <c r="H542" s="101">
        <f>Masters!J546</f>
        <v>3</v>
      </c>
      <c r="I542" s="101">
        <f>Masters!K546</f>
        <v>3</v>
      </c>
      <c r="J542" s="101">
        <f>Masters!L546</f>
        <v>4</v>
      </c>
      <c r="K542" s="101">
        <f>Masters!M546</f>
        <v>4</v>
      </c>
      <c r="L542" s="101">
        <f>Masters!N546</f>
        <v>3</v>
      </c>
    </row>
    <row r="543">
      <c r="A543" s="101">
        <f>Masters!C547</f>
        <v>9243</v>
      </c>
      <c r="B543" s="102" t="str">
        <f>Masters!D547</f>
        <v>Water Plant Operators</v>
      </c>
      <c r="C543" s="102" t="str">
        <f>Masters!E547</f>
        <v>Water and waste treatment plant operators</v>
      </c>
      <c r="D543" s="101">
        <f>Masters!F547</f>
        <v>3</v>
      </c>
      <c r="E543" s="101">
        <f>Masters!G547</f>
        <v>3</v>
      </c>
      <c r="F543" s="101">
        <f>Masters!H547</f>
        <v>3</v>
      </c>
      <c r="G543" s="101">
        <f>Masters!I547</f>
        <v>3</v>
      </c>
      <c r="H543" s="101">
        <f>Masters!J547</f>
        <v>3</v>
      </c>
      <c r="I543" s="101">
        <f>Masters!K547</f>
        <v>3</v>
      </c>
      <c r="J543" s="101">
        <f>Masters!L547</f>
        <v>4</v>
      </c>
      <c r="K543" s="101">
        <f>Masters!M547</f>
        <v>4</v>
      </c>
      <c r="L543" s="101">
        <f>Masters!N547</f>
        <v>3</v>
      </c>
    </row>
    <row r="544">
      <c r="A544" s="101">
        <f>Masters!C548</f>
        <v>7373</v>
      </c>
      <c r="B544" s="102" t="str">
        <f>Masters!D548</f>
        <v>Water Well Drillers</v>
      </c>
      <c r="C544" s="102" t="str">
        <f>Masters!E548</f>
        <v>Water well drillers</v>
      </c>
      <c r="D544" s="101">
        <f>Masters!F548</f>
        <v>3</v>
      </c>
      <c r="E544" s="101">
        <f>Masters!G548</f>
        <v>3</v>
      </c>
      <c r="F544" s="101">
        <f>Masters!H548</f>
        <v>4</v>
      </c>
      <c r="G544" s="101">
        <f>Masters!I548</f>
        <v>3</v>
      </c>
      <c r="H544" s="101">
        <f>Masters!J548</f>
        <v>4</v>
      </c>
      <c r="I544" s="101">
        <f>Masters!K548</f>
        <v>4</v>
      </c>
      <c r="J544" s="101">
        <f>Masters!L548</f>
        <v>3</v>
      </c>
      <c r="K544" s="101">
        <f>Masters!M548</f>
        <v>4</v>
      </c>
      <c r="L544" s="101">
        <f>Masters!N548</f>
        <v>3</v>
      </c>
    </row>
    <row r="545">
      <c r="A545" s="101">
        <f>Masters!C549</f>
        <v>7283</v>
      </c>
      <c r="B545" s="102" t="str">
        <f>Masters!D549</f>
        <v>Tilesetters</v>
      </c>
      <c r="C545" s="102" t="str">
        <f>Masters!E549</f>
        <v>Tilesetters</v>
      </c>
      <c r="D545" s="101">
        <f>Masters!F549</f>
        <v>3</v>
      </c>
      <c r="E545" s="101">
        <f>Masters!G549</f>
        <v>4</v>
      </c>
      <c r="F545" s="101">
        <f>Masters!H549</f>
        <v>3</v>
      </c>
      <c r="G545" s="101">
        <f>Masters!I549</f>
        <v>3</v>
      </c>
      <c r="H545" s="101">
        <f>Masters!J549</f>
        <v>4</v>
      </c>
      <c r="I545" s="101">
        <f>Masters!K549</f>
        <v>4</v>
      </c>
      <c r="J545" s="101">
        <f>Masters!L549</f>
        <v>3</v>
      </c>
      <c r="K545" s="101">
        <f>Masters!M549</f>
        <v>4</v>
      </c>
      <c r="L545" s="101">
        <f>Masters!N549</f>
        <v>3</v>
      </c>
    </row>
    <row r="546">
      <c r="A546" s="101">
        <f>Masters!C550</f>
        <v>8411</v>
      </c>
      <c r="B546" s="102" t="str">
        <f>Masters!D550</f>
        <v>Underground Mine Service and Support Workers</v>
      </c>
      <c r="C546" s="102" t="str">
        <f>Masters!E550</f>
        <v>Underground mine service and support workers</v>
      </c>
      <c r="D546" s="101">
        <f>Masters!F550</f>
        <v>3</v>
      </c>
      <c r="E546" s="101">
        <f>Masters!G550</f>
        <v>4</v>
      </c>
      <c r="F546" s="101">
        <f>Masters!H550</f>
        <v>4</v>
      </c>
      <c r="G546" s="101">
        <f>Masters!I550</f>
        <v>3</v>
      </c>
      <c r="H546" s="101">
        <f>Masters!J550</f>
        <v>4</v>
      </c>
      <c r="I546" s="101">
        <f>Masters!K550</f>
        <v>5</v>
      </c>
      <c r="J546" s="101">
        <f>Masters!L550</f>
        <v>3</v>
      </c>
      <c r="K546" s="101">
        <f>Masters!M550</f>
        <v>4</v>
      </c>
      <c r="L546" s="101">
        <f>Masters!N550</f>
        <v>3</v>
      </c>
    </row>
    <row r="547">
      <c r="A547" s="101">
        <f>Masters!C551</f>
        <v>7442</v>
      </c>
      <c r="B547" s="102" t="str">
        <f>Masters!D551</f>
        <v>Waterworks Maintenance Workers</v>
      </c>
      <c r="C547" s="102" t="str">
        <f>Masters!E551</f>
        <v>Waterworks and gas maintenance workers</v>
      </c>
      <c r="D547" s="101">
        <f>Masters!F551</f>
        <v>3</v>
      </c>
      <c r="E547" s="101">
        <f>Masters!G551</f>
        <v>4</v>
      </c>
      <c r="F547" s="101">
        <f>Masters!H551</f>
        <v>4</v>
      </c>
      <c r="G547" s="101">
        <f>Masters!I551</f>
        <v>4</v>
      </c>
      <c r="H547" s="101">
        <f>Masters!J551</f>
        <v>4</v>
      </c>
      <c r="I547" s="101">
        <f>Masters!K551</f>
        <v>4</v>
      </c>
      <c r="J547" s="101">
        <f>Masters!L551</f>
        <v>3</v>
      </c>
      <c r="K547" s="101">
        <f>Masters!M551</f>
        <v>4</v>
      </c>
      <c r="L547" s="101">
        <f>Masters!N551</f>
        <v>3</v>
      </c>
    </row>
    <row r="548">
      <c r="A548" s="101">
        <f>Masters!C552</f>
        <v>7237</v>
      </c>
      <c r="B548" s="102" t="str">
        <f>Masters!D552</f>
        <v>Welding, Brazing and Soldering Machine Operators</v>
      </c>
      <c r="C548" s="102" t="str">
        <f>Masters!E552</f>
        <v>Welders and related machine operators</v>
      </c>
      <c r="D548" s="101">
        <f>Masters!F552</f>
        <v>3</v>
      </c>
      <c r="E548" s="101">
        <f>Masters!G552</f>
        <v>4</v>
      </c>
      <c r="F548" s="101">
        <f>Masters!H552</f>
        <v>4</v>
      </c>
      <c r="G548" s="101">
        <f>Masters!I552</f>
        <v>3</v>
      </c>
      <c r="H548" s="101">
        <f>Masters!J552</f>
        <v>3</v>
      </c>
      <c r="I548" s="101">
        <f>Masters!K552</f>
        <v>5</v>
      </c>
      <c r="J548" s="101">
        <f>Masters!L552</f>
        <v>4</v>
      </c>
      <c r="K548" s="101">
        <f>Masters!M552</f>
        <v>4</v>
      </c>
      <c r="L548" s="101">
        <f>Masters!N552</f>
        <v>3</v>
      </c>
    </row>
    <row r="549">
      <c r="A549" s="101">
        <f>Masters!C553</f>
        <v>5135</v>
      </c>
      <c r="B549" s="102" t="str">
        <f>Masters!D553</f>
        <v>Acting Teachers</v>
      </c>
      <c r="C549" s="102" t="str">
        <f>Masters!E553</f>
        <v>Actors and comedians</v>
      </c>
      <c r="D549" s="101">
        <f>Masters!F553</f>
        <v>2</v>
      </c>
      <c r="E549" s="101">
        <f>Masters!G553</f>
        <v>2</v>
      </c>
      <c r="F549" s="101">
        <f>Masters!H553</f>
        <v>4</v>
      </c>
      <c r="G549" s="101">
        <f>Masters!I553</f>
        <v>3</v>
      </c>
      <c r="H549" s="101">
        <f>Masters!J553</f>
        <v>3</v>
      </c>
      <c r="I549" s="101">
        <f>Masters!K553</f>
        <v>4</v>
      </c>
      <c r="J549" s="101">
        <f>Masters!L553</f>
        <v>4</v>
      </c>
      <c r="K549" s="101">
        <f>Masters!M553</f>
        <v>4</v>
      </c>
      <c r="L549" s="101">
        <f>Masters!N553</f>
        <v>4</v>
      </c>
    </row>
    <row r="550">
      <c r="A550" s="101">
        <f>Masters!C554</f>
        <v>5135</v>
      </c>
      <c r="B550" s="102" t="str">
        <f>Masters!D554</f>
        <v>Actors and Comedians</v>
      </c>
      <c r="C550" s="102" t="str">
        <f>Masters!E554</f>
        <v>Actors and comedians</v>
      </c>
      <c r="D550" s="101">
        <f>Masters!F554</f>
        <v>2</v>
      </c>
      <c r="E550" s="101">
        <f>Masters!G554</f>
        <v>2</v>
      </c>
      <c r="F550" s="101">
        <f>Masters!H554</f>
        <v>4</v>
      </c>
      <c r="G550" s="101">
        <f>Masters!I554</f>
        <v>3</v>
      </c>
      <c r="H550" s="101">
        <f>Masters!J554</f>
        <v>3</v>
      </c>
      <c r="I550" s="101">
        <f>Masters!K554</f>
        <v>4</v>
      </c>
      <c r="J550" s="101">
        <f>Masters!L554</f>
        <v>4</v>
      </c>
      <c r="K550" s="101">
        <f>Masters!M554</f>
        <v>4</v>
      </c>
      <c r="L550" s="101">
        <f>Masters!N554</f>
        <v>4</v>
      </c>
    </row>
    <row r="551">
      <c r="A551" s="101">
        <f>Masters!C555</f>
        <v>9437</v>
      </c>
      <c r="B551" s="102" t="str">
        <f>Masters!D555</f>
        <v>Woodworking Machine Operators</v>
      </c>
      <c r="C551" s="102" t="str">
        <f>Masters!E555</f>
        <v>Woodworking machine operators</v>
      </c>
      <c r="D551" s="101">
        <f>Masters!F555</f>
        <v>4</v>
      </c>
      <c r="E551" s="101">
        <f>Masters!G555</f>
        <v>4</v>
      </c>
      <c r="F551" s="101">
        <f>Masters!H555</f>
        <v>4</v>
      </c>
      <c r="G551" s="101">
        <f>Masters!I555</f>
        <v>4</v>
      </c>
      <c r="H551" s="101">
        <f>Masters!J555</f>
        <v>3</v>
      </c>
      <c r="I551" s="101">
        <f>Masters!K555</f>
        <v>4</v>
      </c>
      <c r="J551" s="101">
        <f>Masters!L555</f>
        <v>3</v>
      </c>
      <c r="K551" s="101">
        <f>Masters!M555</f>
        <v>4</v>
      </c>
      <c r="L551" s="101">
        <f>Masters!N555</f>
        <v>3</v>
      </c>
    </row>
    <row r="552">
      <c r="A552" s="101">
        <f>Masters!C556</f>
        <v>1314</v>
      </c>
      <c r="B552" s="102" t="str">
        <f>Masters!D556</f>
        <v>Appraisers</v>
      </c>
      <c r="C552" s="102" t="str">
        <f>Masters!E556</f>
        <v>Assessors, valuators and appraisers</v>
      </c>
      <c r="D552" s="101">
        <f>Masters!F556</f>
        <v>2</v>
      </c>
      <c r="E552" s="101">
        <f>Masters!G556</f>
        <v>3</v>
      </c>
      <c r="F552" s="101">
        <f>Masters!H556</f>
        <v>2</v>
      </c>
      <c r="G552" s="101">
        <f>Masters!I556</f>
        <v>3</v>
      </c>
      <c r="H552" s="101">
        <f>Masters!J556</f>
        <v>3</v>
      </c>
      <c r="I552" s="101">
        <f>Masters!K556</f>
        <v>3</v>
      </c>
      <c r="J552" s="101">
        <f>Masters!L556</f>
        <v>4</v>
      </c>
      <c r="K552" s="101">
        <f>Masters!M556</f>
        <v>4</v>
      </c>
      <c r="L552" s="101">
        <f>Masters!N556</f>
        <v>4</v>
      </c>
    </row>
    <row r="553">
      <c r="A553" s="101">
        <f>Masters!C557</f>
        <v>823</v>
      </c>
      <c r="B553" s="102" t="str">
        <f>Masters!D557</f>
        <v>Aquaculture Operators and Managers</v>
      </c>
      <c r="C553" s="102" t="str">
        <f>Masters!E557</f>
        <v>Managers in aquaculture</v>
      </c>
      <c r="D553" s="101">
        <f>Masters!F557</f>
        <v>3</v>
      </c>
      <c r="E553" s="101">
        <f>Masters!G557</f>
        <v>3</v>
      </c>
      <c r="F553" s="101">
        <f>Masters!H557</f>
        <v>4</v>
      </c>
      <c r="G553" s="101">
        <f>Masters!I557</f>
        <v>4</v>
      </c>
      <c r="H553" s="101">
        <f>Masters!J557</f>
        <v>3</v>
      </c>
      <c r="I553" s="101">
        <f>Masters!K557</f>
        <v>4</v>
      </c>
      <c r="J553" s="101">
        <f>Masters!L557</f>
        <v>4</v>
      </c>
      <c r="K553" s="101">
        <f>Masters!M557</f>
        <v>4</v>
      </c>
      <c r="L553" s="101">
        <f>Masters!N557</f>
        <v>3</v>
      </c>
    </row>
    <row r="554">
      <c r="A554" s="101">
        <f>Masters!C558</f>
        <v>7361</v>
      </c>
      <c r="B554" s="102" t="str">
        <f>Masters!D558</f>
        <v>Yard Locomotive Engineers</v>
      </c>
      <c r="C554" s="102" t="str">
        <f>Masters!E558</f>
        <v>Railway and yard locomotive engineers</v>
      </c>
      <c r="D554" s="101">
        <f>Masters!F558</f>
        <v>3</v>
      </c>
      <c r="E554" s="101">
        <f>Masters!G558</f>
        <v>4</v>
      </c>
      <c r="F554" s="101">
        <f>Masters!H558</f>
        <v>4</v>
      </c>
      <c r="G554" s="101">
        <f>Masters!I558</f>
        <v>3</v>
      </c>
      <c r="H554" s="101">
        <f>Masters!J558</f>
        <v>4</v>
      </c>
      <c r="I554" s="101">
        <f>Masters!K558</f>
        <v>4</v>
      </c>
      <c r="J554" s="101">
        <f>Masters!L558</f>
        <v>4</v>
      </c>
      <c r="K554" s="101">
        <f>Masters!M558</f>
        <v>4</v>
      </c>
      <c r="L554" s="101">
        <f>Masters!N558</f>
        <v>3</v>
      </c>
    </row>
    <row r="555">
      <c r="A555" s="101">
        <f>Masters!C559</f>
        <v>1314</v>
      </c>
      <c r="B555" s="102" t="str">
        <f>Masters!D559</f>
        <v>Assessors</v>
      </c>
      <c r="C555" s="102" t="str">
        <f>Masters!E559</f>
        <v>Assessors, valuators and appraisers</v>
      </c>
      <c r="D555" s="101">
        <f>Masters!F559</f>
        <v>2</v>
      </c>
      <c r="E555" s="101">
        <f>Masters!G559</f>
        <v>3</v>
      </c>
      <c r="F555" s="101">
        <f>Masters!H559</f>
        <v>2</v>
      </c>
      <c r="G555" s="101">
        <f>Masters!I559</f>
        <v>3</v>
      </c>
      <c r="H555" s="101">
        <f>Masters!J559</f>
        <v>3</v>
      </c>
      <c r="I555" s="101">
        <f>Masters!K559</f>
        <v>3</v>
      </c>
      <c r="J555" s="101">
        <f>Masters!L559</f>
        <v>4</v>
      </c>
      <c r="K555" s="101">
        <f>Masters!M559</f>
        <v>4</v>
      </c>
      <c r="L555" s="101">
        <f>Masters!N559</f>
        <v>4</v>
      </c>
    </row>
    <row r="556">
      <c r="A556" s="101">
        <f>Masters!C560</f>
        <v>3141</v>
      </c>
      <c r="B556" s="102" t="str">
        <f>Masters!D560</f>
        <v>Audiologists</v>
      </c>
      <c r="C556" s="102" t="str">
        <f>Masters!E560</f>
        <v>Audiologists and speech-language pathologists</v>
      </c>
      <c r="D556" s="101">
        <f>Masters!F560</f>
        <v>2</v>
      </c>
      <c r="E556" s="101">
        <f>Masters!G560</f>
        <v>2</v>
      </c>
      <c r="F556" s="101">
        <f>Masters!H560</f>
        <v>3</v>
      </c>
      <c r="G556" s="101">
        <f>Masters!I560</f>
        <v>3</v>
      </c>
      <c r="H556" s="101">
        <f>Masters!J560</f>
        <v>3</v>
      </c>
      <c r="I556" s="101">
        <f>Masters!K560</f>
        <v>3</v>
      </c>
      <c r="J556" s="101">
        <f>Masters!L560</f>
        <v>4</v>
      </c>
      <c r="K556" s="101">
        <f>Masters!M560</f>
        <v>4</v>
      </c>
      <c r="L556" s="101">
        <f>Masters!N560</f>
        <v>4</v>
      </c>
    </row>
    <row r="557">
      <c r="A557" s="101">
        <f>Masters!C561</f>
        <v>1434</v>
      </c>
      <c r="B557" s="102" t="str">
        <f>Masters!D561</f>
        <v>Bank Clerks</v>
      </c>
      <c r="C557" s="102" t="str">
        <f>Masters!E561</f>
        <v>Banking, insurance and other financial clerks</v>
      </c>
      <c r="D557" s="101">
        <f>Masters!F561</f>
        <v>3</v>
      </c>
      <c r="E557" s="101">
        <f>Masters!G561</f>
        <v>3</v>
      </c>
      <c r="F557" s="101">
        <f>Masters!H561</f>
        <v>3</v>
      </c>
      <c r="G557" s="101">
        <f>Masters!I561</f>
        <v>4</v>
      </c>
      <c r="H557" s="101">
        <f>Masters!J561</f>
        <v>4</v>
      </c>
      <c r="I557" s="101">
        <f>Masters!K561</f>
        <v>3</v>
      </c>
      <c r="J557" s="101">
        <f>Masters!L561</f>
        <v>3</v>
      </c>
      <c r="K557" s="101">
        <f>Masters!M561</f>
        <v>3</v>
      </c>
      <c r="L557" s="101">
        <f>Masters!N561</f>
        <v>4</v>
      </c>
    </row>
    <row r="558">
      <c r="A558" s="101">
        <f>Masters!C562</f>
        <v>2221</v>
      </c>
      <c r="B558" s="102" t="str">
        <f>Masters!D562</f>
        <v>Biological Technologists</v>
      </c>
      <c r="C558" s="102" t="str">
        <f>Masters!E562</f>
        <v>Biological technologists and technicians</v>
      </c>
      <c r="D558" s="101">
        <f>Masters!F562</f>
        <v>2</v>
      </c>
      <c r="E558" s="101">
        <f>Masters!G562</f>
        <v>2</v>
      </c>
      <c r="F558" s="101">
        <f>Masters!H562</f>
        <v>2</v>
      </c>
      <c r="G558" s="101">
        <f>Masters!I562</f>
        <v>3</v>
      </c>
      <c r="H558" s="101">
        <f>Masters!J562</f>
        <v>2</v>
      </c>
      <c r="I558" s="101">
        <f>Masters!K562</f>
        <v>3</v>
      </c>
      <c r="J558" s="101">
        <f>Masters!L562</f>
        <v>3</v>
      </c>
      <c r="K558" s="101">
        <f>Masters!M562</f>
        <v>2</v>
      </c>
      <c r="L558" s="101">
        <f>Masters!N562</f>
        <v>3</v>
      </c>
    </row>
    <row r="559">
      <c r="A559" s="101">
        <f>Masters!C563</f>
        <v>7534</v>
      </c>
      <c r="B559" s="102" t="str">
        <f>Masters!D563</f>
        <v>Air Transport Ramp Attendants</v>
      </c>
      <c r="C559" s="102" t="str">
        <f>Masters!E563</f>
        <v>Air transport ramp attendants</v>
      </c>
      <c r="D559" s="101">
        <f>Masters!F563</f>
        <v>4</v>
      </c>
      <c r="E559" s="101">
        <f>Masters!G563</f>
        <v>4</v>
      </c>
      <c r="F559" s="101">
        <f>Masters!H563</f>
        <v>4</v>
      </c>
      <c r="G559" s="101">
        <f>Masters!I563</f>
        <v>3</v>
      </c>
      <c r="H559" s="101">
        <f>Masters!J563</f>
        <v>4</v>
      </c>
      <c r="I559" s="101">
        <f>Masters!K563</f>
        <v>4</v>
      </c>
      <c r="J559" s="101">
        <f>Masters!L563</f>
        <v>4</v>
      </c>
      <c r="K559" s="101">
        <f>Masters!M563</f>
        <v>4</v>
      </c>
      <c r="L559" s="101">
        <f>Masters!N563</f>
        <v>3</v>
      </c>
    </row>
    <row r="560">
      <c r="A560" s="101">
        <f>Masters!C564</f>
        <v>9423</v>
      </c>
      <c r="B560" s="102" t="str">
        <f>Masters!D564</f>
        <v>Assemblers, Rubber Products</v>
      </c>
      <c r="C560" s="102" t="str">
        <f>Masters!E564</f>
        <v>Rubber processing machine operators and related workers</v>
      </c>
      <c r="D560" s="101">
        <f>Masters!F564</f>
        <v>4</v>
      </c>
      <c r="E560" s="101">
        <f>Masters!G564</f>
        <v>4</v>
      </c>
      <c r="F560" s="101">
        <f>Masters!H564</f>
        <v>4</v>
      </c>
      <c r="G560" s="101">
        <f>Masters!I564</f>
        <v>4</v>
      </c>
      <c r="H560" s="101">
        <f>Masters!J564</f>
        <v>4</v>
      </c>
      <c r="I560" s="101">
        <f>Masters!K564</f>
        <v>4</v>
      </c>
      <c r="J560" s="101">
        <f>Masters!L564</f>
        <v>3</v>
      </c>
      <c r="K560" s="101">
        <f>Masters!M564</f>
        <v>4</v>
      </c>
      <c r="L560" s="101">
        <f>Masters!N564</f>
        <v>3</v>
      </c>
    </row>
    <row r="561">
      <c r="A561" s="101">
        <f>Masters!C565</f>
        <v>3414</v>
      </c>
      <c r="B561" s="102" t="str">
        <f>Masters!D565</f>
        <v>Blood Donor Clinic Assistants</v>
      </c>
      <c r="C561" s="102" t="str">
        <f>Masters!E565</f>
        <v>Other assisting occupations in support of health services</v>
      </c>
      <c r="D561" s="101">
        <f>Masters!F565</f>
        <v>4</v>
      </c>
      <c r="E561" s="101">
        <f>Masters!G565</f>
        <v>4</v>
      </c>
      <c r="F561" s="101">
        <f>Masters!H565</f>
        <v>4</v>
      </c>
      <c r="G561" s="101">
        <f>Masters!I565</f>
        <v>4</v>
      </c>
      <c r="H561" s="101">
        <f>Masters!J565</f>
        <v>4</v>
      </c>
      <c r="I561" s="101">
        <f>Masters!K565</f>
        <v>3</v>
      </c>
      <c r="J561" s="101">
        <f>Masters!L565</f>
        <v>4</v>
      </c>
      <c r="K561" s="101">
        <f>Masters!M565</f>
        <v>4</v>
      </c>
      <c r="L561" s="101">
        <f>Masters!N565</f>
        <v>3</v>
      </c>
    </row>
    <row r="562">
      <c r="A562" s="101">
        <f>Masters!C566</f>
        <v>3217</v>
      </c>
      <c r="B562" s="102" t="str">
        <f>Masters!D566</f>
        <v>Cardiology Technologists</v>
      </c>
      <c r="C562" s="102" t="str">
        <f>Masters!E566</f>
        <v>Cardiology technologists and electrophysiological diagnostic technologists, n.e.c.</v>
      </c>
      <c r="D562" s="101">
        <f>Masters!F566</f>
        <v>3</v>
      </c>
      <c r="E562" s="101">
        <f>Masters!G566</f>
        <v>3</v>
      </c>
      <c r="F562" s="101">
        <f>Masters!H566</f>
        <v>3</v>
      </c>
      <c r="G562" s="101">
        <f>Masters!I566</f>
        <v>3</v>
      </c>
      <c r="H562" s="101">
        <f>Masters!J566</f>
        <v>2</v>
      </c>
      <c r="I562" s="101">
        <f>Masters!K566</f>
        <v>4</v>
      </c>
      <c r="J562" s="101">
        <f>Masters!L566</f>
        <v>4</v>
      </c>
      <c r="K562" s="101">
        <f>Masters!M566</f>
        <v>3</v>
      </c>
      <c r="L562" s="101">
        <f>Masters!N566</f>
        <v>3</v>
      </c>
    </row>
    <row r="563">
      <c r="A563" s="101">
        <f>Masters!C567</f>
        <v>7362</v>
      </c>
      <c r="B563" s="102" t="str">
        <f>Masters!D567</f>
        <v>Brakemen/women</v>
      </c>
      <c r="C563" s="102" t="str">
        <f>Masters!E567</f>
        <v>Railway conductors and brakemen/women</v>
      </c>
      <c r="D563" s="101">
        <f>Masters!F567</f>
        <v>3</v>
      </c>
      <c r="E563" s="101">
        <f>Masters!G567</f>
        <v>4</v>
      </c>
      <c r="F563" s="101">
        <f>Masters!H567</f>
        <v>4</v>
      </c>
      <c r="G563" s="101">
        <f>Masters!I567</f>
        <v>4</v>
      </c>
      <c r="H563" s="101">
        <f>Masters!J567</f>
        <v>4</v>
      </c>
      <c r="I563" s="101">
        <f>Masters!K567</f>
        <v>4</v>
      </c>
      <c r="J563" s="101">
        <f>Masters!L567</f>
        <v>4</v>
      </c>
      <c r="K563" s="101">
        <f>Masters!M567</f>
        <v>4</v>
      </c>
      <c r="L563" s="101">
        <f>Masters!N567</f>
        <v>3</v>
      </c>
    </row>
    <row r="564">
      <c r="A564" s="101">
        <f>Masters!C568</f>
        <v>9231</v>
      </c>
      <c r="B564" s="102" t="str">
        <f>Masters!D568</f>
        <v>Central Control and Process Operators, Mineral and Metal Processing</v>
      </c>
      <c r="C564" s="102" t="str">
        <f>Masters!E568</f>
        <v>Central control and process operators, mineral and metal processing</v>
      </c>
      <c r="D564" s="101">
        <f>Masters!F568</f>
        <v>3</v>
      </c>
      <c r="E564" s="101">
        <f>Masters!G568</f>
        <v>3</v>
      </c>
      <c r="F564" s="101">
        <f>Masters!H568</f>
        <v>3</v>
      </c>
      <c r="G564" s="101">
        <f>Masters!I568</f>
        <v>3</v>
      </c>
      <c r="H564" s="101">
        <f>Masters!J568</f>
        <v>3</v>
      </c>
      <c r="I564" s="101">
        <f>Masters!K568</f>
        <v>3</v>
      </c>
      <c r="J564" s="101">
        <f>Masters!L568</f>
        <v>4</v>
      </c>
      <c r="K564" s="101">
        <f>Masters!M568</f>
        <v>4</v>
      </c>
      <c r="L564" s="101">
        <f>Masters!N568</f>
        <v>4</v>
      </c>
    </row>
    <row r="565">
      <c r="A565" s="101">
        <f>Masters!C569</f>
        <v>4021</v>
      </c>
      <c r="B565" s="102" t="str">
        <f>Masters!D569</f>
        <v>College and Other Vocational Instructors</v>
      </c>
      <c r="C565" s="102" t="str">
        <f>Masters!E569</f>
        <v>College and other vocational instructors</v>
      </c>
      <c r="D565" s="101">
        <f>Masters!F569</f>
        <v>2</v>
      </c>
      <c r="E565" s="101">
        <f>Masters!G569</f>
        <v>2</v>
      </c>
      <c r="F565" s="101">
        <f>Masters!H569</f>
        <v>3</v>
      </c>
      <c r="G565" s="101">
        <f>Masters!I569</f>
        <v>3</v>
      </c>
      <c r="H565" s="101">
        <f>Masters!J569</f>
        <v>3</v>
      </c>
      <c r="I565" s="101">
        <f>Masters!K569</f>
        <v>3</v>
      </c>
      <c r="J565" s="101">
        <f>Masters!L569</f>
        <v>4</v>
      </c>
      <c r="K565" s="101">
        <f>Masters!M569</f>
        <v>4</v>
      </c>
      <c r="L565" s="101">
        <f>Masters!N569</f>
        <v>4</v>
      </c>
    </row>
    <row r="566">
      <c r="A566" s="101">
        <f>Masters!C570</f>
        <v>433</v>
      </c>
      <c r="B566" s="102" t="str">
        <f>Masters!D570</f>
        <v>Commissioned Officers, Armed Forces</v>
      </c>
      <c r="C566" s="102" t="str">
        <f>Masters!E570</f>
        <v>Commissioned officers of the Canadian Forces</v>
      </c>
      <c r="D566" s="101">
        <f>Masters!F570</f>
        <v>2</v>
      </c>
      <c r="E566" s="101">
        <f>Masters!G570</f>
        <v>3</v>
      </c>
      <c r="F566" s="101">
        <f>Masters!H570</f>
        <v>4</v>
      </c>
      <c r="G566" s="101">
        <f>Masters!I570</f>
        <v>3</v>
      </c>
      <c r="H566" s="101">
        <f>Masters!J570</f>
        <v>4</v>
      </c>
      <c r="I566" s="101">
        <f>Masters!K570</f>
        <v>4</v>
      </c>
      <c r="J566" s="101">
        <f>Masters!L570</f>
        <v>4</v>
      </c>
      <c r="K566" s="101">
        <f>Masters!M570</f>
        <v>4</v>
      </c>
      <c r="L566" s="101">
        <f>Masters!N570</f>
        <v>4</v>
      </c>
    </row>
    <row r="567">
      <c r="A567" s="101">
        <f>Masters!C571</f>
        <v>1123</v>
      </c>
      <c r="B567" s="102" t="str">
        <f>Masters!D571</f>
        <v>Communication Assistants</v>
      </c>
      <c r="C567" s="102" t="str">
        <f>Masters!E571</f>
        <v>Professional occupations in advertising, marketing and public relations</v>
      </c>
      <c r="D567" s="101">
        <f>Masters!F571</f>
        <v>3</v>
      </c>
      <c r="E567" s="101">
        <f>Masters!G571</f>
        <v>3</v>
      </c>
      <c r="F567" s="101">
        <f>Masters!H571</f>
        <v>4</v>
      </c>
      <c r="G567" s="101">
        <f>Masters!I571</f>
        <v>4</v>
      </c>
      <c r="H567" s="101">
        <f>Masters!J571</f>
        <v>4</v>
      </c>
      <c r="I567" s="101">
        <f>Masters!K571</f>
        <v>4</v>
      </c>
      <c r="J567" s="101">
        <f>Masters!L571</f>
        <v>4</v>
      </c>
      <c r="K567" s="101">
        <f>Masters!M571</f>
        <v>3</v>
      </c>
      <c r="L567" s="101">
        <f>Masters!N571</f>
        <v>3</v>
      </c>
    </row>
    <row r="568">
      <c r="A568" s="101">
        <f>Masters!C572</f>
        <v>8241</v>
      </c>
      <c r="B568" s="102" t="str">
        <f>Masters!D572</f>
        <v>Cable Yarding System Operators</v>
      </c>
      <c r="C568" s="102" t="str">
        <f>Masters!E572</f>
        <v>Logging machinery operators</v>
      </c>
      <c r="D568" s="101">
        <f>Masters!F572</f>
        <v>3</v>
      </c>
      <c r="E568" s="101">
        <f>Masters!G572</f>
        <v>4</v>
      </c>
      <c r="F568" s="101">
        <f>Masters!H572</f>
        <v>5</v>
      </c>
      <c r="G568" s="101">
        <f>Masters!I572</f>
        <v>3</v>
      </c>
      <c r="H568" s="101">
        <f>Masters!J572</f>
        <v>4</v>
      </c>
      <c r="I568" s="101">
        <f>Masters!K572</f>
        <v>5</v>
      </c>
      <c r="J568" s="101">
        <f>Masters!L572</f>
        <v>3</v>
      </c>
      <c r="K568" s="101">
        <f>Masters!M572</f>
        <v>4</v>
      </c>
      <c r="L568" s="101">
        <f>Masters!N572</f>
        <v>3</v>
      </c>
    </row>
    <row r="569">
      <c r="A569" s="101">
        <f>Masters!C573</f>
        <v>2264</v>
      </c>
      <c r="B569" s="102" t="str">
        <f>Masters!D573</f>
        <v>Construction Inspectors</v>
      </c>
      <c r="C569" s="102" t="str">
        <f>Masters!E573</f>
        <v>Construction inspectors</v>
      </c>
      <c r="D569" s="101">
        <f>Masters!F573</f>
        <v>2</v>
      </c>
      <c r="E569" s="101">
        <f>Masters!G573</f>
        <v>3</v>
      </c>
      <c r="F569" s="101">
        <f>Masters!H573</f>
        <v>3</v>
      </c>
      <c r="G569" s="101">
        <f>Masters!I573</f>
        <v>2</v>
      </c>
      <c r="H569" s="101">
        <f>Masters!J573</f>
        <v>2</v>
      </c>
      <c r="I569" s="101">
        <f>Masters!K573</f>
        <v>4</v>
      </c>
      <c r="J569" s="101">
        <f>Masters!L573</f>
        <v>4</v>
      </c>
      <c r="K569" s="101">
        <f>Masters!M573</f>
        <v>4</v>
      </c>
      <c r="L569" s="101">
        <f>Masters!N573</f>
        <v>4</v>
      </c>
    </row>
    <row r="570">
      <c r="A570" s="101">
        <f>Masters!C574</f>
        <v>6322</v>
      </c>
      <c r="B570" s="102" t="str">
        <f>Masters!D574</f>
        <v>Cooks</v>
      </c>
      <c r="C570" s="102" t="str">
        <f>Masters!E574</f>
        <v>Cooks</v>
      </c>
      <c r="D570" s="101">
        <f>Masters!F574</f>
        <v>3</v>
      </c>
      <c r="E570" s="101">
        <f>Masters!G574</f>
        <v>3</v>
      </c>
      <c r="F570" s="101">
        <f>Masters!H574</f>
        <v>3</v>
      </c>
      <c r="G570" s="101">
        <f>Masters!I574</f>
        <v>4</v>
      </c>
      <c r="H570" s="101">
        <f>Masters!J574</f>
        <v>3</v>
      </c>
      <c r="I570" s="101">
        <f>Masters!K574</f>
        <v>4</v>
      </c>
      <c r="J570" s="101">
        <f>Masters!L574</f>
        <v>3</v>
      </c>
      <c r="K570" s="101">
        <f>Masters!M574</f>
        <v>4</v>
      </c>
      <c r="L570" s="101">
        <f>Masters!N574</f>
        <v>3</v>
      </c>
    </row>
    <row r="571">
      <c r="A571" s="101">
        <f>Masters!C575</f>
        <v>5121</v>
      </c>
      <c r="B571" s="102" t="str">
        <f>Masters!D575</f>
        <v>Copywriters</v>
      </c>
      <c r="C571" s="102" t="str">
        <f>Masters!E575</f>
        <v>Authors and writers</v>
      </c>
      <c r="D571" s="101">
        <f>Masters!F575</f>
        <v>2</v>
      </c>
      <c r="E571" s="101">
        <f>Masters!G575</f>
        <v>1</v>
      </c>
      <c r="F571" s="101">
        <f>Masters!H575</f>
        <v>4</v>
      </c>
      <c r="G571" s="101">
        <f>Masters!I575</f>
        <v>3</v>
      </c>
      <c r="H571" s="101">
        <f>Masters!J575</f>
        <v>3</v>
      </c>
      <c r="I571" s="101">
        <f>Masters!K575</f>
        <v>3</v>
      </c>
      <c r="J571" s="101">
        <f>Masters!L575</f>
        <v>4</v>
      </c>
      <c r="K571" s="101">
        <f>Masters!M575</f>
        <v>4</v>
      </c>
      <c r="L571" s="101">
        <f>Masters!N575</f>
        <v>4</v>
      </c>
    </row>
    <row r="572">
      <c r="A572" s="101">
        <f>Masters!C576</f>
        <v>6611</v>
      </c>
      <c r="B572" s="102" t="str">
        <f>Masters!D576</f>
        <v>Cashiers</v>
      </c>
      <c r="C572" s="102" t="str">
        <f>Masters!E576</f>
        <v>Cashiers</v>
      </c>
      <c r="D572" s="101">
        <f>Masters!F576</f>
        <v>4</v>
      </c>
      <c r="E572" s="101">
        <f>Masters!G576</f>
        <v>4</v>
      </c>
      <c r="F572" s="101">
        <f>Masters!H576</f>
        <v>3</v>
      </c>
      <c r="G572" s="101">
        <f>Masters!I576</f>
        <v>4</v>
      </c>
      <c r="H572" s="101">
        <f>Masters!J576</f>
        <v>4</v>
      </c>
      <c r="I572" s="101">
        <f>Masters!K576</f>
        <v>3</v>
      </c>
      <c r="J572" s="101">
        <f>Masters!L576</f>
        <v>3</v>
      </c>
      <c r="K572" s="101">
        <f>Masters!M576</f>
        <v>3</v>
      </c>
      <c r="L572" s="101">
        <f>Masters!N576</f>
        <v>4</v>
      </c>
    </row>
    <row r="573">
      <c r="A573" s="101">
        <f>Masters!C577</f>
        <v>1228</v>
      </c>
      <c r="B573" s="102" t="str">
        <f>Masters!D577</f>
        <v>Customs Officers and Inspectors</v>
      </c>
      <c r="C573" s="102" t="str">
        <f>Masters!E577</f>
        <v>Employment insurance, immigration, border services and revenue officers</v>
      </c>
      <c r="D573" s="101">
        <f>Masters!F577</f>
        <v>2</v>
      </c>
      <c r="E573" s="101">
        <f>Masters!G577</f>
        <v>2</v>
      </c>
      <c r="F573" s="101">
        <f>Masters!H577</f>
        <v>3</v>
      </c>
      <c r="G573" s="101">
        <f>Masters!I577</f>
        <v>4</v>
      </c>
      <c r="H573" s="101">
        <f>Masters!J577</f>
        <v>3</v>
      </c>
      <c r="I573" s="101">
        <f>Masters!K577</f>
        <v>3</v>
      </c>
      <c r="J573" s="101">
        <f>Masters!L577</f>
        <v>4</v>
      </c>
      <c r="K573" s="101">
        <f>Masters!M577</f>
        <v>4</v>
      </c>
      <c r="L573" s="101">
        <f>Masters!N577</f>
        <v>3</v>
      </c>
    </row>
    <row r="574">
      <c r="A574" s="101">
        <f>Masters!C578</f>
        <v>7282</v>
      </c>
      <c r="B574" s="102" t="str">
        <f>Masters!D578</f>
        <v>Concrete Finishers</v>
      </c>
      <c r="C574" s="102" t="str">
        <f>Masters!E578</f>
        <v>Concrete finishers</v>
      </c>
      <c r="D574" s="101">
        <f>Masters!F578</f>
        <v>3</v>
      </c>
      <c r="E574" s="101">
        <f>Masters!G578</f>
        <v>4</v>
      </c>
      <c r="F574" s="101">
        <f>Masters!H578</f>
        <v>4</v>
      </c>
      <c r="G574" s="101">
        <f>Masters!I578</f>
        <v>4</v>
      </c>
      <c r="H574" s="101">
        <f>Masters!J578</f>
        <v>4</v>
      </c>
      <c r="I574" s="101">
        <f>Masters!K578</f>
        <v>5</v>
      </c>
      <c r="J574" s="101">
        <f>Masters!L578</f>
        <v>3</v>
      </c>
      <c r="K574" s="101">
        <f>Masters!M578</f>
        <v>4</v>
      </c>
      <c r="L574" s="101">
        <f>Masters!N578</f>
        <v>3</v>
      </c>
    </row>
    <row r="575">
      <c r="A575" s="101">
        <f>Masters!C579</f>
        <v>4216</v>
      </c>
      <c r="B575" s="102" t="str">
        <f>Masters!D579</f>
        <v>Driver's Licence Examiners</v>
      </c>
      <c r="C575" s="102" t="str">
        <f>Masters!E579</f>
        <v>Other instructors</v>
      </c>
      <c r="D575" s="101">
        <f>Masters!F579</f>
        <v>3</v>
      </c>
      <c r="E575" s="101">
        <f>Masters!G579</f>
        <v>3</v>
      </c>
      <c r="F575" s="101">
        <f>Masters!H579</f>
        <v>4</v>
      </c>
      <c r="G575" s="101">
        <f>Masters!I579</f>
        <v>3</v>
      </c>
      <c r="H575" s="101">
        <f>Masters!J579</f>
        <v>4</v>
      </c>
      <c r="I575" s="101">
        <f>Masters!K579</f>
        <v>3</v>
      </c>
      <c r="J575" s="101">
        <f>Masters!L579</f>
        <v>4</v>
      </c>
      <c r="K575" s="101">
        <f>Masters!M579</f>
        <v>4</v>
      </c>
      <c r="L575" s="101">
        <f>Masters!N579</f>
        <v>4</v>
      </c>
    </row>
    <row r="576">
      <c r="A576" s="101">
        <f>Masters!C580</f>
        <v>1452</v>
      </c>
      <c r="B576" s="102" t="str">
        <f>Masters!D580</f>
        <v>Instructors and Teachers of Persons with Disabilities</v>
      </c>
      <c r="C576" s="102" t="str">
        <f>Masters!E580</f>
        <v>Correspondence, publication and regulatory clerks</v>
      </c>
      <c r="D576" s="101">
        <f>Masters!F580</f>
        <v>3</v>
      </c>
      <c r="E576" s="101">
        <f>Masters!G580</f>
        <v>3</v>
      </c>
      <c r="F576" s="101">
        <f>Masters!H580</f>
        <v>4</v>
      </c>
      <c r="G576" s="101">
        <f>Masters!I580</f>
        <v>4</v>
      </c>
      <c r="H576" s="101">
        <f>Masters!J580</f>
        <v>4</v>
      </c>
      <c r="I576" s="101">
        <f>Masters!K580</f>
        <v>2</v>
      </c>
      <c r="J576" s="101">
        <f>Masters!L580</f>
        <v>3</v>
      </c>
      <c r="K576" s="101">
        <f>Masters!M580</f>
        <v>3</v>
      </c>
      <c r="L576" s="101">
        <f>Masters!N580</f>
        <v>4</v>
      </c>
    </row>
    <row r="577">
      <c r="A577" s="101">
        <f>Masters!C581</f>
        <v>3217</v>
      </c>
      <c r="B577" s="102" t="str">
        <f>Masters!D581</f>
        <v>Electroencephalographic (EEG) Technologists</v>
      </c>
      <c r="C577" s="102" t="str">
        <f>Masters!E581</f>
        <v>Cardiology technologists and electrophysiological diagnostic technologists, n.e.c.</v>
      </c>
      <c r="D577" s="101">
        <f>Masters!F581</f>
        <v>3</v>
      </c>
      <c r="E577" s="101">
        <f>Masters!G581</f>
        <v>3</v>
      </c>
      <c r="F577" s="101">
        <f>Masters!H581</f>
        <v>3</v>
      </c>
      <c r="G577" s="101">
        <f>Masters!I581</f>
        <v>3</v>
      </c>
      <c r="H577" s="101">
        <f>Masters!J581</f>
        <v>2</v>
      </c>
      <c r="I577" s="101">
        <f>Masters!K581</f>
        <v>4</v>
      </c>
      <c r="J577" s="101">
        <f>Masters!L581</f>
        <v>4</v>
      </c>
      <c r="K577" s="101">
        <f>Masters!M581</f>
        <v>3</v>
      </c>
      <c r="L577" s="101">
        <f>Masters!N581</f>
        <v>3</v>
      </c>
    </row>
    <row r="578">
      <c r="A578" s="101">
        <f>Masters!C582</f>
        <v>6562</v>
      </c>
      <c r="B578" s="102" t="str">
        <f>Masters!D582</f>
        <v>Electrologists</v>
      </c>
      <c r="C578" s="102" t="str">
        <f>Masters!E582</f>
        <v>Estheticians, electrologists and related occupations</v>
      </c>
      <c r="D578" s="101">
        <f>Masters!F582</f>
        <v>3</v>
      </c>
      <c r="E578" s="101">
        <f>Masters!G582</f>
        <v>3</v>
      </c>
      <c r="F578" s="101">
        <f>Masters!H582</f>
        <v>4</v>
      </c>
      <c r="G578" s="101">
        <f>Masters!I582</f>
        <v>4</v>
      </c>
      <c r="H578" s="101">
        <f>Masters!J582</f>
        <v>2</v>
      </c>
      <c r="I578" s="101">
        <f>Masters!K582</f>
        <v>4</v>
      </c>
      <c r="J578" s="101">
        <f>Masters!L582</f>
        <v>3</v>
      </c>
      <c r="K578" s="101">
        <f>Masters!M582</f>
        <v>2</v>
      </c>
      <c r="L578" s="101">
        <f>Masters!N582</f>
        <v>3</v>
      </c>
    </row>
    <row r="579">
      <c r="A579" s="101">
        <f>Masters!C583</f>
        <v>3217</v>
      </c>
      <c r="B579" s="102" t="str">
        <f>Masters!D583</f>
        <v>Electromyography (EMG) Technologists</v>
      </c>
      <c r="C579" s="102" t="str">
        <f>Masters!E583</f>
        <v>Cardiology technologists and electrophysiological diagnostic technologists, n.e.c.</v>
      </c>
      <c r="D579" s="101">
        <f>Masters!F583</f>
        <v>3</v>
      </c>
      <c r="E579" s="101">
        <f>Masters!G583</f>
        <v>3</v>
      </c>
      <c r="F579" s="101">
        <f>Masters!H583</f>
        <v>3</v>
      </c>
      <c r="G579" s="101">
        <f>Masters!I583</f>
        <v>3</v>
      </c>
      <c r="H579" s="101">
        <f>Masters!J583</f>
        <v>2</v>
      </c>
      <c r="I579" s="101">
        <f>Masters!K583</f>
        <v>4</v>
      </c>
      <c r="J579" s="101">
        <f>Masters!L583</f>
        <v>4</v>
      </c>
      <c r="K579" s="101">
        <f>Masters!M583</f>
        <v>3</v>
      </c>
      <c r="L579" s="101">
        <f>Masters!N583</f>
        <v>3</v>
      </c>
    </row>
    <row r="580">
      <c r="A580" s="101">
        <f>Masters!C584</f>
        <v>9523</v>
      </c>
      <c r="B580" s="102" t="str">
        <f>Masters!D584</f>
        <v>Electronics Testers</v>
      </c>
      <c r="C580" s="102" t="str">
        <f>Masters!E584</f>
        <v>Electronics assemblers, fabricators, inspectors and testers</v>
      </c>
      <c r="D580" s="101">
        <f>Masters!F584</f>
        <v>3</v>
      </c>
      <c r="E580" s="101">
        <f>Masters!G584</f>
        <v>3</v>
      </c>
      <c r="F580" s="101">
        <f>Masters!H584</f>
        <v>3</v>
      </c>
      <c r="G580" s="101">
        <f>Masters!I584</f>
        <v>4</v>
      </c>
      <c r="H580" s="101">
        <f>Masters!J584</f>
        <v>4</v>
      </c>
      <c r="I580" s="101">
        <f>Masters!K584</f>
        <v>4</v>
      </c>
      <c r="J580" s="101">
        <f>Masters!L584</f>
        <v>3</v>
      </c>
      <c r="K580" s="101">
        <f>Masters!M584</f>
        <v>3</v>
      </c>
      <c r="L580" s="101">
        <f>Masters!N584</f>
        <v>3</v>
      </c>
    </row>
    <row r="581">
      <c r="A581" s="101">
        <f>Masters!C585</f>
        <v>821</v>
      </c>
      <c r="B581" s="102" t="str">
        <f>Masters!D585</f>
        <v>Farmers and Farm Managers</v>
      </c>
      <c r="C581" s="102" t="str">
        <f>Masters!E585</f>
        <v>Managers in agriculture</v>
      </c>
      <c r="D581" s="101">
        <f>Masters!F585</f>
        <v>3</v>
      </c>
      <c r="E581" s="101">
        <f>Masters!G585</f>
        <v>3</v>
      </c>
      <c r="F581" s="101">
        <f>Masters!H585</f>
        <v>3</v>
      </c>
      <c r="G581" s="101">
        <f>Masters!I585</f>
        <v>4</v>
      </c>
      <c r="H581" s="101">
        <f>Masters!J585</f>
        <v>3</v>
      </c>
      <c r="I581" s="101">
        <f>Masters!K585</f>
        <v>4</v>
      </c>
      <c r="J581" s="101">
        <f>Masters!L585</f>
        <v>3</v>
      </c>
      <c r="K581" s="101">
        <f>Masters!M585</f>
        <v>4</v>
      </c>
      <c r="L581" s="101">
        <f>Masters!N585</f>
        <v>3</v>
      </c>
    </row>
    <row r="582">
      <c r="A582" s="101">
        <f>Masters!C586</f>
        <v>4422</v>
      </c>
      <c r="B582" s="102" t="str">
        <f>Masters!D586</f>
        <v>Correctional Service Officers</v>
      </c>
      <c r="C582" s="102" t="str">
        <f>Masters!E586</f>
        <v>Correctional service officers</v>
      </c>
      <c r="D582" s="101">
        <f>Masters!F586</f>
        <v>3</v>
      </c>
      <c r="E582" s="101">
        <f>Masters!G586</f>
        <v>4</v>
      </c>
      <c r="F582" s="101">
        <f>Masters!H586</f>
        <v>4</v>
      </c>
      <c r="G582" s="101">
        <f>Masters!I586</f>
        <v>4</v>
      </c>
      <c r="H582" s="101">
        <f>Masters!J586</f>
        <v>3</v>
      </c>
      <c r="I582" s="101">
        <f>Masters!K586</f>
        <v>4</v>
      </c>
      <c r="J582" s="101">
        <f>Masters!L586</f>
        <v>4</v>
      </c>
      <c r="K582" s="101">
        <f>Masters!M586</f>
        <v>4</v>
      </c>
      <c r="L582" s="101">
        <f>Masters!N586</f>
        <v>4</v>
      </c>
    </row>
    <row r="583">
      <c r="A583" s="101">
        <f>Masters!C587</f>
        <v>7532</v>
      </c>
      <c r="B583" s="102" t="str">
        <f>Masters!D587</f>
        <v>Deck Crew, Water Transport</v>
      </c>
      <c r="C583" s="102" t="str">
        <f>Masters!E587</f>
        <v>Water transport deck and engine room crew</v>
      </c>
      <c r="D583" s="101">
        <f>Masters!F587</f>
        <v>4</v>
      </c>
      <c r="E583" s="101">
        <f>Masters!G587</f>
        <v>4</v>
      </c>
      <c r="F583" s="101">
        <f>Masters!H587</f>
        <v>4</v>
      </c>
      <c r="G583" s="101">
        <f>Masters!I587</f>
        <v>4</v>
      </c>
      <c r="H583" s="101">
        <f>Masters!J587</f>
        <v>4</v>
      </c>
      <c r="I583" s="101">
        <f>Masters!K587</f>
        <v>4</v>
      </c>
      <c r="J583" s="101">
        <f>Masters!L587</f>
        <v>3</v>
      </c>
      <c r="K583" s="101">
        <f>Masters!M587</f>
        <v>4</v>
      </c>
      <c r="L583" s="101">
        <f>Masters!N587</f>
        <v>3</v>
      </c>
    </row>
    <row r="584">
      <c r="A584" s="101">
        <f>Masters!C588</f>
        <v>2272</v>
      </c>
      <c r="B584" s="102" t="str">
        <f>Masters!D588</f>
        <v>Flight Dispatchers</v>
      </c>
      <c r="C584" s="102" t="str">
        <f>Masters!E588</f>
        <v>Air traffic controllers and related occupations</v>
      </c>
      <c r="D584" s="101">
        <f>Masters!F588</f>
        <v>2</v>
      </c>
      <c r="E584" s="101">
        <f>Masters!G588</f>
        <v>2</v>
      </c>
      <c r="F584" s="101">
        <f>Masters!H588</f>
        <v>3</v>
      </c>
      <c r="G584" s="101">
        <f>Masters!I588</f>
        <v>3</v>
      </c>
      <c r="H584" s="101">
        <f>Masters!J588</f>
        <v>3</v>
      </c>
      <c r="I584" s="101">
        <f>Masters!K588</f>
        <v>3</v>
      </c>
      <c r="J584" s="101">
        <f>Masters!L588</f>
        <v>4</v>
      </c>
      <c r="K584" s="101">
        <f>Masters!M588</f>
        <v>4</v>
      </c>
      <c r="L584" s="101">
        <f>Masters!N588</f>
        <v>4</v>
      </c>
    </row>
    <row r="585">
      <c r="A585" s="101">
        <f>Masters!C589</f>
        <v>2122</v>
      </c>
      <c r="B585" s="102" t="str">
        <f>Masters!D589</f>
        <v>Forestry Professionals</v>
      </c>
      <c r="C585" s="102" t="str">
        <f>Masters!E589</f>
        <v>Forestry professionals</v>
      </c>
      <c r="D585" s="101">
        <f>Masters!F589</f>
        <v>1</v>
      </c>
      <c r="E585" s="101">
        <f>Masters!G589</f>
        <v>1</v>
      </c>
      <c r="F585" s="101">
        <f>Masters!H589</f>
        <v>3</v>
      </c>
      <c r="G585" s="101">
        <f>Masters!I589</f>
        <v>3</v>
      </c>
      <c r="H585" s="101">
        <f>Masters!J589</f>
        <v>3</v>
      </c>
      <c r="I585" s="101">
        <f>Masters!K589</f>
        <v>3</v>
      </c>
      <c r="J585" s="101">
        <f>Masters!L589</f>
        <v>4</v>
      </c>
      <c r="K585" s="101">
        <f>Masters!M589</f>
        <v>3</v>
      </c>
      <c r="L585" s="101">
        <f>Masters!N589</f>
        <v>3</v>
      </c>
    </row>
    <row r="586">
      <c r="A586" s="101">
        <f>Masters!C590</f>
        <v>8441</v>
      </c>
      <c r="B586" s="102" t="str">
        <f>Masters!D590</f>
        <v>Fishing Vessel Deckhands</v>
      </c>
      <c r="C586" s="102" t="str">
        <f>Masters!E590</f>
        <v>Fishing vessel deckhands</v>
      </c>
      <c r="D586" s="101">
        <f>Masters!F590</f>
        <v>4</v>
      </c>
      <c r="E586" s="101">
        <f>Masters!G590</f>
        <v>4</v>
      </c>
      <c r="F586" s="101">
        <f>Masters!H590</f>
        <v>4</v>
      </c>
      <c r="G586" s="101">
        <f>Masters!I590</f>
        <v>4</v>
      </c>
      <c r="H586" s="101">
        <f>Masters!J590</f>
        <v>3</v>
      </c>
      <c r="I586" s="101">
        <f>Masters!K590</f>
        <v>5</v>
      </c>
      <c r="J586" s="101">
        <f>Masters!L590</f>
        <v>3</v>
      </c>
      <c r="K586" s="101">
        <f>Masters!M590</f>
        <v>4</v>
      </c>
      <c r="L586" s="101">
        <f>Masters!N590</f>
        <v>3</v>
      </c>
    </row>
    <row r="587">
      <c r="A587" s="101">
        <f>Masters!C591</f>
        <v>4411</v>
      </c>
      <c r="B587" s="102" t="str">
        <f>Masters!D591</f>
        <v>Foster Parents</v>
      </c>
      <c r="C587" s="102" t="str">
        <f>Masters!E591</f>
        <v>Home child care providers</v>
      </c>
      <c r="D587" s="101">
        <f>Masters!F591</f>
        <v>3</v>
      </c>
      <c r="E587" s="101">
        <f>Masters!G591</f>
        <v>3</v>
      </c>
      <c r="F587" s="101">
        <f>Masters!H591</f>
        <v>4</v>
      </c>
      <c r="G587" s="101">
        <f>Masters!I591</f>
        <v>4</v>
      </c>
      <c r="H587" s="101">
        <f>Masters!J591</f>
        <v>4</v>
      </c>
      <c r="I587" s="101">
        <f>Masters!K591</f>
        <v>4</v>
      </c>
      <c r="J587" s="101">
        <f>Masters!L591</f>
        <v>3</v>
      </c>
      <c r="K587" s="101">
        <f>Masters!M591</f>
        <v>4</v>
      </c>
      <c r="L587" s="101">
        <f>Masters!N591</f>
        <v>3</v>
      </c>
    </row>
    <row r="588">
      <c r="A588" s="101">
        <f>Masters!C592</f>
        <v>8262</v>
      </c>
      <c r="B588" s="102" t="str">
        <f>Masters!D592</f>
        <v>Fishing Vessel Skippers and Fishermen/women</v>
      </c>
      <c r="C588" s="102" t="str">
        <f>Masters!E592</f>
        <v>Fishermen/women</v>
      </c>
      <c r="D588" s="101">
        <f>Masters!F592</f>
        <v>4</v>
      </c>
      <c r="E588" s="101">
        <f>Masters!G592</f>
        <v>4</v>
      </c>
      <c r="F588" s="101">
        <f>Masters!H592</f>
        <v>4</v>
      </c>
      <c r="G588" s="101">
        <f>Masters!I592</f>
        <v>4</v>
      </c>
      <c r="H588" s="101">
        <f>Masters!J592</f>
        <v>4</v>
      </c>
      <c r="I588" s="101">
        <f>Masters!K592</f>
        <v>4</v>
      </c>
      <c r="J588" s="101">
        <f>Masters!L592</f>
        <v>3</v>
      </c>
      <c r="K588" s="101">
        <f>Masters!M592</f>
        <v>4</v>
      </c>
      <c r="L588" s="101">
        <f>Masters!N592</f>
        <v>3</v>
      </c>
    </row>
    <row r="589">
      <c r="A589" s="101">
        <f>Masters!C593</f>
        <v>9416</v>
      </c>
      <c r="B589" s="102" t="str">
        <f>Masters!D593</f>
        <v>Forging Machine Operators</v>
      </c>
      <c r="C589" s="102" t="str">
        <f>Masters!E593</f>
        <v>Metalworking and forging machine operators</v>
      </c>
      <c r="D589" s="101">
        <f>Masters!F593</f>
        <v>4</v>
      </c>
      <c r="E589" s="101">
        <f>Masters!G593</f>
        <v>4</v>
      </c>
      <c r="F589" s="101">
        <f>Masters!H593</f>
        <v>4</v>
      </c>
      <c r="G589" s="101">
        <f>Masters!I593</f>
        <v>4</v>
      </c>
      <c r="H589" s="101">
        <f>Masters!J593</f>
        <v>3</v>
      </c>
      <c r="I589" s="101">
        <f>Masters!K593</f>
        <v>4</v>
      </c>
      <c r="J589" s="101">
        <f>Masters!L593</f>
        <v>4</v>
      </c>
      <c r="K589" s="101">
        <f>Masters!M593</f>
        <v>4</v>
      </c>
      <c r="L589" s="101">
        <f>Masters!N593</f>
        <v>3</v>
      </c>
    </row>
    <row r="590">
      <c r="A590" s="101">
        <f>Masters!C594</f>
        <v>9412</v>
      </c>
      <c r="B590" s="102" t="str">
        <f>Masters!D594</f>
        <v>Foundry Furnace Operators</v>
      </c>
      <c r="C590" s="102" t="str">
        <f>Masters!E594</f>
        <v>Foundry workers</v>
      </c>
      <c r="D590" s="101">
        <f>Masters!F594</f>
        <v>4</v>
      </c>
      <c r="E590" s="101">
        <f>Masters!G594</f>
        <v>4</v>
      </c>
      <c r="F590" s="101">
        <f>Masters!H594</f>
        <v>4</v>
      </c>
      <c r="G590" s="101">
        <f>Masters!I594</f>
        <v>4</v>
      </c>
      <c r="H590" s="101">
        <f>Masters!J594</f>
        <v>4</v>
      </c>
      <c r="I590" s="101">
        <f>Masters!K594</f>
        <v>4</v>
      </c>
      <c r="J590" s="101">
        <f>Masters!L594</f>
        <v>3</v>
      </c>
      <c r="K590" s="101">
        <f>Masters!M594</f>
        <v>4</v>
      </c>
      <c r="L590" s="101">
        <f>Masters!N594</f>
        <v>3</v>
      </c>
    </row>
    <row r="591">
      <c r="A591" s="101">
        <f>Masters!C595</f>
        <v>9534</v>
      </c>
      <c r="B591" s="102" t="str">
        <f>Masters!D595</f>
        <v>Furniture Finishers</v>
      </c>
      <c r="C591" s="102" t="str">
        <f>Masters!E595</f>
        <v>Furniture finishers and refinishers</v>
      </c>
      <c r="D591" s="101">
        <f>Masters!F595</f>
        <v>4</v>
      </c>
      <c r="E591" s="101">
        <f>Masters!G595</f>
        <v>4</v>
      </c>
      <c r="F591" s="101">
        <f>Masters!H595</f>
        <v>4</v>
      </c>
      <c r="G591" s="101">
        <f>Masters!I595</f>
        <v>4</v>
      </c>
      <c r="H591" s="101">
        <f>Masters!J595</f>
        <v>4</v>
      </c>
      <c r="I591" s="101">
        <f>Masters!K595</f>
        <v>4</v>
      </c>
      <c r="J591" s="101">
        <f>Masters!L595</f>
        <v>3</v>
      </c>
      <c r="K591" s="101">
        <f>Masters!M595</f>
        <v>4</v>
      </c>
      <c r="L591" s="101">
        <f>Masters!N595</f>
        <v>3</v>
      </c>
    </row>
    <row r="592">
      <c r="A592" s="101">
        <f>Masters!C596</f>
        <v>9534</v>
      </c>
      <c r="B592" s="102" t="str">
        <f>Masters!D596</f>
        <v>Furniture Refinishers</v>
      </c>
      <c r="C592" s="102" t="str">
        <f>Masters!E596</f>
        <v>Furniture finishers and refinishers</v>
      </c>
      <c r="D592" s="101">
        <f>Masters!F596</f>
        <v>4</v>
      </c>
      <c r="E592" s="101">
        <f>Masters!G596</f>
        <v>4</v>
      </c>
      <c r="F592" s="101">
        <f>Masters!H596</f>
        <v>4</v>
      </c>
      <c r="G592" s="101">
        <f>Masters!I596</f>
        <v>4</v>
      </c>
      <c r="H592" s="101">
        <f>Masters!J596</f>
        <v>4</v>
      </c>
      <c r="I592" s="101">
        <f>Masters!K596</f>
        <v>4</v>
      </c>
      <c r="J592" s="101">
        <f>Masters!L596</f>
        <v>3</v>
      </c>
      <c r="K592" s="101">
        <f>Masters!M596</f>
        <v>4</v>
      </c>
      <c r="L592" s="101">
        <f>Masters!N596</f>
        <v>3</v>
      </c>
    </row>
    <row r="593">
      <c r="A593" s="101">
        <f>Masters!C597</f>
        <v>1252</v>
      </c>
      <c r="B593" s="102" t="str">
        <f>Masters!D597</f>
        <v>Health Records Technicians</v>
      </c>
      <c r="C593" s="102" t="str">
        <f>Masters!E597</f>
        <v>Health information management occupations</v>
      </c>
      <c r="D593" s="101">
        <f>Masters!F597</f>
        <v>3</v>
      </c>
      <c r="E593" s="101">
        <f>Masters!G597</f>
        <v>3</v>
      </c>
      <c r="F593" s="101">
        <f>Masters!H597</f>
        <v>3</v>
      </c>
      <c r="G593" s="101">
        <f>Masters!I597</f>
        <v>4</v>
      </c>
      <c r="H593" s="101">
        <f>Masters!J597</f>
        <v>4</v>
      </c>
      <c r="I593" s="101">
        <f>Masters!K597</f>
        <v>3</v>
      </c>
      <c r="J593" s="101">
        <f>Masters!L597</f>
        <v>3</v>
      </c>
      <c r="K593" s="101">
        <f>Masters!M597</f>
        <v>3</v>
      </c>
      <c r="L593" s="101">
        <f>Masters!N597</f>
        <v>4</v>
      </c>
    </row>
    <row r="594">
      <c r="A594" s="101">
        <f>Masters!C598</f>
        <v>3232</v>
      </c>
      <c r="B594" s="102" t="str">
        <f>Masters!D598</f>
        <v>Herbalists</v>
      </c>
      <c r="C594" s="102" t="str">
        <f>Masters!E598</f>
        <v>Practitioners of natural healing</v>
      </c>
      <c r="D594" s="101">
        <f>Masters!F598</f>
        <v>3</v>
      </c>
      <c r="E594" s="101">
        <f>Masters!G598</f>
        <v>3</v>
      </c>
      <c r="F594" s="101">
        <f>Masters!H598</f>
        <v>4</v>
      </c>
      <c r="G594" s="101">
        <f>Masters!I598</f>
        <v>4</v>
      </c>
      <c r="H594" s="101">
        <f>Masters!J598</f>
        <v>4</v>
      </c>
      <c r="I594" s="101">
        <f>Masters!K598</f>
        <v>4</v>
      </c>
      <c r="J594" s="101">
        <f>Masters!L598</f>
        <v>3</v>
      </c>
      <c r="K594" s="101">
        <f>Masters!M598</f>
        <v>4</v>
      </c>
      <c r="L594" s="101">
        <f>Masters!N598</f>
        <v>3</v>
      </c>
    </row>
    <row r="595">
      <c r="A595" s="101">
        <f>Masters!C599</f>
        <v>3232</v>
      </c>
      <c r="B595" s="102" t="str">
        <f>Masters!D599</f>
        <v>Homeopaths</v>
      </c>
      <c r="C595" s="102" t="str">
        <f>Masters!E599</f>
        <v>Practitioners of natural healing</v>
      </c>
      <c r="D595" s="101">
        <f>Masters!F599</f>
        <v>3</v>
      </c>
      <c r="E595" s="101">
        <f>Masters!G599</f>
        <v>3</v>
      </c>
      <c r="F595" s="101">
        <f>Masters!H599</f>
        <v>4</v>
      </c>
      <c r="G595" s="101">
        <f>Masters!I599</f>
        <v>4</v>
      </c>
      <c r="H595" s="101">
        <f>Masters!J599</f>
        <v>4</v>
      </c>
      <c r="I595" s="101">
        <f>Masters!K599</f>
        <v>4</v>
      </c>
      <c r="J595" s="101">
        <f>Masters!L599</f>
        <v>3</v>
      </c>
      <c r="K595" s="101">
        <f>Masters!M599</f>
        <v>4</v>
      </c>
      <c r="L595" s="101">
        <f>Masters!N599</f>
        <v>3</v>
      </c>
    </row>
    <row r="596">
      <c r="A596" s="101">
        <f>Masters!C600</f>
        <v>8431</v>
      </c>
      <c r="B596" s="102" t="str">
        <f>Masters!D600</f>
        <v>General Farm Workers</v>
      </c>
      <c r="C596" s="102" t="str">
        <f>Masters!E600</f>
        <v>General farm workers</v>
      </c>
      <c r="D596" s="101">
        <f>Masters!F600</f>
        <v>4</v>
      </c>
      <c r="E596" s="101">
        <f>Masters!G600</f>
        <v>4</v>
      </c>
      <c r="F596" s="101">
        <f>Masters!H600</f>
        <v>4</v>
      </c>
      <c r="G596" s="101">
        <f>Masters!I600</f>
        <v>4</v>
      </c>
      <c r="H596" s="101">
        <f>Masters!J600</f>
        <v>4</v>
      </c>
      <c r="I596" s="101">
        <f>Masters!K600</f>
        <v>4</v>
      </c>
      <c r="J596" s="101">
        <f>Masters!L600</f>
        <v>3</v>
      </c>
      <c r="K596" s="101">
        <f>Masters!M600</f>
        <v>4</v>
      </c>
      <c r="L596" s="101">
        <f>Masters!N600</f>
        <v>3</v>
      </c>
    </row>
    <row r="597">
      <c r="A597" s="101">
        <f>Masters!C601</f>
        <v>2263</v>
      </c>
      <c r="B597" s="102" t="str">
        <f>Masters!D601</f>
        <v>Inspectors in Public and Environmental Health and Occupational Health and Safety</v>
      </c>
      <c r="C597" s="102" t="str">
        <f>Masters!E601</f>
        <v>Inspectors in public and environmental health and occupational health and safety</v>
      </c>
      <c r="D597" s="101">
        <f>Masters!F601</f>
        <v>3</v>
      </c>
      <c r="E597" s="101">
        <f>Masters!G601</f>
        <v>3</v>
      </c>
      <c r="F597" s="101">
        <f>Masters!H601</f>
        <v>3</v>
      </c>
      <c r="G597" s="101">
        <f>Masters!I601</f>
        <v>3</v>
      </c>
      <c r="H597" s="101">
        <f>Masters!J601</f>
        <v>3</v>
      </c>
      <c r="I597" s="101">
        <f>Masters!K601</f>
        <v>3</v>
      </c>
      <c r="J597" s="101">
        <f>Masters!L601</f>
        <v>4</v>
      </c>
      <c r="K597" s="101">
        <f>Masters!M601</f>
        <v>4</v>
      </c>
      <c r="L597" s="101">
        <f>Masters!N601</f>
        <v>4</v>
      </c>
    </row>
    <row r="598">
      <c r="A598" s="101">
        <f>Masters!C602</f>
        <v>7293</v>
      </c>
      <c r="B598" s="102" t="str">
        <f>Masters!D602</f>
        <v>Insulators</v>
      </c>
      <c r="C598" s="102" t="str">
        <f>Masters!E602</f>
        <v>Insulators</v>
      </c>
      <c r="D598" s="101">
        <f>Masters!F602</f>
        <v>3</v>
      </c>
      <c r="E598" s="101">
        <f>Masters!G602</f>
        <v>3</v>
      </c>
      <c r="F598" s="101">
        <f>Masters!H602</f>
        <v>4</v>
      </c>
      <c r="G598" s="101">
        <f>Masters!I602</f>
        <v>3</v>
      </c>
      <c r="H598" s="101">
        <f>Masters!J602</f>
        <v>4</v>
      </c>
      <c r="I598" s="101">
        <f>Masters!K602</f>
        <v>5</v>
      </c>
      <c r="J598" s="101">
        <f>Masters!L602</f>
        <v>3</v>
      </c>
      <c r="K598" s="101">
        <f>Masters!M602</f>
        <v>4</v>
      </c>
      <c r="L598" s="101">
        <f>Masters!N602</f>
        <v>3</v>
      </c>
    </row>
    <row r="599">
      <c r="A599" s="101">
        <f>Masters!C603</f>
        <v>1434</v>
      </c>
      <c r="B599" s="102" t="str">
        <f>Masters!D603</f>
        <v>Insurance Clerks</v>
      </c>
      <c r="C599" s="102" t="str">
        <f>Masters!E603</f>
        <v>Banking, insurance and other financial clerks</v>
      </c>
      <c r="D599" s="101">
        <f>Masters!F603</f>
        <v>3</v>
      </c>
      <c r="E599" s="101">
        <f>Masters!G603</f>
        <v>3</v>
      </c>
      <c r="F599" s="101">
        <f>Masters!H603</f>
        <v>3</v>
      </c>
      <c r="G599" s="101">
        <f>Masters!I603</f>
        <v>4</v>
      </c>
      <c r="H599" s="101">
        <f>Masters!J603</f>
        <v>4</v>
      </c>
      <c r="I599" s="101">
        <f>Masters!K603</f>
        <v>3</v>
      </c>
      <c r="J599" s="101">
        <f>Masters!L603</f>
        <v>3</v>
      </c>
      <c r="K599" s="101">
        <f>Masters!M603</f>
        <v>3</v>
      </c>
      <c r="L599" s="101">
        <f>Masters!N603</f>
        <v>4</v>
      </c>
    </row>
    <row r="600">
      <c r="A600" s="101">
        <f>Masters!C604</f>
        <v>5226</v>
      </c>
      <c r="B600" s="102" t="str">
        <f>Masters!D604</f>
        <v>Key Grips</v>
      </c>
      <c r="C600" s="102" t="str">
        <f>Masters!E604</f>
        <v>Other technical and co-ordinating occupations in motion pictures, broadcasting and the performing arts</v>
      </c>
      <c r="D600" s="101">
        <f>Masters!F604</f>
        <v>3</v>
      </c>
      <c r="E600" s="101">
        <f>Masters!G604</f>
        <v>3</v>
      </c>
      <c r="F600" s="101">
        <f>Masters!H604</f>
        <v>4</v>
      </c>
      <c r="G600" s="101">
        <f>Masters!I604</f>
        <v>3</v>
      </c>
      <c r="H600" s="101">
        <f>Masters!J604</f>
        <v>3</v>
      </c>
      <c r="I600" s="101">
        <f>Masters!K604</f>
        <v>4</v>
      </c>
      <c r="J600" s="101">
        <f>Masters!L604</f>
        <v>4</v>
      </c>
      <c r="K600" s="101">
        <f>Masters!M604</f>
        <v>4</v>
      </c>
      <c r="L600" s="101">
        <f>Masters!N604</f>
        <v>4</v>
      </c>
    </row>
    <row r="601">
      <c r="A601" s="101">
        <f>Masters!C605</f>
        <v>3144</v>
      </c>
      <c r="B601" s="102" t="str">
        <f>Masters!D605</f>
        <v>Kinesiologists</v>
      </c>
      <c r="C601" s="102" t="str">
        <f>Masters!E605</f>
        <v>Other professional occupations in therapy and assessment</v>
      </c>
      <c r="D601" s="101">
        <f>Masters!F605</f>
        <v>2</v>
      </c>
      <c r="E601" s="101">
        <f>Masters!G605</f>
        <v>2</v>
      </c>
      <c r="F601" s="101">
        <f>Masters!H605</f>
        <v>3</v>
      </c>
      <c r="G601" s="101">
        <f>Masters!I605</f>
        <v>3</v>
      </c>
      <c r="H601" s="101">
        <f>Masters!J605</f>
        <v>3</v>
      </c>
      <c r="I601" s="101">
        <f>Masters!K605</f>
        <v>4</v>
      </c>
      <c r="J601" s="101">
        <f>Masters!L605</f>
        <v>3</v>
      </c>
      <c r="K601" s="101">
        <f>Masters!M605</f>
        <v>4</v>
      </c>
      <c r="L601" s="101">
        <f>Masters!N605</f>
        <v>4</v>
      </c>
    </row>
    <row r="602">
      <c r="A602" s="101">
        <f>Masters!C606</f>
        <v>2225</v>
      </c>
      <c r="B602" s="102" t="str">
        <f>Masters!D606</f>
        <v>Lawn Care Specialists</v>
      </c>
      <c r="C602" s="102" t="str">
        <f>Masters!E606</f>
        <v>Landscape and horticulture technicians and specialists</v>
      </c>
      <c r="D602" s="101">
        <f>Masters!F606</f>
        <v>3</v>
      </c>
      <c r="E602" s="101">
        <f>Masters!G606</f>
        <v>3</v>
      </c>
      <c r="F602" s="101">
        <f>Masters!H606</f>
        <v>4</v>
      </c>
      <c r="G602" s="101">
        <f>Masters!I606</f>
        <v>4</v>
      </c>
      <c r="H602" s="101">
        <f>Masters!J606</f>
        <v>4</v>
      </c>
      <c r="I602" s="101">
        <f>Masters!K606</f>
        <v>4</v>
      </c>
      <c r="J602" s="101">
        <f>Masters!L606</f>
        <v>3</v>
      </c>
      <c r="K602" s="101">
        <f>Masters!M606</f>
        <v>4</v>
      </c>
      <c r="L602" s="101">
        <f>Masters!N606</f>
        <v>3</v>
      </c>
    </row>
    <row r="603">
      <c r="A603" s="101">
        <f>Masters!C607</f>
        <v>6622</v>
      </c>
      <c r="B603" s="102" t="str">
        <f>Masters!D607</f>
        <v>Grocery Clerks and Store Shelf Stockers</v>
      </c>
      <c r="C603" s="102" t="str">
        <f>Masters!E607</f>
        <v>Store shelf stockers, clerks and order fillers</v>
      </c>
      <c r="D603" s="101">
        <f>Masters!F607</f>
        <v>4</v>
      </c>
      <c r="E603" s="101">
        <f>Masters!G607</f>
        <v>4</v>
      </c>
      <c r="F603" s="101">
        <f>Masters!H607</f>
        <v>4</v>
      </c>
      <c r="G603" s="101">
        <f>Masters!I607</f>
        <v>4</v>
      </c>
      <c r="H603" s="101">
        <f>Masters!J607</f>
        <v>4</v>
      </c>
      <c r="I603" s="101">
        <f>Masters!K607</f>
        <v>4</v>
      </c>
      <c r="J603" s="101">
        <f>Masters!L607</f>
        <v>3</v>
      </c>
      <c r="K603" s="101">
        <f>Masters!M607</f>
        <v>4</v>
      </c>
      <c r="L603" s="101">
        <f>Masters!N607</f>
        <v>3</v>
      </c>
    </row>
    <row r="604">
      <c r="A604" s="101">
        <f>Masters!C608</f>
        <v>9527</v>
      </c>
      <c r="B604" s="102" t="str">
        <f>Masters!D608</f>
        <v>Inspectors and Testers, Electrical Apparatus Manufacturing</v>
      </c>
      <c r="C604" s="102" t="str">
        <f>Masters!E608</f>
        <v>Machine operators and inspectors, electrical apparatus manufacturing</v>
      </c>
      <c r="D604" s="101">
        <f>Masters!F608</f>
        <v>3</v>
      </c>
      <c r="E604" s="101">
        <f>Masters!G608</f>
        <v>4</v>
      </c>
      <c r="F604" s="101">
        <f>Masters!H608</f>
        <v>4</v>
      </c>
      <c r="G604" s="101">
        <f>Masters!I608</f>
        <v>4</v>
      </c>
      <c r="H604" s="101">
        <f>Masters!J608</f>
        <v>4</v>
      </c>
      <c r="I604" s="101">
        <f>Masters!K608</f>
        <v>5</v>
      </c>
      <c r="J604" s="101">
        <f>Masters!L608</f>
        <v>3</v>
      </c>
      <c r="K604" s="101">
        <f>Masters!M608</f>
        <v>4</v>
      </c>
      <c r="L604" s="101">
        <f>Masters!N608</f>
        <v>3</v>
      </c>
    </row>
    <row r="605">
      <c r="A605" s="101">
        <f>Masters!C609</f>
        <v>9436</v>
      </c>
      <c r="B605" s="102" t="str">
        <f>Masters!D609</f>
        <v>Lumber Graders</v>
      </c>
      <c r="C605" s="102" t="str">
        <f>Masters!E609</f>
        <v>Lumber graders and other wood processing inspectors and graders</v>
      </c>
      <c r="D605" s="101">
        <f>Masters!F609</f>
        <v>4</v>
      </c>
      <c r="E605" s="101">
        <f>Masters!G609</f>
        <v>4</v>
      </c>
      <c r="F605" s="101">
        <f>Masters!H609</f>
        <v>4</v>
      </c>
      <c r="G605" s="101">
        <f>Masters!I609</f>
        <v>4</v>
      </c>
      <c r="H605" s="101">
        <f>Masters!J609</f>
        <v>3</v>
      </c>
      <c r="I605" s="101">
        <f>Masters!K609</f>
        <v>4</v>
      </c>
      <c r="J605" s="101">
        <f>Masters!L609</f>
        <v>4</v>
      </c>
      <c r="K605" s="101">
        <f>Masters!M609</f>
        <v>3</v>
      </c>
      <c r="L605" s="101">
        <f>Masters!N609</f>
        <v>4</v>
      </c>
    </row>
    <row r="606">
      <c r="A606" s="101">
        <f>Masters!C610</f>
        <v>2275</v>
      </c>
      <c r="B606" s="102" t="str">
        <f>Masters!D610</f>
        <v>Marine Traffic Regulators</v>
      </c>
      <c r="C606" s="102" t="str">
        <f>Masters!E610</f>
        <v>Railway traffic controllers and marine traffic regulators</v>
      </c>
      <c r="D606" s="101">
        <f>Masters!F610</f>
        <v>3</v>
      </c>
      <c r="E606" s="101">
        <f>Masters!G610</f>
        <v>3</v>
      </c>
      <c r="F606" s="101">
        <f>Masters!H610</f>
        <v>3</v>
      </c>
      <c r="G606" s="101">
        <f>Masters!I610</f>
        <v>3</v>
      </c>
      <c r="H606" s="101">
        <f>Masters!J610</f>
        <v>3</v>
      </c>
      <c r="I606" s="101">
        <f>Masters!K610</f>
        <v>3</v>
      </c>
      <c r="J606" s="101">
        <f>Masters!L610</f>
        <v>4</v>
      </c>
      <c r="K606" s="101">
        <f>Masters!M610</f>
        <v>4</v>
      </c>
      <c r="L606" s="101">
        <f>Masters!N610</f>
        <v>4</v>
      </c>
    </row>
    <row r="607">
      <c r="A607" s="101">
        <f>Masters!C611</f>
        <v>9412</v>
      </c>
      <c r="B607" s="102" t="str">
        <f>Masters!D611</f>
        <v>Machine Mouldmakers and Coremakers</v>
      </c>
      <c r="C607" s="102" t="str">
        <f>Masters!E611</f>
        <v>Foundry workers</v>
      </c>
      <c r="D607" s="101">
        <f>Masters!F611</f>
        <v>4</v>
      </c>
      <c r="E607" s="101">
        <f>Masters!G611</f>
        <v>4</v>
      </c>
      <c r="F607" s="101">
        <f>Masters!H611</f>
        <v>4</v>
      </c>
      <c r="G607" s="101">
        <f>Masters!I611</f>
        <v>4</v>
      </c>
      <c r="H607" s="101">
        <f>Masters!J611</f>
        <v>4</v>
      </c>
      <c r="I607" s="101">
        <f>Masters!K611</f>
        <v>4</v>
      </c>
      <c r="J607" s="101">
        <f>Masters!L611</f>
        <v>3</v>
      </c>
      <c r="K607" s="101">
        <f>Masters!M611</f>
        <v>4</v>
      </c>
      <c r="L607" s="101">
        <f>Masters!N611</f>
        <v>3</v>
      </c>
    </row>
    <row r="608">
      <c r="A608" s="101">
        <f>Masters!C612</f>
        <v>6562</v>
      </c>
      <c r="B608" s="102" t="str">
        <f>Masters!D612</f>
        <v>Manicurists and Pedicurists</v>
      </c>
      <c r="C608" s="102" t="str">
        <f>Masters!E612</f>
        <v>Estheticians, electrologists and related occupations</v>
      </c>
      <c r="D608" s="101">
        <f>Masters!F612</f>
        <v>4</v>
      </c>
      <c r="E608" s="101">
        <f>Masters!G612</f>
        <v>4</v>
      </c>
      <c r="F608" s="101">
        <f>Masters!H612</f>
        <v>5</v>
      </c>
      <c r="G608" s="101">
        <f>Masters!I612</f>
        <v>4</v>
      </c>
      <c r="H608" s="101">
        <f>Masters!J612</f>
        <v>3</v>
      </c>
      <c r="I608" s="101">
        <f>Masters!K612</f>
        <v>5</v>
      </c>
      <c r="J608" s="101">
        <f>Masters!L612</f>
        <v>3</v>
      </c>
      <c r="K608" s="101">
        <f>Masters!M612</f>
        <v>3</v>
      </c>
      <c r="L608" s="101">
        <f>Masters!N612</f>
        <v>3</v>
      </c>
    </row>
    <row r="609">
      <c r="A609" s="101">
        <f>Masters!C613</f>
        <v>7452</v>
      </c>
      <c r="B609" s="102" t="str">
        <f>Masters!D613</f>
        <v>Material Handlers (Equipment Operators)</v>
      </c>
      <c r="C609" s="102" t="str">
        <f>Masters!E613</f>
        <v>Material handlers</v>
      </c>
      <c r="D609" s="101">
        <f>Masters!F613</f>
        <v>4</v>
      </c>
      <c r="E609" s="101">
        <f>Masters!G613</f>
        <v>4</v>
      </c>
      <c r="F609" s="101">
        <f>Masters!H613</f>
        <v>4</v>
      </c>
      <c r="G609" s="101">
        <f>Masters!I613</f>
        <v>4</v>
      </c>
      <c r="H609" s="101">
        <f>Masters!J613</f>
        <v>4</v>
      </c>
      <c r="I609" s="101">
        <f>Masters!K613</f>
        <v>4</v>
      </c>
      <c r="J609" s="101">
        <f>Masters!L613</f>
        <v>3</v>
      </c>
      <c r="K609" s="101">
        <f>Masters!M613</f>
        <v>4</v>
      </c>
      <c r="L609" s="101">
        <f>Masters!N613</f>
        <v>3</v>
      </c>
    </row>
    <row r="610">
      <c r="A610" s="101">
        <f>Masters!C614</f>
        <v>7452</v>
      </c>
      <c r="B610" s="102" t="str">
        <f>Masters!D614</f>
        <v>Material Handlers (Manual)</v>
      </c>
      <c r="C610" s="102" t="str">
        <f>Masters!E614</f>
        <v>Material handlers</v>
      </c>
      <c r="D610" s="101">
        <f>Masters!F614</f>
        <v>4</v>
      </c>
      <c r="E610" s="101">
        <f>Masters!G614</f>
        <v>4</v>
      </c>
      <c r="F610" s="101">
        <f>Masters!H614</f>
        <v>4</v>
      </c>
      <c r="G610" s="101">
        <f>Masters!I614</f>
        <v>4</v>
      </c>
      <c r="H610" s="101">
        <f>Masters!J614</f>
        <v>4</v>
      </c>
      <c r="I610" s="101">
        <f>Masters!K614</f>
        <v>4</v>
      </c>
      <c r="J610" s="101">
        <f>Masters!L614</f>
        <v>3</v>
      </c>
      <c r="K610" s="101">
        <f>Masters!M614</f>
        <v>4</v>
      </c>
      <c r="L610" s="101">
        <f>Masters!N614</f>
        <v>3</v>
      </c>
    </row>
    <row r="611">
      <c r="A611" s="101">
        <f>Masters!C615</f>
        <v>8241</v>
      </c>
      <c r="B611" s="102" t="str">
        <f>Masters!D615</f>
        <v>Mechanical Harvester and Forwarder Operators</v>
      </c>
      <c r="C611" s="102" t="str">
        <f>Masters!E615</f>
        <v>Logging machinery operators</v>
      </c>
      <c r="D611" s="101">
        <f>Masters!F615</f>
        <v>3</v>
      </c>
      <c r="E611" s="101">
        <f>Masters!G615</f>
        <v>4</v>
      </c>
      <c r="F611" s="101">
        <f>Masters!H615</f>
        <v>5</v>
      </c>
      <c r="G611" s="101">
        <f>Masters!I615</f>
        <v>3</v>
      </c>
      <c r="H611" s="101">
        <f>Masters!J615</f>
        <v>4</v>
      </c>
      <c r="I611" s="101">
        <f>Masters!K615</f>
        <v>5</v>
      </c>
      <c r="J611" s="101">
        <f>Masters!L615</f>
        <v>3</v>
      </c>
      <c r="K611" s="101">
        <f>Masters!M615</f>
        <v>4</v>
      </c>
      <c r="L611" s="101">
        <f>Masters!N615</f>
        <v>3</v>
      </c>
    </row>
    <row r="612">
      <c r="A612" s="101">
        <f>Masters!C616</f>
        <v>4216</v>
      </c>
      <c r="B612" s="102" t="str">
        <f>Masters!D616</f>
        <v>Modelling and Finishing School Instructors</v>
      </c>
      <c r="C612" s="102" t="str">
        <f>Masters!E616</f>
        <v>Other instructors</v>
      </c>
      <c r="D612" s="101">
        <f>Masters!F616</f>
        <v>3</v>
      </c>
      <c r="E612" s="101">
        <f>Masters!G616</f>
        <v>3</v>
      </c>
      <c r="F612" s="101">
        <f>Masters!H616</f>
        <v>4</v>
      </c>
      <c r="G612" s="101">
        <f>Masters!I616</f>
        <v>3</v>
      </c>
      <c r="H612" s="101">
        <f>Masters!J616</f>
        <v>3</v>
      </c>
      <c r="I612" s="101">
        <f>Masters!K616</f>
        <v>4</v>
      </c>
      <c r="J612" s="101">
        <f>Masters!L616</f>
        <v>4</v>
      </c>
      <c r="K612" s="101">
        <f>Masters!M616</f>
        <v>4</v>
      </c>
      <c r="L612" s="101">
        <f>Masters!N616</f>
        <v>4</v>
      </c>
    </row>
    <row r="613">
      <c r="A613" s="101">
        <f>Masters!C617</f>
        <v>9522</v>
      </c>
      <c r="B613" s="102" t="str">
        <f>Masters!D617</f>
        <v>Motor Vehicle Inspectors and Testers</v>
      </c>
      <c r="C613" s="102" t="str">
        <f>Masters!E617</f>
        <v>Motor vehicle assemblers, inspectors and testers</v>
      </c>
      <c r="D613" s="101">
        <f>Masters!F617</f>
        <v>3</v>
      </c>
      <c r="E613" s="101">
        <f>Masters!G617</f>
        <v>3</v>
      </c>
      <c r="F613" s="101">
        <f>Masters!H617</f>
        <v>4</v>
      </c>
      <c r="G613" s="101">
        <f>Masters!I617</f>
        <v>3</v>
      </c>
      <c r="H613" s="101">
        <f>Masters!J617</f>
        <v>3</v>
      </c>
      <c r="I613" s="101">
        <f>Masters!K617</f>
        <v>4</v>
      </c>
      <c r="J613" s="101">
        <f>Masters!L617</f>
        <v>4</v>
      </c>
      <c r="K613" s="101">
        <f>Masters!M617</f>
        <v>4</v>
      </c>
      <c r="L613" s="101">
        <f>Masters!N617</f>
        <v>4</v>
      </c>
    </row>
    <row r="614">
      <c r="A614" s="101">
        <f>Masters!C618</f>
        <v>8241</v>
      </c>
      <c r="B614" s="102" t="str">
        <f>Masters!D618</f>
        <v>Mechanical Tree Processor and Loader Operators</v>
      </c>
      <c r="C614" s="102" t="str">
        <f>Masters!E618</f>
        <v>Logging machinery operators</v>
      </c>
      <c r="D614" s="101">
        <f>Masters!F618</f>
        <v>3</v>
      </c>
      <c r="E614" s="101">
        <f>Masters!G618</f>
        <v>4</v>
      </c>
      <c r="F614" s="101">
        <f>Masters!H618</f>
        <v>5</v>
      </c>
      <c r="G614" s="101">
        <f>Masters!I618</f>
        <v>3</v>
      </c>
      <c r="H614" s="101">
        <f>Masters!J618</f>
        <v>4</v>
      </c>
      <c r="I614" s="101">
        <f>Masters!K618</f>
        <v>5</v>
      </c>
      <c r="J614" s="101">
        <f>Masters!L618</f>
        <v>3</v>
      </c>
      <c r="K614" s="101">
        <f>Masters!M618</f>
        <v>4</v>
      </c>
      <c r="L614" s="101">
        <f>Masters!N618</f>
        <v>3</v>
      </c>
    </row>
    <row r="615">
      <c r="A615" s="101">
        <f>Masters!C619</f>
        <v>8232</v>
      </c>
      <c r="B615" s="102" t="str">
        <f>Masters!D619</f>
        <v>Oil and Gas Well Drillers and Well Servicers</v>
      </c>
      <c r="C615" s="102" t="str">
        <f>Masters!E619</f>
        <v>Oil and gas well drillers, servicers, testers and related workers</v>
      </c>
      <c r="D615" s="101">
        <f>Masters!F619</f>
        <v>3</v>
      </c>
      <c r="E615" s="101">
        <f>Masters!G619</f>
        <v>3</v>
      </c>
      <c r="F615" s="101">
        <f>Masters!H619</f>
        <v>4</v>
      </c>
      <c r="G615" s="101">
        <f>Masters!I619</f>
        <v>4</v>
      </c>
      <c r="H615" s="101">
        <f>Masters!J619</f>
        <v>4</v>
      </c>
      <c r="I615" s="101">
        <f>Masters!K619</f>
        <v>4</v>
      </c>
      <c r="J615" s="101">
        <f>Masters!L619</f>
        <v>3</v>
      </c>
      <c r="K615" s="101">
        <f>Masters!M619</f>
        <v>4</v>
      </c>
      <c r="L615" s="101">
        <f>Masters!N619</f>
        <v>3</v>
      </c>
    </row>
    <row r="616">
      <c r="A616" s="101">
        <f>Masters!C620</f>
        <v>9412</v>
      </c>
      <c r="B616" s="102" t="str">
        <f>Masters!D620</f>
        <v>Metal Casters</v>
      </c>
      <c r="C616" s="102" t="str">
        <f>Masters!E620</f>
        <v>Foundry workers</v>
      </c>
      <c r="D616" s="101">
        <f>Masters!F620</f>
        <v>4</v>
      </c>
      <c r="E616" s="101">
        <f>Masters!G620</f>
        <v>4</v>
      </c>
      <c r="F616" s="101">
        <f>Masters!H620</f>
        <v>4</v>
      </c>
      <c r="G616" s="101">
        <f>Masters!I620</f>
        <v>4</v>
      </c>
      <c r="H616" s="101">
        <f>Masters!J620</f>
        <v>4</v>
      </c>
      <c r="I616" s="101">
        <f>Masters!K620</f>
        <v>4</v>
      </c>
      <c r="J616" s="101">
        <f>Masters!L620</f>
        <v>3</v>
      </c>
      <c r="K616" s="101">
        <f>Masters!M620</f>
        <v>4</v>
      </c>
      <c r="L616" s="101">
        <f>Masters!N620</f>
        <v>3</v>
      </c>
    </row>
    <row r="617">
      <c r="A617" s="101">
        <f>Masters!C621</f>
        <v>3125</v>
      </c>
      <c r="B617" s="102" t="str">
        <f>Masters!D621</f>
        <v>Orthoptists</v>
      </c>
      <c r="C617" s="102" t="str">
        <f>Masters!E621</f>
        <v>Other professional occupations in health diagnosing and treating</v>
      </c>
      <c r="D617" s="101">
        <f>Masters!F621</f>
        <v>3</v>
      </c>
      <c r="E617" s="101">
        <f>Masters!G621</f>
        <v>3</v>
      </c>
      <c r="F617" s="101">
        <f>Masters!H621</f>
        <v>3</v>
      </c>
      <c r="G617" s="101">
        <f>Masters!I621</f>
        <v>3</v>
      </c>
      <c r="H617" s="101">
        <f>Masters!J621</f>
        <v>2</v>
      </c>
      <c r="I617" s="101">
        <f>Masters!K621</f>
        <v>4</v>
      </c>
      <c r="J617" s="101">
        <f>Masters!L621</f>
        <v>4</v>
      </c>
      <c r="K617" s="101">
        <f>Masters!M621</f>
        <v>3</v>
      </c>
      <c r="L617" s="101">
        <f>Masters!N621</f>
        <v>3</v>
      </c>
    </row>
    <row r="618">
      <c r="A618" s="101">
        <f>Masters!C622</f>
        <v>1434</v>
      </c>
      <c r="B618" s="102" t="str">
        <f>Masters!D622</f>
        <v>Other Financial Clerks</v>
      </c>
      <c r="C618" s="102" t="str">
        <f>Masters!E622</f>
        <v>Banking, insurance and other financial clerks</v>
      </c>
      <c r="D618" s="101">
        <f>Masters!F622</f>
        <v>3</v>
      </c>
      <c r="E618" s="101">
        <f>Masters!G622</f>
        <v>3</v>
      </c>
      <c r="F618" s="101">
        <f>Masters!H622</f>
        <v>3</v>
      </c>
      <c r="G618" s="101">
        <f>Masters!I622</f>
        <v>4</v>
      </c>
      <c r="H618" s="101">
        <f>Masters!J622</f>
        <v>4</v>
      </c>
      <c r="I618" s="101">
        <f>Masters!K622</f>
        <v>3</v>
      </c>
      <c r="J618" s="101">
        <f>Masters!L622</f>
        <v>3</v>
      </c>
      <c r="K618" s="101">
        <f>Masters!M622</f>
        <v>3</v>
      </c>
      <c r="L618" s="101">
        <f>Masters!N622</f>
        <v>4</v>
      </c>
    </row>
    <row r="619">
      <c r="A619" s="101">
        <f>Masters!C623</f>
        <v>3413</v>
      </c>
      <c r="B619" s="102" t="str">
        <f>Masters!D623</f>
        <v>Nurse Aides, Orderlies and Patient Service Associates</v>
      </c>
      <c r="C619" s="102" t="str">
        <f>Masters!E623</f>
        <v>Nurse aides, orderlies and patient service associates</v>
      </c>
      <c r="D619" s="101">
        <f>Masters!F623</f>
        <v>3</v>
      </c>
      <c r="E619" s="101">
        <f>Masters!G623</f>
        <v>4</v>
      </c>
      <c r="F619" s="101">
        <f>Masters!H623</f>
        <v>4</v>
      </c>
      <c r="G619" s="101">
        <f>Masters!I623</f>
        <v>4</v>
      </c>
      <c r="H619" s="101">
        <f>Masters!J623</f>
        <v>4</v>
      </c>
      <c r="I619" s="101">
        <f>Masters!K623</f>
        <v>4</v>
      </c>
      <c r="J619" s="101">
        <f>Masters!L623</f>
        <v>4</v>
      </c>
      <c r="K619" s="101">
        <f>Masters!M623</f>
        <v>4</v>
      </c>
      <c r="L619" s="101">
        <f>Masters!N623</f>
        <v>3</v>
      </c>
    </row>
    <row r="620">
      <c r="A620" s="101">
        <f>Masters!C624</f>
        <v>3414</v>
      </c>
      <c r="B620" s="102" t="str">
        <f>Masters!D624</f>
        <v>Optical/Ophthalmic Laboratory Technicians and Assistants</v>
      </c>
      <c r="C620" s="102" t="str">
        <f>Masters!E624</f>
        <v>Other assisting occupations in support of health services</v>
      </c>
      <c r="D620" s="101">
        <f>Masters!F624</f>
        <v>4</v>
      </c>
      <c r="E620" s="101">
        <f>Masters!G624</f>
        <v>4</v>
      </c>
      <c r="F620" s="101">
        <f>Masters!H624</f>
        <v>4</v>
      </c>
      <c r="G620" s="101">
        <f>Masters!I624</f>
        <v>4</v>
      </c>
      <c r="H620" s="101">
        <f>Masters!J624</f>
        <v>4</v>
      </c>
      <c r="I620" s="101">
        <f>Masters!K624</f>
        <v>4</v>
      </c>
      <c r="J620" s="101">
        <f>Masters!L624</f>
        <v>4</v>
      </c>
      <c r="K620" s="101">
        <f>Masters!M624</f>
        <v>3</v>
      </c>
      <c r="L620" s="101">
        <f>Masters!N624</f>
        <v>3</v>
      </c>
    </row>
    <row r="621">
      <c r="A621" s="101">
        <f>Masters!C625</f>
        <v>9235</v>
      </c>
      <c r="B621" s="102" t="str">
        <f>Masters!D625</f>
        <v>Papermaking and Coating Control Operators</v>
      </c>
      <c r="C621" s="102" t="str">
        <f>Masters!E625</f>
        <v>Pulping, papermaking and coating control operators</v>
      </c>
      <c r="D621" s="101">
        <f>Masters!F625</f>
        <v>3</v>
      </c>
      <c r="E621" s="101">
        <f>Masters!G625</f>
        <v>3</v>
      </c>
      <c r="F621" s="101">
        <f>Masters!H625</f>
        <v>4</v>
      </c>
      <c r="G621" s="101">
        <f>Masters!I625</f>
        <v>3</v>
      </c>
      <c r="H621" s="101">
        <f>Masters!J625</f>
        <v>3</v>
      </c>
      <c r="I621" s="101">
        <f>Masters!K625</f>
        <v>4</v>
      </c>
      <c r="J621" s="101">
        <f>Masters!L625</f>
        <v>4</v>
      </c>
      <c r="K621" s="101">
        <f>Masters!M625</f>
        <v>4</v>
      </c>
      <c r="L621" s="101">
        <f>Masters!N625</f>
        <v>4</v>
      </c>
    </row>
    <row r="622">
      <c r="A622" s="101">
        <f>Masters!C626</f>
        <v>7612</v>
      </c>
      <c r="B622" s="102" t="str">
        <f>Masters!D626</f>
        <v>Other Trades Helpers and Labourers</v>
      </c>
      <c r="C622" s="102" t="str">
        <f>Masters!E626</f>
        <v>Other trades helpers and labourers</v>
      </c>
      <c r="D622" s="101">
        <f>Masters!F626</f>
        <v>4</v>
      </c>
      <c r="E622" s="101">
        <f>Masters!G626</f>
        <v>4</v>
      </c>
      <c r="F622" s="101">
        <f>Masters!H626</f>
        <v>4</v>
      </c>
      <c r="G622" s="101">
        <f>Masters!I626</f>
        <v>4</v>
      </c>
      <c r="H622" s="101">
        <f>Masters!J626</f>
        <v>4</v>
      </c>
      <c r="I622" s="101">
        <f>Masters!K626</f>
        <v>4</v>
      </c>
      <c r="J622" s="101">
        <f>Masters!L626</f>
        <v>3</v>
      </c>
      <c r="K622" s="101">
        <f>Masters!M626</f>
        <v>4</v>
      </c>
      <c r="L622" s="101">
        <f>Masters!N626</f>
        <v>3</v>
      </c>
    </row>
    <row r="623">
      <c r="A623" s="101">
        <f>Masters!C627</f>
        <v>4161</v>
      </c>
      <c r="B623" s="102" t="str">
        <f>Masters!D627</f>
        <v>Patent Agents</v>
      </c>
      <c r="C623" s="102" t="str">
        <f>Masters!E627</f>
        <v>Natural and applied science policy researchers, consultants and program officers</v>
      </c>
      <c r="D623" s="101">
        <f>Masters!F627</f>
        <v>2</v>
      </c>
      <c r="E623" s="101">
        <f>Masters!G627</f>
        <v>2</v>
      </c>
      <c r="F623" s="101">
        <f>Masters!H627</f>
        <v>3</v>
      </c>
      <c r="G623" s="101">
        <f>Masters!I627</f>
        <v>3</v>
      </c>
      <c r="H623" s="101">
        <f>Masters!J627</f>
        <v>3</v>
      </c>
      <c r="I623" s="101">
        <f>Masters!K627</f>
        <v>3</v>
      </c>
      <c r="J623" s="101">
        <f>Masters!L627</f>
        <v>4</v>
      </c>
      <c r="K623" s="101">
        <f>Masters!M627</f>
        <v>4</v>
      </c>
      <c r="L623" s="101">
        <f>Masters!N627</f>
        <v>4</v>
      </c>
    </row>
    <row r="624">
      <c r="A624" s="101">
        <f>Masters!C628</f>
        <v>9436</v>
      </c>
      <c r="B624" s="102" t="str">
        <f>Masters!D628</f>
        <v>Other Wood Processing Inspectors and Graders</v>
      </c>
      <c r="C624" s="102" t="str">
        <f>Masters!E628</f>
        <v>Lumber graders and other wood processing inspectors and graders</v>
      </c>
      <c r="D624" s="101">
        <f>Masters!F628</f>
        <v>4</v>
      </c>
      <c r="E624" s="101">
        <f>Masters!G628</f>
        <v>4</v>
      </c>
      <c r="F624" s="101">
        <f>Masters!H628</f>
        <v>4</v>
      </c>
      <c r="G624" s="101">
        <f>Masters!I628</f>
        <v>4</v>
      </c>
      <c r="H624" s="101">
        <f>Masters!J628</f>
        <v>3</v>
      </c>
      <c r="I624" s="101">
        <f>Masters!K628</f>
        <v>4</v>
      </c>
      <c r="J624" s="101">
        <f>Masters!L628</f>
        <v>4</v>
      </c>
      <c r="K624" s="101">
        <f>Masters!M628</f>
        <v>3</v>
      </c>
      <c r="L624" s="101">
        <f>Masters!N628</f>
        <v>4</v>
      </c>
    </row>
    <row r="625">
      <c r="A625" s="101">
        <f>Masters!C629</f>
        <v>2255</v>
      </c>
      <c r="B625" s="102" t="str">
        <f>Masters!D629</f>
        <v>Photogrammetric Technologists and Technicians</v>
      </c>
      <c r="C625" s="102" t="str">
        <f>Masters!E629</f>
        <v>Technical occupations in geomatics and meteorology</v>
      </c>
      <c r="D625" s="101">
        <f>Masters!F629</f>
        <v>2</v>
      </c>
      <c r="E625" s="101">
        <f>Masters!G629</f>
        <v>3</v>
      </c>
      <c r="F625" s="101">
        <f>Masters!H629</f>
        <v>2</v>
      </c>
      <c r="G625" s="101">
        <f>Masters!I629</f>
        <v>2</v>
      </c>
      <c r="H625" s="101">
        <f>Masters!J629</f>
        <v>2</v>
      </c>
      <c r="I625" s="101">
        <f>Masters!K629</f>
        <v>3</v>
      </c>
      <c r="J625" s="101">
        <f>Masters!L629</f>
        <v>4</v>
      </c>
      <c r="K625" s="101">
        <f>Masters!M629</f>
        <v>4</v>
      </c>
      <c r="L625" s="101">
        <f>Masters!N629</f>
        <v>4</v>
      </c>
    </row>
    <row r="626">
      <c r="A626" s="101">
        <f>Masters!C630</f>
        <v>2115</v>
      </c>
      <c r="B626" s="102" t="str">
        <f>Masters!D630</f>
        <v>Physical Rehabilitation Technicians</v>
      </c>
      <c r="C626" s="102" t="str">
        <f>Masters!E630</f>
        <v>Other professional occupations in physical sciences</v>
      </c>
      <c r="D626" s="101">
        <f>Masters!F630</f>
        <v>3</v>
      </c>
      <c r="E626" s="101">
        <f>Masters!G630</f>
        <v>3</v>
      </c>
      <c r="F626" s="101">
        <f>Masters!H630</f>
        <v>4</v>
      </c>
      <c r="G626" s="101">
        <f>Masters!I630</f>
        <v>4</v>
      </c>
      <c r="H626" s="101">
        <f>Masters!J630</f>
        <v>4</v>
      </c>
      <c r="I626" s="101">
        <f>Masters!K630</f>
        <v>4</v>
      </c>
      <c r="J626" s="101">
        <f>Masters!L630</f>
        <v>4</v>
      </c>
      <c r="K626" s="101">
        <f>Masters!M630</f>
        <v>3</v>
      </c>
      <c r="L626" s="101">
        <f>Masters!N630</f>
        <v>3</v>
      </c>
    </row>
    <row r="627">
      <c r="A627" s="101">
        <f>Masters!C631</f>
        <v>4423</v>
      </c>
      <c r="B627" s="102" t="str">
        <f>Masters!D631</f>
        <v>Parking Control Officers</v>
      </c>
      <c r="C627" s="102" t="str">
        <f>Masters!E631</f>
        <v>By-law enforcement and other regulatory officers, n.e.c.</v>
      </c>
      <c r="D627" s="101">
        <f>Masters!F631</f>
        <v>3</v>
      </c>
      <c r="E627" s="101">
        <f>Masters!G631</f>
        <v>4</v>
      </c>
      <c r="F627" s="101">
        <f>Masters!H631</f>
        <v>4</v>
      </c>
      <c r="G627" s="101">
        <f>Masters!I631</f>
        <v>4</v>
      </c>
      <c r="H627" s="101">
        <f>Masters!J631</f>
        <v>4</v>
      </c>
      <c r="I627" s="101">
        <f>Masters!K631</f>
        <v>4</v>
      </c>
      <c r="J627" s="101">
        <f>Masters!L631</f>
        <v>3</v>
      </c>
      <c r="K627" s="101">
        <f>Masters!M631</f>
        <v>4</v>
      </c>
      <c r="L627" s="101">
        <f>Masters!N631</f>
        <v>4</v>
      </c>
    </row>
    <row r="628">
      <c r="A628" s="101">
        <f>Masters!C632</f>
        <v>7444</v>
      </c>
      <c r="B628" s="102" t="str">
        <f>Masters!D632</f>
        <v>Pest Controllers and Fumigators</v>
      </c>
      <c r="C628" s="102" t="str">
        <f>Masters!E632</f>
        <v>Pest controllers and fumigators</v>
      </c>
      <c r="D628" s="101">
        <f>Masters!F632</f>
        <v>3</v>
      </c>
      <c r="E628" s="101">
        <f>Masters!G632</f>
        <v>4</v>
      </c>
      <c r="F628" s="101">
        <f>Masters!H632</f>
        <v>4</v>
      </c>
      <c r="G628" s="101">
        <f>Masters!I632</f>
        <v>4</v>
      </c>
      <c r="H628" s="101">
        <f>Masters!J632</f>
        <v>3</v>
      </c>
      <c r="I628" s="101">
        <f>Masters!K632</f>
        <v>5</v>
      </c>
      <c r="J628" s="101">
        <f>Masters!L632</f>
        <v>4</v>
      </c>
      <c r="K628" s="101">
        <f>Masters!M632</f>
        <v>4</v>
      </c>
      <c r="L628" s="101">
        <f>Masters!N632</f>
        <v>3</v>
      </c>
    </row>
    <row r="629">
      <c r="A629" s="101">
        <f>Masters!C633</f>
        <v>4012</v>
      </c>
      <c r="B629" s="102" t="str">
        <f>Masters!D633</f>
        <v>Post-Secondary Research Assistants</v>
      </c>
      <c r="C629" s="102" t="str">
        <f>Masters!E633</f>
        <v>Post-secondary teaching and research assistants</v>
      </c>
      <c r="D629" s="101">
        <f>Masters!F633</f>
        <v>2</v>
      </c>
      <c r="E629" s="101">
        <f>Masters!G633</f>
        <v>2</v>
      </c>
      <c r="F629" s="101">
        <f>Masters!H633</f>
        <v>3</v>
      </c>
      <c r="G629" s="101">
        <f>Masters!I633</f>
        <v>3</v>
      </c>
      <c r="H629" s="101">
        <f>Masters!J633</f>
        <v>3</v>
      </c>
      <c r="I629" s="101">
        <f>Masters!K633</f>
        <v>3</v>
      </c>
      <c r="J629" s="101">
        <f>Masters!L633</f>
        <v>4</v>
      </c>
      <c r="K629" s="101">
        <f>Masters!M633</f>
        <v>4</v>
      </c>
      <c r="L629" s="101">
        <f>Masters!N633</f>
        <v>4</v>
      </c>
    </row>
    <row r="630">
      <c r="A630" s="101">
        <f>Masters!C634</f>
        <v>4012</v>
      </c>
      <c r="B630" s="102" t="str">
        <f>Masters!D634</f>
        <v>Post-Secondary Teaching Assistants</v>
      </c>
      <c r="C630" s="102" t="str">
        <f>Masters!E634</f>
        <v>Post-secondary teaching and research assistants</v>
      </c>
      <c r="D630" s="101">
        <f>Masters!F634</f>
        <v>2</v>
      </c>
      <c r="E630" s="101">
        <f>Masters!G634</f>
        <v>2</v>
      </c>
      <c r="F630" s="101">
        <f>Masters!H634</f>
        <v>3</v>
      </c>
      <c r="G630" s="101">
        <f>Masters!I634</f>
        <v>3</v>
      </c>
      <c r="H630" s="101">
        <f>Masters!J634</f>
        <v>3</v>
      </c>
      <c r="I630" s="101">
        <f>Masters!K634</f>
        <v>3</v>
      </c>
      <c r="J630" s="101">
        <f>Masters!L634</f>
        <v>4</v>
      </c>
      <c r="K630" s="101">
        <f>Masters!M634</f>
        <v>4</v>
      </c>
      <c r="L630" s="101">
        <f>Masters!N634</f>
        <v>4</v>
      </c>
    </row>
    <row r="631">
      <c r="A631" s="101">
        <f>Masters!C635</f>
        <v>9535</v>
      </c>
      <c r="B631" s="102" t="str">
        <f>Masters!D635</f>
        <v>Plastic Products Assemblers and Finishers</v>
      </c>
      <c r="C631" s="102" t="str">
        <f>Masters!E635</f>
        <v>Plastic products assemblers, finishers and inspectors</v>
      </c>
      <c r="D631" s="101">
        <f>Masters!F635</f>
        <v>4</v>
      </c>
      <c r="E631" s="101">
        <f>Masters!G635</f>
        <v>4</v>
      </c>
      <c r="F631" s="101">
        <f>Masters!H635</f>
        <v>4</v>
      </c>
      <c r="G631" s="101">
        <f>Masters!I635</f>
        <v>4</v>
      </c>
      <c r="H631" s="101">
        <f>Masters!J635</f>
        <v>4</v>
      </c>
      <c r="I631" s="101">
        <f>Masters!K635</f>
        <v>4</v>
      </c>
      <c r="J631" s="101">
        <f>Masters!L635</f>
        <v>3</v>
      </c>
      <c r="K631" s="101">
        <f>Masters!M635</f>
        <v>4</v>
      </c>
      <c r="L631" s="101">
        <f>Masters!N635</f>
        <v>3</v>
      </c>
    </row>
    <row r="632">
      <c r="A632" s="101">
        <f>Masters!C636</f>
        <v>1452</v>
      </c>
      <c r="B632" s="102" t="str">
        <f>Masters!D636</f>
        <v>Proofreaders</v>
      </c>
      <c r="C632" s="102" t="str">
        <f>Masters!E636</f>
        <v>Correspondence, publication and regulatory clerks</v>
      </c>
      <c r="D632" s="101">
        <f>Masters!F636</f>
        <v>3</v>
      </c>
      <c r="E632" s="101">
        <f>Masters!G636</f>
        <v>3</v>
      </c>
      <c r="F632" s="101">
        <f>Masters!H636</f>
        <v>4</v>
      </c>
      <c r="G632" s="101">
        <f>Masters!I636</f>
        <v>4</v>
      </c>
      <c r="H632" s="101">
        <f>Masters!J636</f>
        <v>3</v>
      </c>
      <c r="I632" s="101">
        <f>Masters!K636</f>
        <v>1</v>
      </c>
      <c r="J632" s="101">
        <f>Masters!L636</f>
        <v>3</v>
      </c>
      <c r="K632" s="101">
        <f>Masters!M636</f>
        <v>3</v>
      </c>
      <c r="L632" s="101">
        <f>Masters!N636</f>
        <v>4</v>
      </c>
    </row>
    <row r="633">
      <c r="A633" s="101">
        <f>Masters!C637</f>
        <v>5226</v>
      </c>
      <c r="B633" s="102" t="str">
        <f>Masters!D637</f>
        <v>Property Masters</v>
      </c>
      <c r="C633" s="102" t="str">
        <f>Masters!E637</f>
        <v>Other technical and co-ordinating occupations in motion pictures, broadcasting and the performing arts</v>
      </c>
      <c r="D633" s="101">
        <f>Masters!F637</f>
        <v>3</v>
      </c>
      <c r="E633" s="101">
        <f>Masters!G637</f>
        <v>3</v>
      </c>
      <c r="F633" s="101">
        <f>Masters!H637</f>
        <v>3</v>
      </c>
      <c r="G633" s="101">
        <f>Masters!I637</f>
        <v>3</v>
      </c>
      <c r="H633" s="101">
        <f>Masters!J637</f>
        <v>3</v>
      </c>
      <c r="I633" s="101">
        <f>Masters!K637</f>
        <v>3</v>
      </c>
      <c r="J633" s="101">
        <f>Masters!L637</f>
        <v>4</v>
      </c>
      <c r="K633" s="101">
        <f>Masters!M637</f>
        <v>4</v>
      </c>
      <c r="L633" s="101">
        <f>Masters!N637</f>
        <v>4</v>
      </c>
    </row>
    <row r="634">
      <c r="A634" s="101">
        <f>Masters!C638</f>
        <v>9535</v>
      </c>
      <c r="B634" s="102" t="str">
        <f>Masters!D638</f>
        <v>Plastics Products Inspectors</v>
      </c>
      <c r="C634" s="102" t="str">
        <f>Masters!E638</f>
        <v>Plastic products assemblers, finishers and inspectors</v>
      </c>
      <c r="D634" s="101">
        <f>Masters!F638</f>
        <v>4</v>
      </c>
      <c r="E634" s="101">
        <f>Masters!G638</f>
        <v>4</v>
      </c>
      <c r="F634" s="101">
        <f>Masters!H638</f>
        <v>4</v>
      </c>
      <c r="G634" s="101">
        <f>Masters!I638</f>
        <v>4</v>
      </c>
      <c r="H634" s="101">
        <f>Masters!J638</f>
        <v>4</v>
      </c>
      <c r="I634" s="101">
        <f>Masters!K638</f>
        <v>4</v>
      </c>
      <c r="J634" s="101">
        <f>Masters!L638</f>
        <v>3</v>
      </c>
      <c r="K634" s="101">
        <f>Masters!M638</f>
        <v>4</v>
      </c>
      <c r="L634" s="101">
        <f>Masters!N638</f>
        <v>3</v>
      </c>
    </row>
    <row r="635">
      <c r="A635" s="101">
        <f>Masters!C639</f>
        <v>9235</v>
      </c>
      <c r="B635" s="102" t="str">
        <f>Masters!D639</f>
        <v>Pulping Control Operators</v>
      </c>
      <c r="C635" s="102" t="str">
        <f>Masters!E639</f>
        <v>Pulping, papermaking and coating control operators</v>
      </c>
      <c r="D635" s="101">
        <f>Masters!F639</f>
        <v>3</v>
      </c>
      <c r="E635" s="101">
        <f>Masters!G639</f>
        <v>3</v>
      </c>
      <c r="F635" s="101">
        <f>Masters!H639</f>
        <v>3</v>
      </c>
      <c r="G635" s="101">
        <f>Masters!I639</f>
        <v>3</v>
      </c>
      <c r="H635" s="101">
        <f>Masters!J639</f>
        <v>3</v>
      </c>
      <c r="I635" s="101">
        <f>Masters!K639</f>
        <v>3</v>
      </c>
      <c r="J635" s="101">
        <f>Masters!L639</f>
        <v>4</v>
      </c>
      <c r="K635" s="101">
        <f>Masters!M639</f>
        <v>4</v>
      </c>
      <c r="L635" s="101">
        <f>Masters!N639</f>
        <v>4</v>
      </c>
    </row>
    <row r="636">
      <c r="A636" s="101">
        <f>Masters!C640</f>
        <v>1225</v>
      </c>
      <c r="B636" s="102" t="str">
        <f>Masters!D640</f>
        <v>Purchasing Agents and Officers</v>
      </c>
      <c r="C636" s="102" t="str">
        <f>Masters!E640</f>
        <v>Purchasing agents and officers</v>
      </c>
      <c r="D636" s="101">
        <f>Masters!F640</f>
        <v>2</v>
      </c>
      <c r="E636" s="101">
        <f>Masters!G640</f>
        <v>2</v>
      </c>
      <c r="F636" s="101">
        <f>Masters!H640</f>
        <v>3</v>
      </c>
      <c r="G636" s="101">
        <f>Masters!I640</f>
        <v>3</v>
      </c>
      <c r="H636" s="101">
        <f>Masters!J640</f>
        <v>3</v>
      </c>
      <c r="I636" s="101">
        <f>Masters!K640</f>
        <v>3</v>
      </c>
      <c r="J636" s="101">
        <f>Masters!L640</f>
        <v>4</v>
      </c>
      <c r="K636" s="101">
        <f>Masters!M640</f>
        <v>4</v>
      </c>
      <c r="L636" s="101">
        <f>Masters!N640</f>
        <v>4</v>
      </c>
    </row>
    <row r="637">
      <c r="A637" s="101">
        <f>Masters!C641</f>
        <v>7361</v>
      </c>
      <c r="B637" s="102" t="str">
        <f>Masters!D641</f>
        <v>Railway Locomotive Engineers</v>
      </c>
      <c r="C637" s="102" t="str">
        <f>Masters!E641</f>
        <v>Railway and yard locomotive engineers</v>
      </c>
      <c r="D637" s="101">
        <f>Masters!F641</f>
        <v>3</v>
      </c>
      <c r="E637" s="101">
        <f>Masters!G641</f>
        <v>3</v>
      </c>
      <c r="F637" s="101">
        <f>Masters!H641</f>
        <v>3</v>
      </c>
      <c r="G637" s="101">
        <f>Masters!I641</f>
        <v>3</v>
      </c>
      <c r="H637" s="101">
        <f>Masters!J641</f>
        <v>3</v>
      </c>
      <c r="I637" s="101">
        <f>Masters!K641</f>
        <v>4</v>
      </c>
      <c r="J637" s="101">
        <f>Masters!L641</f>
        <v>4</v>
      </c>
      <c r="K637" s="101">
        <f>Masters!M641</f>
        <v>4</v>
      </c>
      <c r="L637" s="101">
        <f>Masters!N641</f>
        <v>3</v>
      </c>
    </row>
    <row r="638">
      <c r="A638" s="101">
        <f>Masters!C642</f>
        <v>9432</v>
      </c>
      <c r="B638" s="102" t="str">
        <f>Masters!D642</f>
        <v>Pulp Mill Machine Operators</v>
      </c>
      <c r="C638" s="102" t="str">
        <f>Masters!E642</f>
        <v>Pulp mill machine operators</v>
      </c>
      <c r="D638" s="101">
        <f>Masters!F642</f>
        <v>3</v>
      </c>
      <c r="E638" s="101">
        <f>Masters!G642</f>
        <v>4</v>
      </c>
      <c r="F638" s="101">
        <f>Masters!H642</f>
        <v>4</v>
      </c>
      <c r="G638" s="101">
        <f>Masters!I642</f>
        <v>4</v>
      </c>
      <c r="H638" s="101">
        <f>Masters!J642</f>
        <v>4</v>
      </c>
      <c r="I638" s="101">
        <f>Masters!K642</f>
        <v>4</v>
      </c>
      <c r="J638" s="101">
        <f>Masters!L642</f>
        <v>4</v>
      </c>
      <c r="K638" s="101">
        <f>Masters!M642</f>
        <v>4</v>
      </c>
      <c r="L638" s="101">
        <f>Masters!N642</f>
        <v>3</v>
      </c>
    </row>
    <row r="639">
      <c r="A639" s="101">
        <f>Masters!C643</f>
        <v>2275</v>
      </c>
      <c r="B639" s="102" t="str">
        <f>Masters!D643</f>
        <v>Railway Traffic Controllers</v>
      </c>
      <c r="C639" s="102" t="str">
        <f>Masters!E643</f>
        <v>Railway traffic controllers and marine traffic regulators</v>
      </c>
      <c r="D639" s="101">
        <f>Masters!F643</f>
        <v>3</v>
      </c>
      <c r="E639" s="101">
        <f>Masters!G643</f>
        <v>3</v>
      </c>
      <c r="F639" s="101">
        <f>Masters!H643</f>
        <v>3</v>
      </c>
      <c r="G639" s="101">
        <f>Masters!I643</f>
        <v>2</v>
      </c>
      <c r="H639" s="101">
        <f>Masters!J643</f>
        <v>4</v>
      </c>
      <c r="I639" s="101">
        <f>Masters!K643</f>
        <v>3</v>
      </c>
      <c r="J639" s="101">
        <f>Masters!L643</f>
        <v>4</v>
      </c>
      <c r="K639" s="101">
        <f>Masters!M643</f>
        <v>4</v>
      </c>
      <c r="L639" s="101">
        <f>Masters!N643</f>
        <v>4</v>
      </c>
    </row>
    <row r="640">
      <c r="A640" s="101">
        <f>Masters!C644</f>
        <v>5131</v>
      </c>
      <c r="B640" s="102" t="str">
        <f>Masters!D644</f>
        <v>Record Producers</v>
      </c>
      <c r="C640" s="102" t="str">
        <f>Masters!E644</f>
        <v>Producers, directors, choreographers and related occupations</v>
      </c>
      <c r="D640" s="101">
        <f>Masters!F644</f>
        <v>2</v>
      </c>
      <c r="E640" s="101">
        <f>Masters!G644</f>
        <v>2</v>
      </c>
      <c r="F640" s="101">
        <f>Masters!H644</f>
        <v>3</v>
      </c>
      <c r="G640" s="101">
        <f>Masters!I644</f>
        <v>3</v>
      </c>
      <c r="H640" s="101">
        <f>Masters!J644</f>
        <v>3</v>
      </c>
      <c r="I640" s="101">
        <f>Masters!K644</f>
        <v>3</v>
      </c>
      <c r="J640" s="101">
        <f>Masters!L644</f>
        <v>4</v>
      </c>
      <c r="K640" s="101">
        <f>Masters!M644</f>
        <v>4</v>
      </c>
      <c r="L640" s="101">
        <f>Masters!N644</f>
        <v>4</v>
      </c>
    </row>
    <row r="641">
      <c r="A641" s="101">
        <f>Masters!C645</f>
        <v>1253</v>
      </c>
      <c r="B641" s="102" t="str">
        <f>Masters!D645</f>
        <v>Records Management Clerks</v>
      </c>
      <c r="C641" s="102" t="str">
        <f>Masters!E645</f>
        <v>Records management technicians</v>
      </c>
      <c r="D641" s="101">
        <f>Masters!F645</f>
        <v>3</v>
      </c>
      <c r="E641" s="101">
        <f>Masters!G645</f>
        <v>3</v>
      </c>
      <c r="F641" s="101">
        <f>Masters!H645</f>
        <v>3</v>
      </c>
      <c r="G641" s="101">
        <f>Masters!I645</f>
        <v>4</v>
      </c>
      <c r="H641" s="101">
        <f>Masters!J645</f>
        <v>4</v>
      </c>
      <c r="I641" s="101">
        <f>Masters!K645</f>
        <v>3</v>
      </c>
      <c r="J641" s="101">
        <f>Masters!L645</f>
        <v>3</v>
      </c>
      <c r="K641" s="101">
        <f>Masters!M645</f>
        <v>3</v>
      </c>
      <c r="L641" s="101">
        <f>Masters!N645</f>
        <v>4</v>
      </c>
    </row>
    <row r="642">
      <c r="A642" s="101">
        <f>Masters!C646</f>
        <v>4167</v>
      </c>
      <c r="B642" s="102" t="str">
        <f>Masters!D646</f>
        <v>Recreation and Sports Program Supervisors</v>
      </c>
      <c r="C642" s="102" t="str">
        <f>Masters!E646</f>
        <v>Recreation, sports and fitness policy researchers, consultants and program officers</v>
      </c>
      <c r="D642" s="101">
        <f>Masters!F646</f>
        <v>3</v>
      </c>
      <c r="E642" s="101">
        <f>Masters!G646</f>
        <v>3</v>
      </c>
      <c r="F642" s="101">
        <f>Masters!H646</f>
        <v>3</v>
      </c>
      <c r="G642" s="101">
        <f>Masters!I646</f>
        <v>3</v>
      </c>
      <c r="H642" s="101">
        <f>Masters!J646</f>
        <v>3</v>
      </c>
      <c r="I642" s="101">
        <f>Masters!K646</f>
        <v>3</v>
      </c>
      <c r="J642" s="101">
        <f>Masters!L646</f>
        <v>4</v>
      </c>
      <c r="K642" s="101">
        <f>Masters!M646</f>
        <v>4</v>
      </c>
      <c r="L642" s="101">
        <f>Masters!N646</f>
        <v>4</v>
      </c>
    </row>
    <row r="643">
      <c r="A643" s="101">
        <f>Masters!C647</f>
        <v>6222</v>
      </c>
      <c r="B643" s="102" t="str">
        <f>Masters!D647</f>
        <v>Retail and Wholesale Buyers</v>
      </c>
      <c r="C643" s="102" t="str">
        <f>Masters!E647</f>
        <v>Retail and wholesale buyers</v>
      </c>
      <c r="D643" s="101">
        <f>Masters!F647</f>
        <v>3</v>
      </c>
      <c r="E643" s="101">
        <f>Masters!G647</f>
        <v>3</v>
      </c>
      <c r="F643" s="101">
        <f>Masters!H647</f>
        <v>3</v>
      </c>
      <c r="G643" s="101">
        <f>Masters!I647</f>
        <v>3</v>
      </c>
      <c r="H643" s="101">
        <f>Masters!J647</f>
        <v>3</v>
      </c>
      <c r="I643" s="101">
        <f>Masters!K647</f>
        <v>3</v>
      </c>
      <c r="J643" s="101">
        <f>Masters!L647</f>
        <v>4</v>
      </c>
      <c r="K643" s="101">
        <f>Masters!M647</f>
        <v>4</v>
      </c>
      <c r="L643" s="101">
        <f>Masters!N647</f>
        <v>4</v>
      </c>
    </row>
    <row r="644">
      <c r="A644" s="101">
        <f>Masters!C648</f>
        <v>7531</v>
      </c>
      <c r="B644" s="102" t="str">
        <f>Masters!D648</f>
        <v>Railway Track Maintenance Workers</v>
      </c>
      <c r="C644" s="102" t="str">
        <f>Masters!E648</f>
        <v>Railway yard and track maintenance workers</v>
      </c>
      <c r="D644" s="101">
        <f>Masters!F648</f>
        <v>3</v>
      </c>
      <c r="E644" s="101">
        <f>Masters!G648</f>
        <v>4</v>
      </c>
      <c r="F644" s="101">
        <f>Masters!H648</f>
        <v>5</v>
      </c>
      <c r="G644" s="101">
        <f>Masters!I648</f>
        <v>3</v>
      </c>
      <c r="H644" s="101">
        <f>Masters!J648</f>
        <v>4</v>
      </c>
      <c r="I644" s="101">
        <f>Masters!K648</f>
        <v>5</v>
      </c>
      <c r="J644" s="101">
        <f>Masters!L648</f>
        <v>3</v>
      </c>
      <c r="K644" s="101">
        <f>Masters!M648</f>
        <v>4</v>
      </c>
      <c r="L644" s="101">
        <f>Masters!N648</f>
        <v>3</v>
      </c>
    </row>
    <row r="645">
      <c r="A645" s="101">
        <f>Masters!C649</f>
        <v>9423</v>
      </c>
      <c r="B645" s="102" t="str">
        <f>Masters!D649</f>
        <v>Rubber Processing Machine Operators</v>
      </c>
      <c r="C645" s="102" t="str">
        <f>Masters!E649</f>
        <v>Rubber processing machine operators and related workers</v>
      </c>
      <c r="D645" s="101">
        <f>Masters!F649</f>
        <v>4</v>
      </c>
      <c r="E645" s="101">
        <f>Masters!G649</f>
        <v>4</v>
      </c>
      <c r="F645" s="101">
        <f>Masters!H649</f>
        <v>4</v>
      </c>
      <c r="G645" s="101">
        <f>Masters!I649</f>
        <v>4</v>
      </c>
      <c r="H645" s="101">
        <f>Masters!J649</f>
        <v>4</v>
      </c>
      <c r="I645" s="101">
        <f>Masters!K649</f>
        <v>4</v>
      </c>
      <c r="J645" s="101">
        <f>Masters!L649</f>
        <v>3</v>
      </c>
      <c r="K645" s="101">
        <f>Masters!M649</f>
        <v>4</v>
      </c>
      <c r="L645" s="101">
        <f>Masters!N649</f>
        <v>3</v>
      </c>
    </row>
    <row r="646">
      <c r="A646" s="101">
        <f>Masters!C650</f>
        <v>9423</v>
      </c>
      <c r="B646" s="102" t="str">
        <f>Masters!D650</f>
        <v>Rubber Products Inspectors</v>
      </c>
      <c r="C646" s="102" t="str">
        <f>Masters!E650</f>
        <v>Rubber processing machine operators and related workers</v>
      </c>
      <c r="D646" s="101">
        <f>Masters!F650</f>
        <v>4</v>
      </c>
      <c r="E646" s="101">
        <f>Masters!G650</f>
        <v>4</v>
      </c>
      <c r="F646" s="101">
        <f>Masters!H650</f>
        <v>4</v>
      </c>
      <c r="G646" s="101">
        <f>Masters!I650</f>
        <v>4</v>
      </c>
      <c r="H646" s="101">
        <f>Masters!J650</f>
        <v>4</v>
      </c>
      <c r="I646" s="101">
        <f>Masters!K650</f>
        <v>4</v>
      </c>
      <c r="J646" s="101">
        <f>Masters!L650</f>
        <v>3</v>
      </c>
      <c r="K646" s="101">
        <f>Masters!M650</f>
        <v>4</v>
      </c>
      <c r="L646" s="101">
        <f>Masters!N650</f>
        <v>3</v>
      </c>
    </row>
    <row r="647">
      <c r="A647" s="101">
        <f>Masters!C651</f>
        <v>1521</v>
      </c>
      <c r="B647" s="102" t="str">
        <f>Masters!D651</f>
        <v>Shippers and Receivers</v>
      </c>
      <c r="C647" s="102" t="str">
        <f>Masters!E651</f>
        <v>Shippers and receivers</v>
      </c>
      <c r="D647" s="101">
        <f>Masters!F651</f>
        <v>3</v>
      </c>
      <c r="E647" s="101">
        <f>Masters!G651</f>
        <v>3</v>
      </c>
      <c r="F647" s="101">
        <f>Masters!H651</f>
        <v>3</v>
      </c>
      <c r="G647" s="101">
        <f>Masters!I651</f>
        <v>4</v>
      </c>
      <c r="H647" s="101">
        <f>Masters!J651</f>
        <v>4</v>
      </c>
      <c r="I647" s="101">
        <f>Masters!K651</f>
        <v>3</v>
      </c>
      <c r="J647" s="101">
        <f>Masters!L651</f>
        <v>3</v>
      </c>
      <c r="K647" s="101">
        <f>Masters!M651</f>
        <v>3</v>
      </c>
      <c r="L647" s="101">
        <f>Masters!N651</f>
        <v>4</v>
      </c>
    </row>
    <row r="648">
      <c r="A648" s="101">
        <f>Masters!C652</f>
        <v>6321</v>
      </c>
      <c r="B648" s="102" t="str">
        <f>Masters!D652</f>
        <v>Sous-Chefs</v>
      </c>
      <c r="C648" s="102" t="str">
        <f>Masters!E652</f>
        <v>Chefs</v>
      </c>
      <c r="D648" s="101">
        <f>Masters!F652</f>
        <v>3</v>
      </c>
      <c r="E648" s="101">
        <f>Masters!G652</f>
        <v>3</v>
      </c>
      <c r="F648" s="101">
        <f>Masters!H652</f>
        <v>3</v>
      </c>
      <c r="G648" s="101">
        <f>Masters!I652</f>
        <v>4</v>
      </c>
      <c r="H648" s="101">
        <f>Masters!J652</f>
        <v>4</v>
      </c>
      <c r="I648" s="101">
        <f>Masters!K652</f>
        <v>4</v>
      </c>
      <c r="J648" s="101">
        <f>Masters!L652</f>
        <v>3</v>
      </c>
      <c r="K648" s="101">
        <f>Masters!M652</f>
        <v>3</v>
      </c>
      <c r="L648" s="101">
        <f>Masters!N652</f>
        <v>3</v>
      </c>
    </row>
    <row r="649">
      <c r="A649" s="101">
        <f>Masters!C653</f>
        <v>3111</v>
      </c>
      <c r="B649" s="102" t="str">
        <f>Masters!D653</f>
        <v>Specialists in Clinical Medicine</v>
      </c>
      <c r="C649" s="102" t="str">
        <f>Masters!E653</f>
        <v>Specialist physicians</v>
      </c>
      <c r="D649" s="101">
        <f>Masters!F653</f>
        <v>1</v>
      </c>
      <c r="E649" s="101">
        <f>Masters!G653</f>
        <v>1</v>
      </c>
      <c r="F649" s="101">
        <f>Masters!H653</f>
        <v>2</v>
      </c>
      <c r="G649" s="101">
        <f>Masters!I653</f>
        <v>2</v>
      </c>
      <c r="H649" s="101">
        <f>Masters!J653</f>
        <v>2</v>
      </c>
      <c r="I649" s="101">
        <f>Masters!K653</f>
        <v>3</v>
      </c>
      <c r="J649" s="101">
        <f>Masters!L653</f>
        <v>3</v>
      </c>
      <c r="K649" s="101">
        <f>Masters!M653</f>
        <v>2</v>
      </c>
      <c r="L649" s="101">
        <f>Masters!N653</f>
        <v>2</v>
      </c>
    </row>
    <row r="650">
      <c r="A650" s="101">
        <f>Masters!C654</f>
        <v>3111</v>
      </c>
      <c r="B650" s="102" t="str">
        <f>Masters!D654</f>
        <v>Specialists in Surgery</v>
      </c>
      <c r="C650" s="102" t="str">
        <f>Masters!E654</f>
        <v>Specialist physicians</v>
      </c>
      <c r="D650" s="101">
        <f>Masters!F654</f>
        <v>1</v>
      </c>
      <c r="E650" s="101">
        <f>Masters!G654</f>
        <v>1</v>
      </c>
      <c r="F650" s="101">
        <f>Masters!H654</f>
        <v>2</v>
      </c>
      <c r="G650" s="101">
        <f>Masters!I654</f>
        <v>1</v>
      </c>
      <c r="H650" s="101">
        <f>Masters!J654</f>
        <v>1</v>
      </c>
      <c r="I650" s="101">
        <f>Masters!K654</f>
        <v>3</v>
      </c>
      <c r="J650" s="101">
        <f>Masters!L654</f>
        <v>1</v>
      </c>
      <c r="K650" s="101">
        <f>Masters!M654</f>
        <v>1</v>
      </c>
      <c r="L650" s="101">
        <f>Masters!N654</f>
        <v>1</v>
      </c>
    </row>
    <row r="651">
      <c r="A651" s="101">
        <f>Masters!C655</f>
        <v>3141</v>
      </c>
      <c r="B651" s="102" t="str">
        <f>Masters!D655</f>
        <v>Speech-Language Pathologists</v>
      </c>
      <c r="C651" s="102" t="str">
        <f>Masters!E655</f>
        <v>Audiologists and speech-language pathologists</v>
      </c>
      <c r="D651" s="101">
        <f>Masters!F655</f>
        <v>2</v>
      </c>
      <c r="E651" s="101">
        <f>Masters!G655</f>
        <v>2</v>
      </c>
      <c r="F651" s="101">
        <f>Masters!H655</f>
        <v>3</v>
      </c>
      <c r="G651" s="101">
        <f>Masters!I655</f>
        <v>3</v>
      </c>
      <c r="H651" s="101">
        <f>Masters!J655</f>
        <v>3</v>
      </c>
      <c r="I651" s="101">
        <f>Masters!K655</f>
        <v>3</v>
      </c>
      <c r="J651" s="101">
        <f>Masters!L655</f>
        <v>4</v>
      </c>
      <c r="K651" s="101">
        <f>Masters!M655</f>
        <v>4</v>
      </c>
      <c r="L651" s="101">
        <f>Masters!N655</f>
        <v>4</v>
      </c>
    </row>
    <row r="652">
      <c r="A652" s="101">
        <f>Masters!C656</f>
        <v>9241</v>
      </c>
      <c r="B652" s="102" t="str">
        <f>Masters!D656</f>
        <v>Stationary Engineers and Auxiliary Equipment Operators</v>
      </c>
      <c r="C652" s="102" t="str">
        <f>Masters!E656</f>
        <v>Power engineers and power systems operators</v>
      </c>
      <c r="D652" s="101">
        <f>Masters!F656</f>
        <v>3</v>
      </c>
      <c r="E652" s="101">
        <f>Masters!G656</f>
        <v>3</v>
      </c>
      <c r="F652" s="101">
        <f>Masters!H656</f>
        <v>3</v>
      </c>
      <c r="G652" s="101">
        <f>Masters!I656</f>
        <v>3</v>
      </c>
      <c r="H652" s="101">
        <f>Masters!J656</f>
        <v>4</v>
      </c>
      <c r="I652" s="101">
        <f>Masters!K656</f>
        <v>4</v>
      </c>
      <c r="J652" s="101">
        <f>Masters!L656</f>
        <v>3</v>
      </c>
      <c r="K652" s="101">
        <f>Masters!M656</f>
        <v>4</v>
      </c>
      <c r="L652" s="101">
        <f>Masters!N656</f>
        <v>3</v>
      </c>
    </row>
    <row r="653">
      <c r="A653" s="101">
        <f>Masters!C657</f>
        <v>1454</v>
      </c>
      <c r="B653" s="102" t="str">
        <f>Masters!D657</f>
        <v>Statistical Clerks</v>
      </c>
      <c r="C653" s="102" t="str">
        <f>Masters!E657</f>
        <v>Survey interviewers and statistical clerks</v>
      </c>
      <c r="D653" s="101">
        <f>Masters!F657</f>
        <v>3</v>
      </c>
      <c r="E653" s="101">
        <f>Masters!G657</f>
        <v>3</v>
      </c>
      <c r="F653" s="101">
        <f>Masters!H657</f>
        <v>3</v>
      </c>
      <c r="G653" s="101">
        <f>Masters!I657</f>
        <v>4</v>
      </c>
      <c r="H653" s="101">
        <f>Masters!J657</f>
        <v>4</v>
      </c>
      <c r="I653" s="101">
        <f>Masters!K657</f>
        <v>3</v>
      </c>
      <c r="J653" s="101">
        <f>Masters!L657</f>
        <v>3</v>
      </c>
      <c r="K653" s="101">
        <f>Masters!M657</f>
        <v>3</v>
      </c>
      <c r="L653" s="101">
        <f>Masters!N657</f>
        <v>4</v>
      </c>
    </row>
    <row r="654">
      <c r="A654" s="101">
        <f>Masters!C658</f>
        <v>8221</v>
      </c>
      <c r="B654" s="102" t="str">
        <f>Masters!D658</f>
        <v>Supervisors, Mining and Quarrying</v>
      </c>
      <c r="C654" s="102" t="str">
        <f>Masters!E658</f>
        <v>Supervisors, mining and quarrying</v>
      </c>
      <c r="D654" s="101">
        <f>Masters!F658</f>
        <v>3</v>
      </c>
      <c r="E654" s="101">
        <f>Masters!G658</f>
        <v>3</v>
      </c>
      <c r="F654" s="101">
        <f>Masters!H658</f>
        <v>4</v>
      </c>
      <c r="G654" s="101">
        <f>Masters!I658</f>
        <v>3</v>
      </c>
      <c r="H654" s="101">
        <f>Masters!J658</f>
        <v>3</v>
      </c>
      <c r="I654" s="101">
        <f>Masters!K658</f>
        <v>4</v>
      </c>
      <c r="J654" s="101">
        <f>Masters!L658</f>
        <v>4</v>
      </c>
      <c r="K654" s="101">
        <f>Masters!M658</f>
        <v>4</v>
      </c>
      <c r="L654" s="101">
        <f>Masters!N658</f>
        <v>4</v>
      </c>
    </row>
    <row r="655">
      <c r="A655" s="101">
        <f>Masters!C659</f>
        <v>8222</v>
      </c>
      <c r="B655" s="102" t="str">
        <f>Masters!D659</f>
        <v>Supervisors, Oil and Gas Drilling and Service</v>
      </c>
      <c r="C655" s="102" t="str">
        <f>Masters!E659</f>
        <v>Contractors and supervisors, oil and gas drilling and services</v>
      </c>
      <c r="D655" s="101">
        <f>Masters!F659</f>
        <v>3</v>
      </c>
      <c r="E655" s="101">
        <f>Masters!G659</f>
        <v>3</v>
      </c>
      <c r="F655" s="101">
        <f>Masters!H659</f>
        <v>3</v>
      </c>
      <c r="G655" s="101">
        <f>Masters!I659</f>
        <v>3</v>
      </c>
      <c r="H655" s="101">
        <f>Masters!J659</f>
        <v>4</v>
      </c>
      <c r="I655" s="101">
        <f>Masters!K659</f>
        <v>4</v>
      </c>
      <c r="J655" s="101">
        <f>Masters!L659</f>
        <v>3</v>
      </c>
      <c r="K655" s="101">
        <f>Masters!M659</f>
        <v>4</v>
      </c>
      <c r="L655" s="101">
        <f>Masters!N659</f>
        <v>3</v>
      </c>
    </row>
    <row r="656">
      <c r="A656" s="101">
        <f>Masters!C660</f>
        <v>9226</v>
      </c>
      <c r="B656" s="102" t="str">
        <f>Masters!D660</f>
        <v>Supervisors, Other Mechanical and Metal Products Manufacturing</v>
      </c>
      <c r="C656" s="102" t="str">
        <f>Masters!E660</f>
        <v>Supervisors, other mechanical and metal products manufacturing</v>
      </c>
      <c r="D656" s="101">
        <f>Masters!F660</f>
        <v>3</v>
      </c>
      <c r="E656" s="101">
        <f>Masters!G660</f>
        <v>3</v>
      </c>
      <c r="F656" s="101">
        <f>Masters!H660</f>
        <v>3</v>
      </c>
      <c r="G656" s="101">
        <f>Masters!I660</f>
        <v>4</v>
      </c>
      <c r="H656" s="101">
        <f>Masters!J660</f>
        <v>3</v>
      </c>
      <c r="I656" s="101">
        <f>Masters!K660</f>
        <v>3</v>
      </c>
      <c r="J656" s="101">
        <f>Masters!L660</f>
        <v>4</v>
      </c>
      <c r="K656" s="101">
        <f>Masters!M660</f>
        <v>4</v>
      </c>
      <c r="L656" s="101">
        <f>Masters!N660</f>
        <v>3</v>
      </c>
    </row>
    <row r="657">
      <c r="A657" s="101">
        <f>Masters!C661</f>
        <v>9214</v>
      </c>
      <c r="B657" s="102" t="str">
        <f>Masters!D661</f>
        <v>Supervisors, Plastic and Rubber Products Manufacturing</v>
      </c>
      <c r="C657" s="102" t="str">
        <f>Masters!E661</f>
        <v>Supervisors, plastic and rubber products manufacturing</v>
      </c>
      <c r="D657" s="101">
        <f>Masters!F661</f>
        <v>3</v>
      </c>
      <c r="E657" s="101">
        <f>Masters!G661</f>
        <v>3</v>
      </c>
      <c r="F657" s="101">
        <f>Masters!H661</f>
        <v>3</v>
      </c>
      <c r="G657" s="101">
        <f>Masters!I661</f>
        <v>4</v>
      </c>
      <c r="H657" s="101">
        <f>Masters!J661</f>
        <v>4</v>
      </c>
      <c r="I657" s="101">
        <f>Masters!K661</f>
        <v>3</v>
      </c>
      <c r="J657" s="101">
        <f>Masters!L661</f>
        <v>3</v>
      </c>
      <c r="K657" s="101">
        <f>Masters!M661</f>
        <v>4</v>
      </c>
      <c r="L657" s="101">
        <f>Masters!N661</f>
        <v>3</v>
      </c>
    </row>
    <row r="658">
      <c r="A658" s="101">
        <f>Masters!C662</f>
        <v>9217</v>
      </c>
      <c r="B658" s="102" t="str">
        <f>Masters!D662</f>
        <v>Supervisors, Textile Processing</v>
      </c>
      <c r="C658" s="102" t="str">
        <f>Masters!E662</f>
        <v>Supervisors, textile, fabric, fur and leather products processing and manufacturing</v>
      </c>
      <c r="D658" s="101">
        <f>Masters!F662</f>
        <v>3</v>
      </c>
      <c r="E658" s="101">
        <f>Masters!G662</f>
        <v>3</v>
      </c>
      <c r="F658" s="101">
        <f>Masters!H662</f>
        <v>3</v>
      </c>
      <c r="G658" s="101">
        <f>Masters!I662</f>
        <v>4</v>
      </c>
      <c r="H658" s="101">
        <f>Masters!J662</f>
        <v>4</v>
      </c>
      <c r="I658" s="101">
        <f>Masters!K662</f>
        <v>3</v>
      </c>
      <c r="J658" s="101">
        <f>Masters!L662</f>
        <v>3</v>
      </c>
      <c r="K658" s="101">
        <f>Masters!M662</f>
        <v>4</v>
      </c>
      <c r="L658" s="101">
        <f>Masters!N662</f>
        <v>3</v>
      </c>
    </row>
    <row r="659">
      <c r="A659" s="101">
        <f>Masters!C663</f>
        <v>1454</v>
      </c>
      <c r="B659" s="102" t="str">
        <f>Masters!D663</f>
        <v>Survey Interviewers</v>
      </c>
      <c r="C659" s="102" t="str">
        <f>Masters!E663</f>
        <v>Survey interviewers and statistical clerks</v>
      </c>
      <c r="D659" s="101">
        <f>Masters!F663</f>
        <v>3</v>
      </c>
      <c r="E659" s="101">
        <f>Masters!G663</f>
        <v>3</v>
      </c>
      <c r="F659" s="101">
        <f>Masters!H663</f>
        <v>3</v>
      </c>
      <c r="G659" s="101">
        <f>Masters!I663</f>
        <v>4</v>
      </c>
      <c r="H659" s="101">
        <f>Masters!J663</f>
        <v>4</v>
      </c>
      <c r="I659" s="101">
        <f>Masters!K663</f>
        <v>3</v>
      </c>
      <c r="J659" s="101">
        <f>Masters!L663</f>
        <v>3</v>
      </c>
      <c r="K659" s="101">
        <f>Masters!M663</f>
        <v>3</v>
      </c>
      <c r="L659" s="101">
        <f>Masters!N663</f>
        <v>4</v>
      </c>
    </row>
    <row r="660">
      <c r="A660" s="101">
        <f>Masters!C664</f>
        <v>6221</v>
      </c>
      <c r="B660" s="102" t="str">
        <f>Masters!D664</f>
        <v>Technical Sales Specialists - Wholesale Trade</v>
      </c>
      <c r="C660" s="102" t="str">
        <f>Masters!E664</f>
        <v>Technical sales specialists - wholesale trade</v>
      </c>
      <c r="D660" s="101">
        <f>Masters!F664</f>
        <v>2</v>
      </c>
      <c r="E660" s="101">
        <f>Masters!G664</f>
        <v>2</v>
      </c>
      <c r="F660" s="101">
        <f>Masters!H664</f>
        <v>3</v>
      </c>
      <c r="G660" s="101">
        <f>Masters!I664</f>
        <v>3</v>
      </c>
      <c r="H660" s="101">
        <f>Masters!J664</f>
        <v>3</v>
      </c>
      <c r="I660" s="101">
        <f>Masters!K664</f>
        <v>3</v>
      </c>
      <c r="J660" s="101">
        <f>Masters!L664</f>
        <v>4</v>
      </c>
      <c r="K660" s="101">
        <f>Masters!M664</f>
        <v>4</v>
      </c>
      <c r="L660" s="101">
        <f>Masters!N664</f>
        <v>4</v>
      </c>
    </row>
    <row r="661">
      <c r="A661" s="101">
        <f>Masters!C665</f>
        <v>5121</v>
      </c>
      <c r="B661" s="102" t="str">
        <f>Masters!D665</f>
        <v>Technical Writers</v>
      </c>
      <c r="C661" s="102" t="str">
        <f>Masters!E665</f>
        <v>Authors and writers</v>
      </c>
      <c r="D661" s="101">
        <f>Masters!F665</f>
        <v>2</v>
      </c>
      <c r="E661" s="101">
        <f>Masters!G665</f>
        <v>1</v>
      </c>
      <c r="F661" s="101">
        <f>Masters!H665</f>
        <v>4</v>
      </c>
      <c r="G661" s="101">
        <f>Masters!I665</f>
        <v>3</v>
      </c>
      <c r="H661" s="101">
        <f>Masters!J665</f>
        <v>3</v>
      </c>
      <c r="I661" s="101">
        <f>Masters!K665</f>
        <v>3</v>
      </c>
      <c r="J661" s="101">
        <f>Masters!L665</f>
        <v>4</v>
      </c>
      <c r="K661" s="101">
        <f>Masters!M665</f>
        <v>4</v>
      </c>
      <c r="L661" s="101">
        <f>Masters!N665</f>
        <v>4</v>
      </c>
    </row>
    <row r="662">
      <c r="A662" s="101">
        <f>Masters!C666</f>
        <v>9465</v>
      </c>
      <c r="B662" s="102" t="str">
        <f>Masters!D666</f>
        <v>Testers and Graders, Food and Beverage Processing</v>
      </c>
      <c r="C662" s="102" t="str">
        <f>Masters!E666</f>
        <v>Testers and graders, food, beverage and associated products processing</v>
      </c>
      <c r="D662" s="101">
        <f>Masters!F666</f>
        <v>3</v>
      </c>
      <c r="E662" s="101">
        <f>Masters!G666</f>
        <v>4</v>
      </c>
      <c r="F662" s="101">
        <f>Masters!H666</f>
        <v>4</v>
      </c>
      <c r="G662" s="101">
        <f>Masters!I666</f>
        <v>4</v>
      </c>
      <c r="H662" s="101">
        <f>Masters!J666</f>
        <v>3</v>
      </c>
      <c r="I662" s="101">
        <f>Masters!K666</f>
        <v>4</v>
      </c>
      <c r="J662" s="101">
        <f>Masters!L666</f>
        <v>4</v>
      </c>
      <c r="K662" s="101">
        <f>Masters!M666</f>
        <v>4</v>
      </c>
      <c r="L662" s="101">
        <f>Masters!N666</f>
        <v>4</v>
      </c>
    </row>
    <row r="663">
      <c r="A663" s="101">
        <f>Masters!C667</f>
        <v>3414</v>
      </c>
      <c r="B663" s="102" t="str">
        <f>Masters!D667</f>
        <v>Therapy Assistants</v>
      </c>
      <c r="C663" s="102" t="str">
        <f>Masters!E667</f>
        <v>Other assisting occupations in support of health services</v>
      </c>
      <c r="D663" s="101">
        <f>Masters!F667</f>
        <v>3</v>
      </c>
      <c r="E663" s="101">
        <f>Masters!G667</f>
        <v>3</v>
      </c>
      <c r="F663" s="101">
        <f>Masters!H667</f>
        <v>4</v>
      </c>
      <c r="G663" s="101">
        <f>Masters!I667</f>
        <v>4</v>
      </c>
      <c r="H663" s="101">
        <f>Masters!J667</f>
        <v>4</v>
      </c>
      <c r="I663" s="101">
        <f>Masters!K667</f>
        <v>3</v>
      </c>
      <c r="J663" s="101">
        <f>Masters!L667</f>
        <v>4</v>
      </c>
      <c r="K663" s="101">
        <f>Masters!M667</f>
        <v>4</v>
      </c>
      <c r="L663" s="101">
        <f>Masters!N667</f>
        <v>3</v>
      </c>
    </row>
    <row r="664">
      <c r="A664" s="101">
        <f>Masters!C668</f>
        <v>2282</v>
      </c>
      <c r="B664" s="102" t="str">
        <f>Masters!D668</f>
        <v>User Support Technicians</v>
      </c>
      <c r="C664" s="102" t="str">
        <f>Masters!E668</f>
        <v>User support technicians</v>
      </c>
      <c r="D664" s="101">
        <f>Masters!F668</f>
        <v>2</v>
      </c>
      <c r="E664" s="101">
        <f>Masters!G668</f>
        <v>2</v>
      </c>
      <c r="F664" s="101">
        <f>Masters!H668</f>
        <v>3</v>
      </c>
      <c r="G664" s="101">
        <f>Masters!I668</f>
        <v>3</v>
      </c>
      <c r="H664" s="101">
        <f>Masters!J668</f>
        <v>3</v>
      </c>
      <c r="I664" s="101">
        <f>Masters!K668</f>
        <v>3</v>
      </c>
      <c r="J664" s="101">
        <f>Masters!L668</f>
        <v>4</v>
      </c>
      <c r="K664" s="101">
        <f>Masters!M668</f>
        <v>4</v>
      </c>
      <c r="L664" s="101">
        <f>Masters!N668</f>
        <v>4</v>
      </c>
    </row>
    <row r="665">
      <c r="A665" s="101">
        <f>Masters!C669</f>
        <v>1314</v>
      </c>
      <c r="B665" s="102" t="str">
        <f>Masters!D669</f>
        <v>Valuators</v>
      </c>
      <c r="C665" s="102" t="str">
        <f>Masters!E669</f>
        <v>Assessors, valuators and appraisers</v>
      </c>
      <c r="D665" s="101">
        <f>Masters!F669</f>
        <v>2</v>
      </c>
      <c r="E665" s="101">
        <f>Masters!G669</f>
        <v>3</v>
      </c>
      <c r="F665" s="101">
        <f>Masters!H669</f>
        <v>2</v>
      </c>
      <c r="G665" s="101">
        <f>Masters!I669</f>
        <v>3</v>
      </c>
      <c r="H665" s="101">
        <f>Masters!J669</f>
        <v>3</v>
      </c>
      <c r="I665" s="101">
        <f>Masters!K669</f>
        <v>3</v>
      </c>
      <c r="J665" s="101">
        <f>Masters!L669</f>
        <v>4</v>
      </c>
      <c r="K665" s="101">
        <f>Masters!M669</f>
        <v>4</v>
      </c>
      <c r="L665" s="101">
        <f>Masters!N669</f>
        <v>4</v>
      </c>
    </row>
    <row r="666">
      <c r="A666" s="101">
        <f>Masters!C670</f>
        <v>1241</v>
      </c>
      <c r="B666" s="102" t="str">
        <f>Masters!D670</f>
        <v>Administrative Clerks</v>
      </c>
      <c r="C666" s="102" t="str">
        <f>Masters!E670</f>
        <v>Administrative assistants</v>
      </c>
      <c r="D666" s="101">
        <f>Masters!F670</f>
        <v>3</v>
      </c>
      <c r="E666" s="101">
        <f>Masters!G670</f>
        <v>3</v>
      </c>
      <c r="F666" s="101">
        <f>Masters!H670</f>
        <v>3</v>
      </c>
      <c r="G666" s="101">
        <f>Masters!I670</f>
        <v>4</v>
      </c>
      <c r="H666" s="101">
        <f>Masters!J670</f>
        <v>4</v>
      </c>
      <c r="I666" s="101">
        <f>Masters!K670</f>
        <v>3</v>
      </c>
      <c r="J666" s="101">
        <f>Masters!L670</f>
        <v>4</v>
      </c>
      <c r="K666" s="101">
        <f>Masters!M670</f>
        <v>3</v>
      </c>
      <c r="L666" s="101">
        <f>Masters!N670</f>
        <v>4</v>
      </c>
    </row>
    <row r="667">
      <c r="A667" s="101">
        <f>Masters!C671</f>
        <v>1123</v>
      </c>
      <c r="B667" s="102" t="str">
        <f>Masters!D671</f>
        <v>Advertising and Promotion Consultants</v>
      </c>
      <c r="C667" s="102" t="str">
        <f>Masters!E671</f>
        <v>Professional occupations in advertising, marketing and public relations</v>
      </c>
      <c r="D667" s="101">
        <f>Masters!F671</f>
        <v>2</v>
      </c>
      <c r="E667" s="101">
        <f>Masters!G671</f>
        <v>2</v>
      </c>
      <c r="F667" s="101">
        <f>Masters!H671</f>
        <v>3</v>
      </c>
      <c r="G667" s="101">
        <f>Masters!I671</f>
        <v>3</v>
      </c>
      <c r="H667" s="101">
        <f>Masters!J671</f>
        <v>3</v>
      </c>
      <c r="I667" s="101">
        <f>Masters!K671</f>
        <v>2</v>
      </c>
      <c r="J667" s="101">
        <f>Masters!L671</f>
        <v>4</v>
      </c>
      <c r="K667" s="101">
        <f>Masters!M671</f>
        <v>4</v>
      </c>
      <c r="L667" s="101">
        <f>Masters!N671</f>
        <v>4</v>
      </c>
    </row>
    <row r="668">
      <c r="A668" s="101">
        <f>Masters!C672</f>
        <v>2123</v>
      </c>
      <c r="B668" s="102" t="str">
        <f>Masters!D672</f>
        <v>Agricultural Representatives, Consultants and Specialists</v>
      </c>
      <c r="C668" s="102" t="str">
        <f>Masters!E672</f>
        <v>Agricultural representatives, consultants and specialists</v>
      </c>
      <c r="D668" s="101">
        <f>Masters!F672</f>
        <v>1</v>
      </c>
      <c r="E668" s="101">
        <f>Masters!G672</f>
        <v>2</v>
      </c>
      <c r="F668" s="101">
        <f>Masters!H672</f>
        <v>2</v>
      </c>
      <c r="G668" s="101">
        <f>Masters!I672</f>
        <v>4</v>
      </c>
      <c r="H668" s="101">
        <f>Masters!J672</f>
        <v>3</v>
      </c>
      <c r="I668" s="101">
        <f>Masters!K672</f>
        <v>3</v>
      </c>
      <c r="J668" s="101">
        <f>Masters!L672</f>
        <v>4</v>
      </c>
      <c r="K668" s="101">
        <f>Masters!M672</f>
        <v>3</v>
      </c>
      <c r="L668" s="101">
        <f>Masters!N672</f>
        <v>3</v>
      </c>
    </row>
    <row r="669">
      <c r="A669" s="101">
        <f>Masters!C673</f>
        <v>4423</v>
      </c>
      <c r="B669" s="102" t="str">
        <f>Masters!D673</f>
        <v>Animal Control Officers</v>
      </c>
      <c r="C669" s="102" t="str">
        <f>Masters!E673</f>
        <v>By-law enforcement and other regulatory officers, n.e.c.</v>
      </c>
      <c r="D669" s="101">
        <f>Masters!F673</f>
        <v>4</v>
      </c>
      <c r="E669" s="101">
        <f>Masters!G673</f>
        <v>4</v>
      </c>
      <c r="F669" s="101">
        <f>Masters!H673</f>
        <v>4</v>
      </c>
      <c r="G669" s="101">
        <f>Masters!I673</f>
        <v>4</v>
      </c>
      <c r="H669" s="101">
        <f>Masters!J673</f>
        <v>4</v>
      </c>
      <c r="I669" s="101">
        <f>Masters!K673</f>
        <v>4</v>
      </c>
      <c r="J669" s="101">
        <f>Masters!L673</f>
        <v>4</v>
      </c>
      <c r="K669" s="101">
        <f>Masters!M673</f>
        <v>4</v>
      </c>
      <c r="L669" s="101">
        <f>Masters!N673</f>
        <v>3</v>
      </c>
    </row>
    <row r="670">
      <c r="A670" s="101">
        <f>Masters!C674</f>
        <v>8613</v>
      </c>
      <c r="B670" s="102" t="str">
        <f>Masters!D674</f>
        <v>Aquaculture Support Workers</v>
      </c>
      <c r="C670" s="102" t="str">
        <f>Masters!E674</f>
        <v>Aquaculture and marine harvest labourers</v>
      </c>
      <c r="D670" s="101">
        <f>Masters!F674</f>
        <v>4</v>
      </c>
      <c r="E670" s="101">
        <f>Masters!G674</f>
        <v>4</v>
      </c>
      <c r="F670" s="101">
        <f>Masters!H674</f>
        <v>4</v>
      </c>
      <c r="G670" s="101">
        <f>Masters!I674</f>
        <v>4</v>
      </c>
      <c r="H670" s="101">
        <f>Masters!J674</f>
        <v>4</v>
      </c>
      <c r="I670" s="101">
        <f>Masters!K674</f>
        <v>4</v>
      </c>
      <c r="J670" s="101">
        <f>Masters!L674</f>
        <v>4</v>
      </c>
      <c r="K670" s="101">
        <f>Masters!M674</f>
        <v>3</v>
      </c>
      <c r="L670" s="101">
        <f>Masters!N674</f>
        <v>4</v>
      </c>
    </row>
    <row r="671">
      <c r="A671" s="101">
        <f>Masters!C675</f>
        <v>6564</v>
      </c>
      <c r="B671" s="102" t="str">
        <f>Masters!D675</f>
        <v>Astrologers</v>
      </c>
      <c r="C671" s="102" t="str">
        <f>Masters!E675</f>
        <v>Other personal service occupations</v>
      </c>
      <c r="D671" s="101">
        <f>Masters!F675</f>
        <v>3</v>
      </c>
      <c r="E671" s="101">
        <f>Masters!G675</f>
        <v>3</v>
      </c>
      <c r="F671" s="101">
        <f>Masters!H675</f>
        <v>3</v>
      </c>
      <c r="G671" s="101">
        <f>Masters!I675</f>
        <v>3</v>
      </c>
      <c r="H671" s="101">
        <f>Masters!J675</f>
        <v>4</v>
      </c>
      <c r="I671" s="101">
        <f>Masters!K675</f>
        <v>3</v>
      </c>
      <c r="J671" s="101">
        <f>Masters!L675</f>
        <v>4</v>
      </c>
      <c r="K671" s="101">
        <f>Masters!M675</f>
        <v>4</v>
      </c>
      <c r="L671" s="101">
        <f>Masters!N675</f>
        <v>4</v>
      </c>
    </row>
    <row r="672">
      <c r="A672" s="101">
        <f>Masters!C676</f>
        <v>2111</v>
      </c>
      <c r="B672" s="102" t="str">
        <f>Masters!D676</f>
        <v>Astronomers</v>
      </c>
      <c r="C672" s="102" t="str">
        <f>Masters!E676</f>
        <v>Physicists and astronomers</v>
      </c>
      <c r="D672" s="101">
        <f>Masters!F676</f>
        <v>1</v>
      </c>
      <c r="E672" s="101">
        <f>Masters!G676</f>
        <v>1</v>
      </c>
      <c r="F672" s="101">
        <f>Masters!H676</f>
        <v>1</v>
      </c>
      <c r="G672" s="101">
        <f>Masters!I676</f>
        <v>1</v>
      </c>
      <c r="H672" s="101">
        <f>Masters!J676</f>
        <v>1</v>
      </c>
      <c r="I672" s="101">
        <f>Masters!K676</f>
        <v>3</v>
      </c>
      <c r="J672" s="101">
        <f>Masters!L676</f>
        <v>3</v>
      </c>
      <c r="K672" s="101">
        <f>Masters!M676</f>
        <v>3</v>
      </c>
      <c r="L672" s="101">
        <f>Masters!N676</f>
        <v>3</v>
      </c>
    </row>
    <row r="673">
      <c r="A673" s="101">
        <f>Masters!C677</f>
        <v>6621</v>
      </c>
      <c r="B673" s="102" t="str">
        <f>Masters!D677</f>
        <v>Automotive Service Station Attendants</v>
      </c>
      <c r="C673" s="102" t="str">
        <f>Masters!E677</f>
        <v>Service station attendants</v>
      </c>
      <c r="D673" s="101">
        <f>Masters!F677</f>
        <v>4</v>
      </c>
      <c r="E673" s="101">
        <f>Masters!G677</f>
        <v>4</v>
      </c>
      <c r="F673" s="101">
        <f>Masters!H677</f>
        <v>4</v>
      </c>
      <c r="G673" s="101">
        <f>Masters!I677</f>
        <v>4</v>
      </c>
      <c r="H673" s="101">
        <f>Masters!J677</f>
        <v>4</v>
      </c>
      <c r="I673" s="101">
        <f>Masters!K677</f>
        <v>4</v>
      </c>
      <c r="J673" s="101">
        <f>Masters!L677</f>
        <v>4</v>
      </c>
      <c r="K673" s="101">
        <f>Masters!M677</f>
        <v>4</v>
      </c>
      <c r="L673" s="101">
        <f>Masters!N677</f>
        <v>3</v>
      </c>
    </row>
    <row r="674">
      <c r="A674" s="101">
        <f>Masters!C678</f>
        <v>6512</v>
      </c>
      <c r="B674" s="102" t="str">
        <f>Masters!D678</f>
        <v>Bartenders</v>
      </c>
      <c r="C674" s="102" t="str">
        <f>Masters!E678</f>
        <v>Bartenders</v>
      </c>
      <c r="D674" s="101">
        <f>Masters!F678</f>
        <v>4</v>
      </c>
      <c r="E674" s="101">
        <f>Masters!G678</f>
        <v>4</v>
      </c>
      <c r="F674" s="101">
        <f>Masters!H678</f>
        <v>3</v>
      </c>
      <c r="G674" s="101">
        <f>Masters!I678</f>
        <v>4</v>
      </c>
      <c r="H674" s="101">
        <f>Masters!J678</f>
        <v>4</v>
      </c>
      <c r="I674" s="101">
        <f>Masters!K678</f>
        <v>4</v>
      </c>
      <c r="J674" s="101">
        <f>Masters!L678</f>
        <v>3</v>
      </c>
      <c r="K674" s="101">
        <f>Masters!M678</f>
        <v>4</v>
      </c>
      <c r="L674" s="101">
        <f>Masters!N678</f>
        <v>3</v>
      </c>
    </row>
    <row r="675">
      <c r="A675" s="101">
        <f>Masters!C679</f>
        <v>6732</v>
      </c>
      <c r="B675" s="102" t="str">
        <f>Masters!D679</f>
        <v>Carpet and Upholstery Cleaners</v>
      </c>
      <c r="C675" s="102" t="str">
        <f>Masters!E679</f>
        <v>Specialized cleaners</v>
      </c>
      <c r="D675" s="101">
        <f>Masters!F679</f>
        <v>4</v>
      </c>
      <c r="E675" s="101">
        <f>Masters!G679</f>
        <v>4</v>
      </c>
      <c r="F675" s="101">
        <f>Masters!H679</f>
        <v>4</v>
      </c>
      <c r="G675" s="101">
        <f>Masters!I679</f>
        <v>4</v>
      </c>
      <c r="H675" s="101">
        <f>Masters!J679</f>
        <v>4</v>
      </c>
      <c r="I675" s="101">
        <f>Masters!K679</f>
        <v>4</v>
      </c>
      <c r="J675" s="101">
        <f>Masters!L679</f>
        <v>4</v>
      </c>
      <c r="K675" s="101">
        <f>Masters!M679</f>
        <v>4</v>
      </c>
      <c r="L675" s="101">
        <f>Masters!N679</f>
        <v>3</v>
      </c>
    </row>
    <row r="676">
      <c r="A676" s="101">
        <f>Masters!C680</f>
        <v>8421</v>
      </c>
      <c r="B676" s="102" t="str">
        <f>Masters!D680</f>
        <v>Chainsaw and Skidder Operators</v>
      </c>
      <c r="C676" s="102" t="str">
        <f>Masters!E680</f>
        <v>Chain saw and skidder operators</v>
      </c>
      <c r="D676" s="101">
        <f>Masters!F680</f>
        <v>4</v>
      </c>
      <c r="E676" s="101">
        <f>Masters!G680</f>
        <v>4</v>
      </c>
      <c r="F676" s="101">
        <f>Masters!H680</f>
        <v>5</v>
      </c>
      <c r="G676" s="101">
        <f>Masters!I680</f>
        <v>3</v>
      </c>
      <c r="H676" s="101">
        <f>Masters!J680</f>
        <v>4</v>
      </c>
      <c r="I676" s="101">
        <f>Masters!K680</f>
        <v>5</v>
      </c>
      <c r="J676" s="101">
        <f>Masters!L680</f>
        <v>3</v>
      </c>
      <c r="K676" s="101">
        <f>Masters!M680</f>
        <v>4</v>
      </c>
      <c r="L676" s="101">
        <f>Masters!N680</f>
        <v>3</v>
      </c>
    </row>
    <row r="677">
      <c r="A677" s="101">
        <f>Masters!C681</f>
        <v>1226</v>
      </c>
      <c r="B677" s="102" t="str">
        <f>Masters!D681</f>
        <v>Conference and Event Planners</v>
      </c>
      <c r="C677" s="102" t="str">
        <f>Masters!E681</f>
        <v>Conference and event planners</v>
      </c>
      <c r="D677" s="101">
        <f>Masters!F681</f>
        <v>2</v>
      </c>
      <c r="E677" s="101">
        <f>Masters!G681</f>
        <v>2</v>
      </c>
      <c r="F677" s="101">
        <f>Masters!H681</f>
        <v>3</v>
      </c>
      <c r="G677" s="101">
        <f>Masters!I681</f>
        <v>3</v>
      </c>
      <c r="H677" s="101">
        <f>Masters!J681</f>
        <v>4</v>
      </c>
      <c r="I677" s="101">
        <f>Masters!K681</f>
        <v>3</v>
      </c>
      <c r="J677" s="101">
        <f>Masters!L681</f>
        <v>4</v>
      </c>
      <c r="K677" s="101">
        <f>Masters!M681</f>
        <v>4</v>
      </c>
      <c r="L677" s="101">
        <f>Masters!N681</f>
        <v>4</v>
      </c>
    </row>
    <row r="678">
      <c r="A678" s="101">
        <f>Masters!C682</f>
        <v>2234</v>
      </c>
      <c r="B678" s="102" t="str">
        <f>Masters!D682</f>
        <v>Construction Estimators</v>
      </c>
      <c r="C678" s="102" t="str">
        <f>Masters!E682</f>
        <v>Construction estimators</v>
      </c>
      <c r="D678" s="101">
        <f>Masters!F682</f>
        <v>2</v>
      </c>
      <c r="E678" s="101">
        <f>Masters!G682</f>
        <v>2</v>
      </c>
      <c r="F678" s="101">
        <f>Masters!H682</f>
        <v>2</v>
      </c>
      <c r="G678" s="101">
        <f>Masters!I682</f>
        <v>3</v>
      </c>
      <c r="H678" s="101">
        <f>Masters!J682</f>
        <v>3</v>
      </c>
      <c r="I678" s="101">
        <f>Masters!K682</f>
        <v>3</v>
      </c>
      <c r="J678" s="101">
        <f>Masters!L682</f>
        <v>4</v>
      </c>
      <c r="K678" s="101">
        <f>Masters!M682</f>
        <v>4</v>
      </c>
      <c r="L678" s="101">
        <f>Masters!N682</f>
        <v>4</v>
      </c>
    </row>
    <row r="679">
      <c r="A679" s="101">
        <f>Masters!C683</f>
        <v>711</v>
      </c>
      <c r="B679" s="102" t="str">
        <f>Masters!D683</f>
        <v>Construction Managers</v>
      </c>
      <c r="C679" s="102" t="str">
        <f>Masters!E683</f>
        <v>Construction managers</v>
      </c>
      <c r="D679" s="101">
        <f>Masters!F683</f>
        <v>2</v>
      </c>
      <c r="E679" s="101">
        <f>Masters!G683</f>
        <v>2</v>
      </c>
      <c r="F679" s="101">
        <f>Masters!H683</f>
        <v>2</v>
      </c>
      <c r="G679" s="101">
        <f>Masters!I683</f>
        <v>3</v>
      </c>
      <c r="H679" s="101">
        <f>Masters!J683</f>
        <v>3</v>
      </c>
      <c r="I679" s="101">
        <f>Masters!K683</f>
        <v>3</v>
      </c>
      <c r="J679" s="101">
        <f>Masters!L683</f>
        <v>4</v>
      </c>
      <c r="K679" s="101">
        <f>Masters!M683</f>
        <v>4</v>
      </c>
      <c r="L679" s="101">
        <f>Masters!N683</f>
        <v>4</v>
      </c>
    </row>
    <row r="680">
      <c r="A680" s="101">
        <f>Masters!C684</f>
        <v>5226</v>
      </c>
      <c r="B680" s="102" t="str">
        <f>Masters!D684</f>
        <v>Costumiers</v>
      </c>
      <c r="C680" s="102" t="str">
        <f>Masters!E684</f>
        <v>Other technical and co-ordinating occupations in motion pictures, broadcasting and the performing arts</v>
      </c>
      <c r="D680" s="101">
        <f>Masters!F684</f>
        <v>3</v>
      </c>
      <c r="E680" s="101">
        <f>Masters!G684</f>
        <v>3</v>
      </c>
      <c r="F680" s="101">
        <f>Masters!H684</f>
        <v>4</v>
      </c>
      <c r="G680" s="101">
        <f>Masters!I684</f>
        <v>4</v>
      </c>
      <c r="H680" s="101">
        <f>Masters!J684</f>
        <v>4</v>
      </c>
      <c r="I680" s="101">
        <f>Masters!K684</f>
        <v>3</v>
      </c>
      <c r="J680" s="101">
        <f>Masters!L684</f>
        <v>4</v>
      </c>
      <c r="K680" s="101">
        <f>Masters!M684</f>
        <v>4</v>
      </c>
      <c r="L680" s="101">
        <f>Masters!N684</f>
        <v>4</v>
      </c>
    </row>
    <row r="681">
      <c r="A681" s="101">
        <f>Masters!C685</f>
        <v>1513</v>
      </c>
      <c r="B681" s="102" t="str">
        <f>Masters!D685</f>
        <v>Couriers, Messengers and Door-to-Door Distributors</v>
      </c>
      <c r="C681" s="102" t="str">
        <f>Masters!E685</f>
        <v>Couriers, messengers and door-to-door distributors</v>
      </c>
      <c r="D681" s="101">
        <f>Masters!F685</f>
        <v>4</v>
      </c>
      <c r="E681" s="101">
        <f>Masters!G685</f>
        <v>4</v>
      </c>
      <c r="F681" s="101">
        <f>Masters!H685</f>
        <v>4</v>
      </c>
      <c r="G681" s="101">
        <f>Masters!I685</f>
        <v>4</v>
      </c>
      <c r="H681" s="101">
        <f>Masters!J685</f>
        <v>4</v>
      </c>
      <c r="I681" s="101">
        <f>Masters!K685</f>
        <v>3</v>
      </c>
      <c r="J681" s="101">
        <f>Masters!L685</f>
        <v>4</v>
      </c>
      <c r="K681" s="101">
        <f>Masters!M685</f>
        <v>4</v>
      </c>
      <c r="L681" s="101">
        <f>Masters!N685</f>
        <v>4</v>
      </c>
    </row>
    <row r="682">
      <c r="A682" s="101">
        <f>Masters!C686</f>
        <v>2172</v>
      </c>
      <c r="B682" s="102" t="str">
        <f>Masters!D686</f>
        <v>Data Administrators</v>
      </c>
      <c r="C682" s="102" t="str">
        <f>Masters!E686</f>
        <v>Database analysts and data administrators</v>
      </c>
      <c r="D682" s="101">
        <f>Masters!F686</f>
        <v>2</v>
      </c>
      <c r="E682" s="101">
        <f>Masters!G686</f>
        <v>2</v>
      </c>
      <c r="F682" s="101">
        <f>Masters!H686</f>
        <v>2</v>
      </c>
      <c r="G682" s="101">
        <f>Masters!I686</f>
        <v>2</v>
      </c>
      <c r="H682" s="101">
        <f>Masters!J686</f>
        <v>3</v>
      </c>
      <c r="I682" s="101">
        <f>Masters!K686</f>
        <v>2</v>
      </c>
      <c r="J682" s="101">
        <f>Masters!L686</f>
        <v>4</v>
      </c>
      <c r="K682" s="101">
        <f>Masters!M686</f>
        <v>4</v>
      </c>
      <c r="L682" s="101">
        <f>Masters!N686</f>
        <v>4</v>
      </c>
    </row>
    <row r="683">
      <c r="A683" s="101">
        <f>Masters!C687</f>
        <v>6741</v>
      </c>
      <c r="B683" s="102" t="str">
        <f>Masters!D687</f>
        <v>Dry Cleaning and Laundry Supervisors</v>
      </c>
      <c r="C683" s="102" t="str">
        <f>Masters!E687</f>
        <v>Dry cleaning, laundry and related occupations</v>
      </c>
      <c r="D683" s="101">
        <f>Masters!F687</f>
        <v>3</v>
      </c>
      <c r="E683" s="101">
        <f>Masters!G687</f>
        <v>3</v>
      </c>
      <c r="F683" s="101">
        <f>Masters!H687</f>
        <v>4</v>
      </c>
      <c r="G683" s="101">
        <f>Masters!I687</f>
        <v>4</v>
      </c>
      <c r="H683" s="101">
        <f>Masters!J687</f>
        <v>4</v>
      </c>
      <c r="I683" s="101">
        <f>Masters!K687</f>
        <v>3</v>
      </c>
      <c r="J683" s="101">
        <f>Masters!L687</f>
        <v>4</v>
      </c>
      <c r="K683" s="101">
        <f>Masters!M687</f>
        <v>4</v>
      </c>
      <c r="L683" s="101">
        <f>Masters!N687</f>
        <v>4</v>
      </c>
    </row>
    <row r="684">
      <c r="A684" s="101">
        <f>Masters!C688</f>
        <v>912</v>
      </c>
      <c r="B684" s="102" t="str">
        <f>Masters!D688</f>
        <v>Electrical Power Distribution Managers</v>
      </c>
      <c r="C684" s="102" t="str">
        <f>Masters!E688</f>
        <v>Utilities managers</v>
      </c>
      <c r="D684" s="101">
        <f>Masters!F688</f>
        <v>2</v>
      </c>
      <c r="E684" s="101">
        <f>Masters!G688</f>
        <v>2</v>
      </c>
      <c r="F684" s="101">
        <f>Masters!H688</f>
        <v>2</v>
      </c>
      <c r="G684" s="101">
        <f>Masters!I688</f>
        <v>3</v>
      </c>
      <c r="H684" s="101">
        <f>Masters!J688</f>
        <v>3</v>
      </c>
      <c r="I684" s="101">
        <f>Masters!K688</f>
        <v>3</v>
      </c>
      <c r="J684" s="101">
        <f>Masters!L688</f>
        <v>4</v>
      </c>
      <c r="K684" s="101">
        <f>Masters!M688</f>
        <v>4</v>
      </c>
      <c r="L684" s="101">
        <f>Masters!N688</f>
        <v>4</v>
      </c>
    </row>
    <row r="685">
      <c r="A685" s="101">
        <f>Masters!C689</f>
        <v>2262</v>
      </c>
      <c r="B685" s="102" t="str">
        <f>Masters!D689</f>
        <v>Engine Room Crew, Water Transport</v>
      </c>
      <c r="C685" s="102" t="str">
        <f>Masters!E689</f>
        <v>Engineering inspectors and regulatory officers</v>
      </c>
      <c r="D685" s="101">
        <f>Masters!F689</f>
        <v>3</v>
      </c>
      <c r="E685" s="101">
        <f>Masters!G689</f>
        <v>3</v>
      </c>
      <c r="F685" s="101">
        <f>Masters!H689</f>
        <v>3</v>
      </c>
      <c r="G685" s="101">
        <f>Masters!I689</f>
        <v>4</v>
      </c>
      <c r="H685" s="101">
        <f>Masters!J689</f>
        <v>4</v>
      </c>
      <c r="I685" s="101">
        <f>Masters!K689</f>
        <v>4</v>
      </c>
      <c r="J685" s="101">
        <f>Masters!L689</f>
        <v>3</v>
      </c>
      <c r="K685" s="101">
        <f>Masters!M689</f>
        <v>4</v>
      </c>
      <c r="L685" s="101">
        <f>Masters!N689</f>
        <v>3</v>
      </c>
    </row>
    <row r="686">
      <c r="A686" s="101">
        <f>Masters!C690</f>
        <v>4161</v>
      </c>
      <c r="B686" s="102" t="str">
        <f>Masters!D690</f>
        <v>Ergonomists</v>
      </c>
      <c r="C686" s="102" t="str">
        <f>Masters!E690</f>
        <v>Natural and applied science policy researchers, consultants and program officers</v>
      </c>
      <c r="D686" s="101">
        <f>Masters!F690</f>
        <v>2</v>
      </c>
      <c r="E686" s="101">
        <f>Masters!G690</f>
        <v>2</v>
      </c>
      <c r="F686" s="101">
        <f>Masters!H690</f>
        <v>2</v>
      </c>
      <c r="G686" s="101">
        <f>Masters!I690</f>
        <v>3</v>
      </c>
      <c r="H686" s="101">
        <f>Masters!J690</f>
        <v>3</v>
      </c>
      <c r="I686" s="101">
        <f>Masters!K690</f>
        <v>3</v>
      </c>
      <c r="J686" s="101">
        <f>Masters!L690</f>
        <v>4</v>
      </c>
      <c r="K686" s="101">
        <f>Masters!M690</f>
        <v>4</v>
      </c>
      <c r="L686" s="101">
        <f>Masters!N690</f>
        <v>4</v>
      </c>
    </row>
    <row r="687">
      <c r="A687" s="101">
        <f>Masters!C691</f>
        <v>3144</v>
      </c>
      <c r="B687" s="102" t="str">
        <f>Masters!D691</f>
        <v>Exercise Therapists</v>
      </c>
      <c r="C687" s="102" t="str">
        <f>Masters!E691</f>
        <v>Other professional occupations in therapy and assessment</v>
      </c>
      <c r="D687" s="101">
        <f>Masters!F691</f>
        <v>3</v>
      </c>
      <c r="E687" s="101">
        <f>Masters!G691</f>
        <v>2</v>
      </c>
      <c r="F687" s="101">
        <f>Masters!H691</f>
        <v>3</v>
      </c>
      <c r="G687" s="101">
        <f>Masters!I691</f>
        <v>3</v>
      </c>
      <c r="H687" s="101">
        <f>Masters!J691</f>
        <v>3</v>
      </c>
      <c r="I687" s="101">
        <f>Masters!K691</f>
        <v>4</v>
      </c>
      <c r="J687" s="101">
        <f>Masters!L691</f>
        <v>3</v>
      </c>
      <c r="K687" s="101">
        <f>Masters!M691</f>
        <v>4</v>
      </c>
      <c r="L687" s="101">
        <f>Masters!N691</f>
        <v>4</v>
      </c>
    </row>
    <row r="688">
      <c r="A688" s="101">
        <f>Masters!C692</f>
        <v>9472</v>
      </c>
      <c r="B688" s="102" t="str">
        <f>Masters!D692</f>
        <v>Film Strippers/Assemblers</v>
      </c>
      <c r="C688" s="102" t="str">
        <f>Masters!E692</f>
        <v>Camera, platemaking and other prepress occupations</v>
      </c>
      <c r="D688" s="101">
        <f>Masters!F692</f>
        <v>3</v>
      </c>
      <c r="E688" s="101">
        <f>Masters!G692</f>
        <v>3</v>
      </c>
      <c r="F688" s="101">
        <f>Masters!H692</f>
        <v>3</v>
      </c>
      <c r="G688" s="101">
        <f>Masters!I692</f>
        <v>3</v>
      </c>
      <c r="H688" s="101">
        <f>Masters!J692</f>
        <v>2</v>
      </c>
      <c r="I688" s="101">
        <f>Masters!K692</f>
        <v>4</v>
      </c>
      <c r="J688" s="101">
        <f>Masters!L692</f>
        <v>3</v>
      </c>
      <c r="K688" s="101">
        <f>Masters!M692</f>
        <v>4</v>
      </c>
      <c r="L688" s="101">
        <f>Masters!N692</f>
        <v>4</v>
      </c>
    </row>
    <row r="689">
      <c r="A689" s="101">
        <f>Masters!C693</f>
        <v>432</v>
      </c>
      <c r="B689" s="102" t="str">
        <f>Masters!D693</f>
        <v>Fire Chiefs and Senior Firefighting Officers</v>
      </c>
      <c r="C689" s="102" t="str">
        <f>Masters!E693</f>
        <v>Fire chiefs and senior firefighting officers</v>
      </c>
      <c r="D689" s="101">
        <f>Masters!F693</f>
        <v>2</v>
      </c>
      <c r="E689" s="101">
        <f>Masters!G693</f>
        <v>2</v>
      </c>
      <c r="F689" s="101">
        <f>Masters!H693</f>
        <v>3</v>
      </c>
      <c r="G689" s="101">
        <f>Masters!I693</f>
        <v>3</v>
      </c>
      <c r="H689" s="101">
        <f>Masters!J693</f>
        <v>3</v>
      </c>
      <c r="I689" s="101">
        <f>Masters!K693</f>
        <v>4</v>
      </c>
      <c r="J689" s="101">
        <f>Masters!L693</f>
        <v>4</v>
      </c>
      <c r="K689" s="101">
        <f>Masters!M693</f>
        <v>4</v>
      </c>
      <c r="L689" s="101">
        <f>Masters!N693</f>
        <v>4</v>
      </c>
    </row>
    <row r="690">
      <c r="A690" s="101">
        <f>Masters!C694</f>
        <v>2222</v>
      </c>
      <c r="B690" s="102" t="str">
        <f>Masters!D694</f>
        <v>Fish and Fish Products Inspectors</v>
      </c>
      <c r="C690" s="102" t="str">
        <f>Masters!E694</f>
        <v>Agricultural and fish products inspectors</v>
      </c>
      <c r="D690" s="101">
        <f>Masters!F694</f>
        <v>2</v>
      </c>
      <c r="E690" s="101">
        <f>Masters!G694</f>
        <v>3</v>
      </c>
      <c r="F690" s="101">
        <f>Masters!H694</f>
        <v>3</v>
      </c>
      <c r="G690" s="101">
        <f>Masters!I694</f>
        <v>4</v>
      </c>
      <c r="H690" s="101">
        <f>Masters!J694</f>
        <v>2</v>
      </c>
      <c r="I690" s="101">
        <f>Masters!K694</f>
        <v>4</v>
      </c>
      <c r="J690" s="101">
        <f>Masters!L694</f>
        <v>4</v>
      </c>
      <c r="K690" s="101">
        <f>Masters!M694</f>
        <v>4</v>
      </c>
      <c r="L690" s="101">
        <f>Masters!N694</f>
        <v>3</v>
      </c>
    </row>
    <row r="691">
      <c r="A691" s="101">
        <f>Masters!C695</f>
        <v>5254</v>
      </c>
      <c r="B691" s="102" t="str">
        <f>Masters!D695</f>
        <v>Fitness Appraisers</v>
      </c>
      <c r="C691" s="102" t="str">
        <f>Masters!E695</f>
        <v>Program leaders and instructors in recreation, sport and fitness</v>
      </c>
      <c r="D691" s="101">
        <f>Masters!F695</f>
        <v>3</v>
      </c>
      <c r="E691" s="101">
        <f>Masters!G695</f>
        <v>2</v>
      </c>
      <c r="F691" s="101">
        <f>Masters!H695</f>
        <v>3</v>
      </c>
      <c r="G691" s="101">
        <f>Masters!I695</f>
        <v>3</v>
      </c>
      <c r="H691" s="101">
        <f>Masters!J695</f>
        <v>3</v>
      </c>
      <c r="I691" s="101">
        <f>Masters!K695</f>
        <v>4</v>
      </c>
      <c r="J691" s="101">
        <f>Masters!L695</f>
        <v>3</v>
      </c>
      <c r="K691" s="101">
        <f>Masters!M695</f>
        <v>4</v>
      </c>
      <c r="L691" s="101">
        <f>Masters!N695</f>
        <v>4</v>
      </c>
    </row>
    <row r="692">
      <c r="A692" s="101">
        <f>Masters!C696</f>
        <v>4167</v>
      </c>
      <c r="B692" s="102" t="str">
        <f>Masters!D696</f>
        <v>Fitness Consultants</v>
      </c>
      <c r="C692" s="102" t="str">
        <f>Masters!E696</f>
        <v>Recreation, sports and fitness policy researchers, consultants and program officers</v>
      </c>
      <c r="D692" s="101">
        <f>Masters!F696</f>
        <v>3</v>
      </c>
      <c r="E692" s="101">
        <f>Masters!G696</f>
        <v>2</v>
      </c>
      <c r="F692" s="101">
        <f>Masters!H696</f>
        <v>3</v>
      </c>
      <c r="G692" s="101">
        <f>Masters!I696</f>
        <v>3</v>
      </c>
      <c r="H692" s="101">
        <f>Masters!J696</f>
        <v>3</v>
      </c>
      <c r="I692" s="101">
        <f>Masters!K696</f>
        <v>4</v>
      </c>
      <c r="J692" s="101">
        <f>Masters!L696</f>
        <v>3</v>
      </c>
      <c r="K692" s="101">
        <f>Masters!M696</f>
        <v>4</v>
      </c>
      <c r="L692" s="101">
        <f>Masters!N696</f>
        <v>4</v>
      </c>
    </row>
    <row r="693">
      <c r="A693" s="101">
        <f>Masters!C697</f>
        <v>6522</v>
      </c>
      <c r="B693" s="102" t="str">
        <f>Masters!D697</f>
        <v>Flight Attendants</v>
      </c>
      <c r="C693" s="102" t="str">
        <f>Masters!E697</f>
        <v>Pursers and flight attendants</v>
      </c>
      <c r="D693" s="101">
        <f>Masters!F697</f>
        <v>3</v>
      </c>
      <c r="E693" s="101">
        <f>Masters!G697</f>
        <v>3</v>
      </c>
      <c r="F693" s="101">
        <f>Masters!H697</f>
        <v>4</v>
      </c>
      <c r="G693" s="101">
        <f>Masters!I697</f>
        <v>4</v>
      </c>
      <c r="H693" s="101">
        <f>Masters!J697</f>
        <v>4</v>
      </c>
      <c r="I693" s="101">
        <f>Masters!K697</f>
        <v>3</v>
      </c>
      <c r="J693" s="101">
        <f>Masters!L697</f>
        <v>4</v>
      </c>
      <c r="K693" s="101">
        <f>Masters!M697</f>
        <v>4</v>
      </c>
      <c r="L693" s="101">
        <f>Masters!N697</f>
        <v>4</v>
      </c>
    </row>
    <row r="694">
      <c r="A694" s="101">
        <f>Masters!C698</f>
        <v>6522</v>
      </c>
      <c r="B694" s="102" t="str">
        <f>Masters!D698</f>
        <v>Flight Pursers, Customer Service Directors and Passenger Service Directors</v>
      </c>
      <c r="C694" s="102" t="str">
        <f>Masters!E698</f>
        <v>Pursers and flight attendants</v>
      </c>
      <c r="D694" s="101">
        <f>Masters!F698</f>
        <v>3</v>
      </c>
      <c r="E694" s="101">
        <f>Masters!G698</f>
        <v>3</v>
      </c>
      <c r="F694" s="101">
        <f>Masters!H698</f>
        <v>4</v>
      </c>
      <c r="G694" s="101">
        <f>Masters!I698</f>
        <v>4</v>
      </c>
      <c r="H694" s="101">
        <f>Masters!J698</f>
        <v>4</v>
      </c>
      <c r="I694" s="101">
        <f>Masters!K698</f>
        <v>3</v>
      </c>
      <c r="J694" s="101">
        <f>Masters!L698</f>
        <v>4</v>
      </c>
      <c r="K694" s="101">
        <f>Masters!M698</f>
        <v>4</v>
      </c>
      <c r="L694" s="101">
        <f>Masters!N698</f>
        <v>4</v>
      </c>
    </row>
    <row r="695">
      <c r="A695" s="101">
        <f>Masters!C699</f>
        <v>2222</v>
      </c>
      <c r="B695" s="102" t="str">
        <f>Masters!D699</f>
        <v>Fruit and Vegetables Inspectors</v>
      </c>
      <c r="C695" s="102" t="str">
        <f>Masters!E699</f>
        <v>Agricultural and fish products inspectors</v>
      </c>
      <c r="D695" s="101">
        <f>Masters!F699</f>
        <v>2</v>
      </c>
      <c r="E695" s="101">
        <f>Masters!G699</f>
        <v>3</v>
      </c>
      <c r="F695" s="101">
        <f>Masters!H699</f>
        <v>3</v>
      </c>
      <c r="G695" s="101">
        <f>Masters!I699</f>
        <v>4</v>
      </c>
      <c r="H695" s="101">
        <f>Masters!J699</f>
        <v>2</v>
      </c>
      <c r="I695" s="101">
        <f>Masters!K699</f>
        <v>4</v>
      </c>
      <c r="J695" s="101">
        <f>Masters!L699</f>
        <v>4</v>
      </c>
      <c r="K695" s="101">
        <f>Masters!M699</f>
        <v>4</v>
      </c>
      <c r="L695" s="101">
        <f>Masters!N699</f>
        <v>3</v>
      </c>
    </row>
    <row r="696">
      <c r="A696" s="101">
        <f>Masters!C700</f>
        <v>3112</v>
      </c>
      <c r="B696" s="102" t="str">
        <f>Masters!D700</f>
        <v>General Practitioners and Family Physicians</v>
      </c>
      <c r="C696" s="102" t="str">
        <f>Masters!E700</f>
        <v>General practitioners and family physicians</v>
      </c>
      <c r="D696" s="101">
        <f>Masters!F700</f>
        <v>1</v>
      </c>
      <c r="E696" s="101">
        <f>Masters!G700</f>
        <v>1</v>
      </c>
      <c r="F696" s="101">
        <f>Masters!H700</f>
        <v>2</v>
      </c>
      <c r="G696" s="101">
        <f>Masters!I700</f>
        <v>2</v>
      </c>
      <c r="H696" s="101">
        <f>Masters!J700</f>
        <v>2</v>
      </c>
      <c r="I696" s="101">
        <f>Masters!K700</f>
        <v>2</v>
      </c>
      <c r="J696" s="101">
        <f>Masters!L700</f>
        <v>3</v>
      </c>
      <c r="K696" s="101">
        <f>Masters!M700</f>
        <v>2</v>
      </c>
      <c r="L696" s="101">
        <f>Masters!N700</f>
        <v>2</v>
      </c>
    </row>
    <row r="697">
      <c r="A697" s="101">
        <f>Masters!C701</f>
        <v>2222</v>
      </c>
      <c r="B697" s="102" t="str">
        <f>Masters!D701</f>
        <v>Grain Inspectors</v>
      </c>
      <c r="C697" s="102" t="str">
        <f>Masters!E701</f>
        <v>Agricultural and fish products inspectors</v>
      </c>
      <c r="D697" s="101">
        <f>Masters!F701</f>
        <v>2</v>
      </c>
      <c r="E697" s="101">
        <f>Masters!G701</f>
        <v>3</v>
      </c>
      <c r="F697" s="101">
        <f>Masters!H701</f>
        <v>3</v>
      </c>
      <c r="G697" s="101">
        <f>Masters!I701</f>
        <v>4</v>
      </c>
      <c r="H697" s="101">
        <f>Masters!J701</f>
        <v>2</v>
      </c>
      <c r="I697" s="101">
        <f>Masters!K701</f>
        <v>4</v>
      </c>
      <c r="J697" s="101">
        <f>Masters!L701</f>
        <v>4</v>
      </c>
      <c r="K697" s="101">
        <f>Masters!M701</f>
        <v>4</v>
      </c>
      <c r="L697" s="101">
        <f>Masters!N701</f>
        <v>3</v>
      </c>
    </row>
    <row r="698">
      <c r="A698" s="101">
        <f>Masters!C702</f>
        <v>9472</v>
      </c>
      <c r="B698" s="102" t="str">
        <f>Masters!D702</f>
        <v>Graphic Arts Camera Operators</v>
      </c>
      <c r="C698" s="102" t="str">
        <f>Masters!E702</f>
        <v>Camera, platemaking and other prepress occupations</v>
      </c>
      <c r="D698" s="101">
        <f>Masters!F702</f>
        <v>3</v>
      </c>
      <c r="E698" s="101">
        <f>Masters!G702</f>
        <v>3</v>
      </c>
      <c r="F698" s="101">
        <f>Masters!H702</f>
        <v>3</v>
      </c>
      <c r="G698" s="101">
        <f>Masters!I702</f>
        <v>3</v>
      </c>
      <c r="H698" s="101">
        <f>Masters!J702</f>
        <v>2</v>
      </c>
      <c r="I698" s="101">
        <f>Masters!K702</f>
        <v>4</v>
      </c>
      <c r="J698" s="101">
        <f>Masters!L702</f>
        <v>3</v>
      </c>
      <c r="K698" s="101">
        <f>Masters!M702</f>
        <v>4</v>
      </c>
      <c r="L698" s="101">
        <f>Masters!N702</f>
        <v>4</v>
      </c>
    </row>
    <row r="699">
      <c r="A699" s="101">
        <f>Masters!C703</f>
        <v>5227</v>
      </c>
      <c r="B699" s="102" t="str">
        <f>Masters!D703</f>
        <v>Grips and Riggers</v>
      </c>
      <c r="C699" s="102" t="str">
        <f>Masters!E703</f>
        <v>Support occupations in motion pictures, broadcasting, photography and the performing arts</v>
      </c>
      <c r="D699" s="101">
        <f>Masters!F703</f>
        <v>4</v>
      </c>
      <c r="E699" s="101">
        <f>Masters!G703</f>
        <v>4</v>
      </c>
      <c r="F699" s="101">
        <f>Masters!H703</f>
        <v>5</v>
      </c>
      <c r="G699" s="101">
        <f>Masters!I703</f>
        <v>3</v>
      </c>
      <c r="H699" s="101">
        <f>Masters!J703</f>
        <v>4</v>
      </c>
      <c r="I699" s="101">
        <f>Masters!K703</f>
        <v>5</v>
      </c>
      <c r="J699" s="101">
        <f>Masters!L703</f>
        <v>3</v>
      </c>
      <c r="K699" s="101">
        <f>Masters!M703</f>
        <v>4</v>
      </c>
      <c r="L699" s="101">
        <f>Masters!N703</f>
        <v>3</v>
      </c>
    </row>
    <row r="700">
      <c r="A700" s="101">
        <f>Masters!C704</f>
        <v>5244</v>
      </c>
      <c r="B700" s="102" t="str">
        <f>Masters!D704</f>
        <v>Glass Blowers</v>
      </c>
      <c r="C700" s="102" t="str">
        <f>Masters!E704</f>
        <v>Artisans and craftspersons</v>
      </c>
      <c r="D700" s="101">
        <f>Masters!F704</f>
        <v>3</v>
      </c>
      <c r="E700" s="101">
        <f>Masters!G704</f>
        <v>4</v>
      </c>
      <c r="F700" s="101">
        <f>Masters!H704</f>
        <v>4</v>
      </c>
      <c r="G700" s="101">
        <f>Masters!I704</f>
        <v>2</v>
      </c>
      <c r="H700" s="101">
        <f>Masters!J704</f>
        <v>2</v>
      </c>
      <c r="I700" s="101">
        <f>Masters!K704</f>
        <v>4</v>
      </c>
      <c r="J700" s="101">
        <f>Masters!L704</f>
        <v>2</v>
      </c>
      <c r="K700" s="101">
        <f>Masters!M704</f>
        <v>3</v>
      </c>
      <c r="L700" s="101">
        <f>Masters!N704</f>
        <v>2</v>
      </c>
    </row>
    <row r="701">
      <c r="A701" s="101">
        <f>Masters!C705</f>
        <v>8612</v>
      </c>
      <c r="B701" s="102" t="str">
        <f>Masters!D705</f>
        <v>Landscaping and Grounds Maintenance Labourers</v>
      </c>
      <c r="C701" s="102" t="str">
        <f>Masters!E705</f>
        <v>Landscaping and grounds maintenance labourers</v>
      </c>
      <c r="D701" s="101">
        <f>Masters!F705</f>
        <v>4</v>
      </c>
      <c r="E701" s="101">
        <f>Masters!G705</f>
        <v>4</v>
      </c>
      <c r="F701" s="101">
        <f>Masters!H705</f>
        <v>5</v>
      </c>
      <c r="G701" s="101">
        <f>Masters!I705</f>
        <v>4</v>
      </c>
      <c r="H701" s="101">
        <f>Masters!J705</f>
        <v>4</v>
      </c>
      <c r="I701" s="101">
        <f>Masters!K705</f>
        <v>5</v>
      </c>
      <c r="J701" s="101">
        <f>Masters!L705</f>
        <v>3</v>
      </c>
      <c r="K701" s="101">
        <f>Masters!M705</f>
        <v>4</v>
      </c>
      <c r="L701" s="101">
        <f>Masters!N705</f>
        <v>3</v>
      </c>
    </row>
    <row r="702">
      <c r="A702" s="101">
        <f>Masters!C706</f>
        <v>6742</v>
      </c>
      <c r="B702" s="102" t="str">
        <f>Masters!D706</f>
        <v>Laundromat Attendants</v>
      </c>
      <c r="C702" s="102" t="str">
        <f>Masters!E706</f>
        <v>Other service support occupations, n.e.c.</v>
      </c>
      <c r="D702" s="101">
        <f>Masters!F706</f>
        <v>4</v>
      </c>
      <c r="E702" s="101">
        <f>Masters!G706</f>
        <v>4</v>
      </c>
      <c r="F702" s="101">
        <f>Masters!H706</f>
        <v>4</v>
      </c>
      <c r="G702" s="101">
        <f>Masters!I706</f>
        <v>4</v>
      </c>
      <c r="H702" s="101">
        <f>Masters!J706</f>
        <v>4</v>
      </c>
      <c r="I702" s="101">
        <f>Masters!K706</f>
        <v>4</v>
      </c>
      <c r="J702" s="101">
        <f>Masters!L706</f>
        <v>4</v>
      </c>
      <c r="K702" s="101">
        <f>Masters!M706</f>
        <v>4</v>
      </c>
      <c r="L702" s="101">
        <f>Masters!N706</f>
        <v>4</v>
      </c>
    </row>
    <row r="703">
      <c r="A703" s="101">
        <f>Masters!C707</f>
        <v>4211</v>
      </c>
      <c r="B703" s="102" t="str">
        <f>Masters!D707</f>
        <v>Legal Assistants and Paralegals</v>
      </c>
      <c r="C703" s="102" t="str">
        <f>Masters!E707</f>
        <v>Paralegal and related occupations</v>
      </c>
      <c r="D703" s="101">
        <f>Masters!F707</f>
        <v>3</v>
      </c>
      <c r="E703" s="101">
        <f>Masters!G707</f>
        <v>3</v>
      </c>
      <c r="F703" s="101">
        <f>Masters!H707</f>
        <v>3</v>
      </c>
      <c r="G703" s="101">
        <f>Masters!I707</f>
        <v>4</v>
      </c>
      <c r="H703" s="101">
        <f>Masters!J707</f>
        <v>4</v>
      </c>
      <c r="I703" s="101">
        <f>Masters!K707</f>
        <v>3</v>
      </c>
      <c r="J703" s="101">
        <f>Masters!L707</f>
        <v>4</v>
      </c>
      <c r="K703" s="101">
        <f>Masters!M707</f>
        <v>4</v>
      </c>
      <c r="L703" s="101">
        <f>Masters!N707</f>
        <v>4</v>
      </c>
    </row>
    <row r="704">
      <c r="A704" s="101">
        <f>Masters!C708</f>
        <v>11</v>
      </c>
      <c r="B704" s="102" t="str">
        <f>Masters!D708</f>
        <v>Legislators</v>
      </c>
      <c r="C704" s="102" t="str">
        <f>Masters!E708</f>
        <v>Legislators</v>
      </c>
      <c r="D704" s="101">
        <f>Masters!F708</f>
        <v>2</v>
      </c>
      <c r="E704" s="101">
        <f>Masters!G708</f>
        <v>2</v>
      </c>
      <c r="F704" s="101">
        <f>Masters!H708</f>
        <v>3</v>
      </c>
      <c r="G704" s="101">
        <f>Masters!I708</f>
        <v>4</v>
      </c>
      <c r="H704" s="101">
        <f>Masters!J708</f>
        <v>4</v>
      </c>
      <c r="I704" s="101">
        <f>Masters!K708</f>
        <v>3</v>
      </c>
      <c r="J704" s="101">
        <f>Masters!L708</f>
        <v>4</v>
      </c>
      <c r="K704" s="101">
        <f>Masters!M708</f>
        <v>4</v>
      </c>
      <c r="L704" s="101">
        <f>Masters!N708</f>
        <v>4</v>
      </c>
    </row>
    <row r="705">
      <c r="A705" s="101">
        <f>Masters!C709</f>
        <v>5111</v>
      </c>
      <c r="B705" s="102" t="str">
        <f>Masters!D709</f>
        <v>Librarians</v>
      </c>
      <c r="C705" s="102" t="str">
        <f>Masters!E709</f>
        <v>Librarians</v>
      </c>
      <c r="D705" s="101">
        <f>Masters!F709</f>
        <v>2</v>
      </c>
      <c r="E705" s="101">
        <f>Masters!G709</f>
        <v>2</v>
      </c>
      <c r="F705" s="101">
        <f>Masters!H709</f>
        <v>3</v>
      </c>
      <c r="G705" s="101">
        <f>Masters!I709</f>
        <v>4</v>
      </c>
      <c r="H705" s="101">
        <f>Masters!J709</f>
        <v>4</v>
      </c>
      <c r="I705" s="101">
        <f>Masters!K709</f>
        <v>3</v>
      </c>
      <c r="J705" s="101">
        <f>Masters!L709</f>
        <v>4</v>
      </c>
      <c r="K705" s="101">
        <f>Masters!M709</f>
        <v>4</v>
      </c>
      <c r="L705" s="101">
        <f>Masters!N709</f>
        <v>4</v>
      </c>
    </row>
    <row r="706">
      <c r="A706" s="101">
        <f>Masters!C710</f>
        <v>5211</v>
      </c>
      <c r="B706" s="102" t="str">
        <f>Masters!D710</f>
        <v>Library Technicians and Assistants</v>
      </c>
      <c r="C706" s="102" t="str">
        <f>Masters!E710</f>
        <v>Library and public archive technicians</v>
      </c>
      <c r="D706" s="101">
        <f>Masters!F710</f>
        <v>3</v>
      </c>
      <c r="E706" s="101">
        <f>Masters!G710</f>
        <v>3</v>
      </c>
      <c r="F706" s="101">
        <f>Masters!H710</f>
        <v>4</v>
      </c>
      <c r="G706" s="101">
        <f>Masters!I710</f>
        <v>4</v>
      </c>
      <c r="H706" s="101">
        <f>Masters!J710</f>
        <v>4</v>
      </c>
      <c r="I706" s="101">
        <f>Masters!K710</f>
        <v>2</v>
      </c>
      <c r="J706" s="101">
        <f>Masters!L710</f>
        <v>4</v>
      </c>
      <c r="K706" s="101">
        <f>Masters!M710</f>
        <v>4</v>
      </c>
      <c r="L706" s="101">
        <f>Masters!N710</f>
        <v>4</v>
      </c>
    </row>
    <row r="707">
      <c r="A707" s="101">
        <f>Masters!C711</f>
        <v>4423</v>
      </c>
      <c r="B707" s="102" t="str">
        <f>Masters!D711</f>
        <v>Liquor Licence Inspectors</v>
      </c>
      <c r="C707" s="102" t="str">
        <f>Masters!E711</f>
        <v>By-law enforcement and other regulatory officers, n.e.c.</v>
      </c>
      <c r="D707" s="101">
        <f>Masters!F711</f>
        <v>3</v>
      </c>
      <c r="E707" s="101">
        <f>Masters!G711</f>
        <v>3</v>
      </c>
      <c r="F707" s="101">
        <f>Masters!H711</f>
        <v>4</v>
      </c>
      <c r="G707" s="101">
        <f>Masters!I711</f>
        <v>4</v>
      </c>
      <c r="H707" s="101">
        <f>Masters!J711</f>
        <v>4</v>
      </c>
      <c r="I707" s="101">
        <f>Masters!K711</f>
        <v>4</v>
      </c>
      <c r="J707" s="101">
        <f>Masters!L711</f>
        <v>4</v>
      </c>
      <c r="K707" s="101">
        <f>Masters!M711</f>
        <v>4</v>
      </c>
      <c r="L707" s="101">
        <f>Masters!N711</f>
        <v>4</v>
      </c>
    </row>
    <row r="708">
      <c r="A708" s="101">
        <f>Masters!C712</f>
        <v>6511</v>
      </c>
      <c r="B708" s="102" t="str">
        <f>Masters!D712</f>
        <v>Maîtres d'hôtel and Hosts/Hostesses</v>
      </c>
      <c r="C708" s="102" t="str">
        <f>Masters!E712</f>
        <v>Maîtres d'hôtel and hosts/hostesses</v>
      </c>
      <c r="D708" s="101">
        <f>Masters!F712</f>
        <v>3</v>
      </c>
      <c r="E708" s="101">
        <f>Masters!G712</f>
        <v>3</v>
      </c>
      <c r="F708" s="101">
        <f>Masters!H712</f>
        <v>4</v>
      </c>
      <c r="G708" s="101">
        <f>Masters!I712</f>
        <v>4</v>
      </c>
      <c r="H708" s="101">
        <f>Masters!J712</f>
        <v>4</v>
      </c>
      <c r="I708" s="101">
        <f>Masters!K712</f>
        <v>4</v>
      </c>
      <c r="J708" s="101">
        <f>Masters!L712</f>
        <v>4</v>
      </c>
      <c r="K708" s="101">
        <f>Masters!M712</f>
        <v>4</v>
      </c>
      <c r="L708" s="101">
        <f>Masters!N712</f>
        <v>4</v>
      </c>
    </row>
    <row r="709">
      <c r="A709" s="101">
        <f>Masters!C713</f>
        <v>2113</v>
      </c>
      <c r="B709" s="102" t="str">
        <f>Masters!D713</f>
        <v>Materials Scientists</v>
      </c>
      <c r="C709" s="102" t="str">
        <f>Masters!E713</f>
        <v>Geoscientists and oceanographers</v>
      </c>
      <c r="D709" s="101">
        <f>Masters!F713</f>
        <v>1</v>
      </c>
      <c r="E709" s="101">
        <f>Masters!G713</f>
        <v>1</v>
      </c>
      <c r="F709" s="101">
        <f>Masters!H713</f>
        <v>1</v>
      </c>
      <c r="G709" s="101">
        <f>Masters!I713</f>
        <v>2</v>
      </c>
      <c r="H709" s="101">
        <f>Masters!J713</f>
        <v>2</v>
      </c>
      <c r="I709" s="101">
        <f>Masters!K713</f>
        <v>4</v>
      </c>
      <c r="J709" s="101">
        <f>Masters!L713</f>
        <v>3</v>
      </c>
      <c r="K709" s="101">
        <f>Masters!M713</f>
        <v>3</v>
      </c>
      <c r="L709" s="101">
        <f>Masters!N713</f>
        <v>3</v>
      </c>
    </row>
    <row r="710">
      <c r="A710" s="101">
        <f>Masters!C714</f>
        <v>2142</v>
      </c>
      <c r="B710" s="102" t="str">
        <f>Masters!D714</f>
        <v>Metallurgical and Materials Engineers</v>
      </c>
      <c r="C710" s="102" t="str">
        <f>Masters!E714</f>
        <v>Metallurgical and materials engineers</v>
      </c>
      <c r="D710" s="101">
        <f>Masters!F714</f>
        <v>1</v>
      </c>
      <c r="E710" s="101">
        <f>Masters!G714</f>
        <v>2</v>
      </c>
      <c r="F710" s="101">
        <f>Masters!H714</f>
        <v>1</v>
      </c>
      <c r="G710" s="101">
        <f>Masters!I714</f>
        <v>2</v>
      </c>
      <c r="H710" s="101">
        <f>Masters!J714</f>
        <v>3</v>
      </c>
      <c r="I710" s="101">
        <f>Masters!K714</f>
        <v>3</v>
      </c>
      <c r="J710" s="101">
        <f>Masters!L714</f>
        <v>4</v>
      </c>
      <c r="K710" s="101">
        <f>Masters!M714</f>
        <v>4</v>
      </c>
      <c r="L710" s="101">
        <f>Masters!N714</f>
        <v>4</v>
      </c>
    </row>
    <row r="711">
      <c r="A711" s="101">
        <f>Masters!C715</f>
        <v>2115</v>
      </c>
      <c r="B711" s="102" t="str">
        <f>Masters!D715</f>
        <v>Metallurgists</v>
      </c>
      <c r="C711" s="102" t="str">
        <f>Masters!E715</f>
        <v>Other professional occupations in physical sciences</v>
      </c>
      <c r="D711" s="101">
        <f>Masters!F715</f>
        <v>1</v>
      </c>
      <c r="E711" s="101">
        <f>Masters!G715</f>
        <v>1</v>
      </c>
      <c r="F711" s="101">
        <f>Masters!H715</f>
        <v>1</v>
      </c>
      <c r="G711" s="101">
        <f>Masters!I715</f>
        <v>2</v>
      </c>
      <c r="H711" s="101">
        <f>Masters!J715</f>
        <v>2</v>
      </c>
      <c r="I711" s="101">
        <f>Masters!K715</f>
        <v>4</v>
      </c>
      <c r="J711" s="101">
        <f>Masters!L715</f>
        <v>3</v>
      </c>
      <c r="K711" s="101">
        <f>Masters!M715</f>
        <v>3</v>
      </c>
      <c r="L711" s="101">
        <f>Masters!N715</f>
        <v>3</v>
      </c>
    </row>
    <row r="712">
      <c r="A712" s="101">
        <f>Masters!C716</f>
        <v>2114</v>
      </c>
      <c r="B712" s="102" t="str">
        <f>Masters!D716</f>
        <v>Meteorologists</v>
      </c>
      <c r="C712" s="102" t="str">
        <f>Masters!E716</f>
        <v>Meteorologists and climatologists</v>
      </c>
      <c r="D712" s="101">
        <f>Masters!F716</f>
        <v>1</v>
      </c>
      <c r="E712" s="101">
        <f>Masters!G716</f>
        <v>1</v>
      </c>
      <c r="F712" s="101">
        <f>Masters!H716</f>
        <v>1</v>
      </c>
      <c r="G712" s="101">
        <f>Masters!I716</f>
        <v>1</v>
      </c>
      <c r="H712" s="101">
        <f>Masters!J716</f>
        <v>2</v>
      </c>
      <c r="I712" s="101">
        <f>Masters!K716</f>
        <v>3</v>
      </c>
      <c r="J712" s="101">
        <f>Masters!L716</f>
        <v>4</v>
      </c>
      <c r="K712" s="101">
        <f>Masters!M716</f>
        <v>4</v>
      </c>
      <c r="L712" s="101">
        <f>Masters!N716</f>
        <v>3</v>
      </c>
    </row>
    <row r="713">
      <c r="A713" s="101">
        <f>Masters!C717</f>
        <v>2121</v>
      </c>
      <c r="B713" s="102" t="str">
        <f>Masters!D717</f>
        <v>Microbiologists and Cell and Molecular Biologists</v>
      </c>
      <c r="C713" s="102" t="str">
        <f>Masters!E717</f>
        <v>Biologists and related scientists</v>
      </c>
      <c r="D713" s="101">
        <f>Masters!F717</f>
        <v>1</v>
      </c>
      <c r="E713" s="101">
        <f>Masters!G717</f>
        <v>1</v>
      </c>
      <c r="F713" s="101">
        <f>Masters!H717</f>
        <v>1</v>
      </c>
      <c r="G713" s="101">
        <f>Masters!I717</f>
        <v>2</v>
      </c>
      <c r="H713" s="101">
        <f>Masters!J717</f>
        <v>2</v>
      </c>
      <c r="I713" s="101">
        <f>Masters!K717</f>
        <v>3</v>
      </c>
      <c r="J713" s="101">
        <f>Masters!L717</f>
        <v>4</v>
      </c>
      <c r="K713" s="101">
        <f>Masters!M717</f>
        <v>3</v>
      </c>
      <c r="L713" s="101">
        <f>Masters!N717</f>
        <v>3</v>
      </c>
    </row>
    <row r="714">
      <c r="A714" s="101">
        <f>Masters!C718</f>
        <v>2143</v>
      </c>
      <c r="B714" s="102" t="str">
        <f>Masters!D718</f>
        <v>Mining Engineers</v>
      </c>
      <c r="C714" s="102" t="str">
        <f>Masters!E718</f>
        <v>Mining engineers</v>
      </c>
      <c r="D714" s="101">
        <f>Masters!F718</f>
        <v>1</v>
      </c>
      <c r="E714" s="101">
        <f>Masters!G718</f>
        <v>2</v>
      </c>
      <c r="F714" s="101">
        <f>Masters!H718</f>
        <v>1</v>
      </c>
      <c r="G714" s="101">
        <f>Masters!I718</f>
        <v>1</v>
      </c>
      <c r="H714" s="101">
        <f>Masters!J718</f>
        <v>3</v>
      </c>
      <c r="I714" s="101">
        <f>Masters!K718</f>
        <v>4</v>
      </c>
      <c r="J714" s="101">
        <f>Masters!L718</f>
        <v>4</v>
      </c>
      <c r="K714" s="101">
        <f>Masters!M718</f>
        <v>4</v>
      </c>
      <c r="L714" s="101">
        <f>Masters!N718</f>
        <v>4</v>
      </c>
    </row>
    <row r="715">
      <c r="A715" s="101">
        <f>Masters!C719</f>
        <v>5212</v>
      </c>
      <c r="B715" s="102" t="str">
        <f>Masters!D719</f>
        <v>Museum Registrars and Cataloguers</v>
      </c>
      <c r="C715" s="102" t="str">
        <f>Masters!E719</f>
        <v>Technical occupations related to museums and art galleries</v>
      </c>
      <c r="D715" s="101">
        <f>Masters!F719</f>
        <v>2</v>
      </c>
      <c r="E715" s="101">
        <f>Masters!G719</f>
        <v>2</v>
      </c>
      <c r="F715" s="101">
        <f>Masters!H719</f>
        <v>3</v>
      </c>
      <c r="G715" s="101">
        <f>Masters!I719</f>
        <v>4</v>
      </c>
      <c r="H715" s="101">
        <f>Masters!J719</f>
        <v>4</v>
      </c>
      <c r="I715" s="101">
        <f>Masters!K719</f>
        <v>3</v>
      </c>
      <c r="J715" s="101">
        <f>Masters!L719</f>
        <v>4</v>
      </c>
      <c r="K715" s="101">
        <f>Masters!M719</f>
        <v>4</v>
      </c>
      <c r="L715" s="101">
        <f>Masters!N719</f>
        <v>4</v>
      </c>
    </row>
    <row r="716">
      <c r="A716" s="101">
        <f>Masters!C720</f>
        <v>2281</v>
      </c>
      <c r="B716" s="102" t="str">
        <f>Masters!D720</f>
        <v>Network System and Data Communication Engineers</v>
      </c>
      <c r="C716" s="102" t="str">
        <f>Masters!E720</f>
        <v>Computer network technicians</v>
      </c>
      <c r="D716" s="101">
        <f>Masters!F720</f>
        <v>1</v>
      </c>
      <c r="E716" s="101">
        <f>Masters!G720</f>
        <v>2</v>
      </c>
      <c r="F716" s="101">
        <f>Masters!H720</f>
        <v>1</v>
      </c>
      <c r="G716" s="101">
        <f>Masters!I720</f>
        <v>2</v>
      </c>
      <c r="H716" s="101">
        <f>Masters!J720</f>
        <v>3</v>
      </c>
      <c r="I716" s="101">
        <f>Masters!K720</f>
        <v>3</v>
      </c>
      <c r="J716" s="101">
        <f>Masters!L720</f>
        <v>4</v>
      </c>
      <c r="K716" s="101">
        <f>Masters!M720</f>
        <v>4</v>
      </c>
      <c r="L716" s="101">
        <f>Masters!N720</f>
        <v>4</v>
      </c>
    </row>
    <row r="717">
      <c r="A717" s="101">
        <f>Masters!C721</f>
        <v>9619</v>
      </c>
      <c r="B717" s="102" t="str">
        <f>Masters!D721</f>
        <v>Other Labourers in Processing, Manufacturing and Utilities</v>
      </c>
      <c r="C717" s="102" t="str">
        <f>Masters!E721</f>
        <v>Other labourers in processing, manufacturing and utilities</v>
      </c>
      <c r="D717" s="101">
        <f>Masters!F721</f>
        <v>4</v>
      </c>
      <c r="E717" s="101">
        <f>Masters!G721</f>
        <v>4</v>
      </c>
      <c r="F717" s="101">
        <f>Masters!H721</f>
        <v>4</v>
      </c>
      <c r="G717" s="101">
        <f>Masters!I721</f>
        <v>4</v>
      </c>
      <c r="H717" s="101">
        <f>Masters!J721</f>
        <v>4</v>
      </c>
      <c r="I717" s="101">
        <f>Masters!K721</f>
        <v>5</v>
      </c>
      <c r="J717" s="101">
        <f>Masters!L721</f>
        <v>4</v>
      </c>
      <c r="K717" s="101">
        <f>Masters!M721</f>
        <v>4</v>
      </c>
      <c r="L717" s="101">
        <f>Masters!N721</f>
        <v>3</v>
      </c>
    </row>
    <row r="718">
      <c r="A718" s="101">
        <f>Masters!C722</f>
        <v>9537</v>
      </c>
      <c r="B718" s="102" t="str">
        <f>Masters!D722</f>
        <v>Other Products Machine Operators</v>
      </c>
      <c r="C718" s="102" t="str">
        <f>Masters!E722</f>
        <v>Other products assemblers, finishers and inspectors</v>
      </c>
      <c r="D718" s="101">
        <f>Masters!F722</f>
        <v>4</v>
      </c>
      <c r="E718" s="101">
        <f>Masters!G722</f>
        <v>4</v>
      </c>
      <c r="F718" s="101">
        <f>Masters!H722</f>
        <v>4</v>
      </c>
      <c r="G718" s="101">
        <f>Masters!I722</f>
        <v>4</v>
      </c>
      <c r="H718" s="101">
        <f>Masters!J722</f>
        <v>4</v>
      </c>
      <c r="I718" s="101">
        <f>Masters!K722</f>
        <v>5</v>
      </c>
      <c r="J718" s="101">
        <f>Masters!L722</f>
        <v>4</v>
      </c>
      <c r="K718" s="101">
        <f>Masters!M722</f>
        <v>4</v>
      </c>
      <c r="L718" s="101">
        <f>Masters!N722</f>
        <v>3</v>
      </c>
    </row>
    <row r="719">
      <c r="A719" s="101">
        <f>Masters!C723</f>
        <v>6316</v>
      </c>
      <c r="B719" s="102" t="str">
        <f>Masters!D723</f>
        <v>Other Service Providers</v>
      </c>
      <c r="C719" s="102" t="str">
        <f>Masters!E723</f>
        <v>Other services supervisors</v>
      </c>
      <c r="D719" s="101">
        <f>Masters!F723</f>
        <v>3</v>
      </c>
      <c r="E719" s="101">
        <f>Masters!G723</f>
        <v>3</v>
      </c>
      <c r="F719" s="101">
        <f>Masters!H723</f>
        <v>4</v>
      </c>
      <c r="G719" s="101">
        <f>Masters!I723</f>
        <v>4</v>
      </c>
      <c r="H719" s="101">
        <f>Masters!J723</f>
        <v>4</v>
      </c>
      <c r="I719" s="101">
        <f>Masters!K723</f>
        <v>4</v>
      </c>
      <c r="J719" s="101">
        <f>Masters!L723</f>
        <v>4</v>
      </c>
      <c r="K719" s="101">
        <f>Masters!M723</f>
        <v>4</v>
      </c>
      <c r="L719" s="101">
        <f>Masters!N723</f>
        <v>4</v>
      </c>
    </row>
    <row r="720">
      <c r="A720" s="101">
        <f>Masters!C724</f>
        <v>651</v>
      </c>
      <c r="B720" s="102" t="str">
        <f>Masters!D724</f>
        <v>Other Services Managers</v>
      </c>
      <c r="C720" s="102" t="str">
        <f>Masters!E724</f>
        <v>Managers in customer and personal services, n.e.c.</v>
      </c>
      <c r="D720" s="101">
        <f>Masters!F724</f>
        <v>3</v>
      </c>
      <c r="E720" s="101">
        <f>Masters!G724</f>
        <v>3</v>
      </c>
      <c r="F720" s="101">
        <f>Masters!H724</f>
        <v>3</v>
      </c>
      <c r="G720" s="101">
        <f>Masters!I724</f>
        <v>4</v>
      </c>
      <c r="H720" s="101">
        <f>Masters!J724</f>
        <v>4</v>
      </c>
      <c r="I720" s="101">
        <f>Masters!K724</f>
        <v>3</v>
      </c>
      <c r="J720" s="101">
        <f>Masters!L724</f>
        <v>4</v>
      </c>
      <c r="K720" s="101">
        <f>Masters!M724</f>
        <v>4</v>
      </c>
      <c r="L720" s="101">
        <f>Masters!N724</f>
        <v>4</v>
      </c>
    </row>
    <row r="721">
      <c r="A721" s="101">
        <f>Masters!C725</f>
        <v>4411</v>
      </c>
      <c r="B721" s="102" t="str">
        <f>Masters!D725</f>
        <v>Parents' Helpers</v>
      </c>
      <c r="C721" s="102" t="str">
        <f>Masters!E725</f>
        <v>Home child care providers</v>
      </c>
      <c r="D721" s="101">
        <f>Masters!F725</f>
        <v>4</v>
      </c>
      <c r="E721" s="101">
        <f>Masters!G725</f>
        <v>4</v>
      </c>
      <c r="F721" s="101">
        <f>Masters!H725</f>
        <v>4</v>
      </c>
      <c r="G721" s="101">
        <f>Masters!I725</f>
        <v>4</v>
      </c>
      <c r="H721" s="101">
        <f>Masters!J725</f>
        <v>4</v>
      </c>
      <c r="I721" s="101">
        <f>Masters!K725</f>
        <v>5</v>
      </c>
      <c r="J721" s="101">
        <f>Masters!L725</f>
        <v>4</v>
      </c>
      <c r="K721" s="101">
        <f>Masters!M725</f>
        <v>4</v>
      </c>
      <c r="L721" s="101">
        <f>Masters!N725</f>
        <v>3</v>
      </c>
    </row>
    <row r="722">
      <c r="A722" s="101">
        <f>Masters!C726</f>
        <v>6742</v>
      </c>
      <c r="B722" s="102" t="str">
        <f>Masters!D726</f>
        <v>Parking Lot Attendants and Car Jockeys</v>
      </c>
      <c r="C722" s="102" t="str">
        <f>Masters!E726</f>
        <v>Other service support occupations, n.e.c.</v>
      </c>
      <c r="D722" s="101">
        <f>Masters!F726</f>
        <v>4</v>
      </c>
      <c r="E722" s="101">
        <f>Masters!G726</f>
        <v>4</v>
      </c>
      <c r="F722" s="101">
        <f>Masters!H726</f>
        <v>4</v>
      </c>
      <c r="G722" s="101">
        <f>Masters!I726</f>
        <v>4</v>
      </c>
      <c r="H722" s="101">
        <f>Masters!J726</f>
        <v>4</v>
      </c>
      <c r="I722" s="101">
        <f>Masters!K726</f>
        <v>4</v>
      </c>
      <c r="J722" s="101">
        <f>Masters!L726</f>
        <v>4</v>
      </c>
      <c r="K722" s="101">
        <f>Masters!M726</f>
        <v>4</v>
      </c>
      <c r="L722" s="101">
        <f>Masters!N726</f>
        <v>4</v>
      </c>
    </row>
    <row r="723">
      <c r="A723" s="101">
        <f>Masters!C727</f>
        <v>1223</v>
      </c>
      <c r="B723" s="102" t="str">
        <f>Masters!D727</f>
        <v>Personnel and Recruitment Officers</v>
      </c>
      <c r="C723" s="102" t="str">
        <f>Masters!E727</f>
        <v>Human resources and recruitment officers</v>
      </c>
      <c r="D723" s="101">
        <f>Masters!F727</f>
        <v>2</v>
      </c>
      <c r="E723" s="101">
        <f>Masters!G727</f>
        <v>2</v>
      </c>
      <c r="F723" s="101">
        <f>Masters!H727</f>
        <v>3</v>
      </c>
      <c r="G723" s="101">
        <f>Masters!I727</f>
        <v>4</v>
      </c>
      <c r="H723" s="101">
        <f>Masters!J727</f>
        <v>4</v>
      </c>
      <c r="I723" s="101">
        <f>Masters!K727</f>
        <v>3</v>
      </c>
      <c r="J723" s="101">
        <f>Masters!L727</f>
        <v>4</v>
      </c>
      <c r="K723" s="101">
        <f>Masters!M727</f>
        <v>4</v>
      </c>
      <c r="L723" s="101">
        <f>Masters!N727</f>
        <v>4</v>
      </c>
    </row>
    <row r="724">
      <c r="A724" s="101">
        <f>Masters!C728</f>
        <v>1415</v>
      </c>
      <c r="B724" s="102" t="str">
        <f>Masters!D728</f>
        <v>Personnel Clerks</v>
      </c>
      <c r="C724" s="102" t="str">
        <f>Masters!E728</f>
        <v>Personnel clerks</v>
      </c>
      <c r="D724" s="101">
        <f>Masters!F728</f>
        <v>3</v>
      </c>
      <c r="E724" s="101">
        <f>Masters!G728</f>
        <v>3</v>
      </c>
      <c r="F724" s="101">
        <f>Masters!H728</f>
        <v>3</v>
      </c>
      <c r="G724" s="101">
        <f>Masters!I728</f>
        <v>4</v>
      </c>
      <c r="H724" s="101">
        <f>Masters!J728</f>
        <v>4</v>
      </c>
      <c r="I724" s="101">
        <f>Masters!K728</f>
        <v>3</v>
      </c>
      <c r="J724" s="101">
        <f>Masters!L728</f>
        <v>4</v>
      </c>
      <c r="K724" s="101">
        <f>Masters!M728</f>
        <v>4</v>
      </c>
      <c r="L724" s="101">
        <f>Masters!N728</f>
        <v>4</v>
      </c>
    </row>
    <row r="725">
      <c r="A725" s="101">
        <f>Masters!C729</f>
        <v>2145</v>
      </c>
      <c r="B725" s="102" t="str">
        <f>Masters!D729</f>
        <v>Petroleum Engineers</v>
      </c>
      <c r="C725" s="102" t="str">
        <f>Masters!E729</f>
        <v>Petroleum engineers</v>
      </c>
      <c r="D725" s="101">
        <f>Masters!F729</f>
        <v>1</v>
      </c>
      <c r="E725" s="101">
        <f>Masters!G729</f>
        <v>2</v>
      </c>
      <c r="F725" s="101">
        <f>Masters!H729</f>
        <v>1</v>
      </c>
      <c r="G725" s="101">
        <f>Masters!I729</f>
        <v>2</v>
      </c>
      <c r="H725" s="101">
        <f>Masters!J729</f>
        <v>3</v>
      </c>
      <c r="I725" s="101">
        <f>Masters!K729</f>
        <v>3</v>
      </c>
      <c r="J725" s="101">
        <f>Masters!L729</f>
        <v>4</v>
      </c>
      <c r="K725" s="101">
        <f>Masters!M729</f>
        <v>4</v>
      </c>
      <c r="L725" s="101">
        <f>Masters!N729</f>
        <v>4</v>
      </c>
    </row>
    <row r="726">
      <c r="A726" s="101">
        <f>Masters!C730</f>
        <v>132</v>
      </c>
      <c r="B726" s="102" t="str">
        <f>Masters!D730</f>
        <v>Postal and Courier Services Managers</v>
      </c>
      <c r="C726" s="102" t="str">
        <f>Masters!E730</f>
        <v>Postal and courier services managers</v>
      </c>
      <c r="D726" s="101">
        <f>Masters!F730</f>
        <v>2</v>
      </c>
      <c r="E726" s="101">
        <f>Masters!G730</f>
        <v>2</v>
      </c>
      <c r="F726" s="101">
        <f>Masters!H730</f>
        <v>3</v>
      </c>
      <c r="G726" s="101">
        <f>Masters!I730</f>
        <v>4</v>
      </c>
      <c r="H726" s="101">
        <f>Masters!J730</f>
        <v>4</v>
      </c>
      <c r="I726" s="101">
        <f>Masters!K730</f>
        <v>3</v>
      </c>
      <c r="J726" s="101">
        <f>Masters!L730</f>
        <v>4</v>
      </c>
      <c r="K726" s="101">
        <f>Masters!M730</f>
        <v>4</v>
      </c>
      <c r="L726" s="101">
        <f>Masters!N730</f>
        <v>4</v>
      </c>
    </row>
    <row r="727">
      <c r="A727" s="101">
        <f>Masters!C731</f>
        <v>4155</v>
      </c>
      <c r="B727" s="102" t="str">
        <f>Masters!D731</f>
        <v>Probation and Parole Officers</v>
      </c>
      <c r="C727" s="102" t="str">
        <f>Masters!E731</f>
        <v>Probation and parole officers and related occupations</v>
      </c>
      <c r="D727" s="101">
        <f>Masters!F731</f>
        <v>2</v>
      </c>
      <c r="E727" s="101">
        <f>Masters!G731</f>
        <v>2</v>
      </c>
      <c r="F727" s="101">
        <f>Masters!H731</f>
        <v>3</v>
      </c>
      <c r="G727" s="101">
        <f>Masters!I731</f>
        <v>4</v>
      </c>
      <c r="H727" s="101">
        <f>Masters!J731</f>
        <v>4</v>
      </c>
      <c r="I727" s="101">
        <f>Masters!K731</f>
        <v>3</v>
      </c>
      <c r="J727" s="101">
        <f>Masters!L731</f>
        <v>4</v>
      </c>
      <c r="K727" s="101">
        <f>Masters!M731</f>
        <v>4</v>
      </c>
      <c r="L727" s="101">
        <f>Masters!N731</f>
        <v>4</v>
      </c>
    </row>
    <row r="728">
      <c r="A728" s="101">
        <f>Masters!C732</f>
        <v>1523</v>
      </c>
      <c r="B728" s="102" t="str">
        <f>Masters!D732</f>
        <v>Production Clerks</v>
      </c>
      <c r="C728" s="102" t="str">
        <f>Masters!E732</f>
        <v>Production logistics co-ordinators</v>
      </c>
      <c r="D728" s="101">
        <f>Masters!F732</f>
        <v>3</v>
      </c>
      <c r="E728" s="101">
        <f>Masters!G732</f>
        <v>3</v>
      </c>
      <c r="F728" s="101">
        <f>Masters!H732</f>
        <v>3</v>
      </c>
      <c r="G728" s="101">
        <f>Masters!I732</f>
        <v>4</v>
      </c>
      <c r="H728" s="101">
        <f>Masters!J732</f>
        <v>4</v>
      </c>
      <c r="I728" s="101">
        <f>Masters!K732</f>
        <v>3</v>
      </c>
      <c r="J728" s="101">
        <f>Masters!L732</f>
        <v>4</v>
      </c>
      <c r="K728" s="101">
        <f>Masters!M732</f>
        <v>4</v>
      </c>
      <c r="L728" s="101">
        <f>Masters!N732</f>
        <v>4</v>
      </c>
    </row>
    <row r="729">
      <c r="A729" s="101">
        <f>Masters!C733</f>
        <v>4168</v>
      </c>
      <c r="B729" s="102" t="str">
        <f>Masters!D733</f>
        <v>Program Officers Unique to Government</v>
      </c>
      <c r="C729" s="102" t="str">
        <f>Masters!E733</f>
        <v>Program officers unique to government</v>
      </c>
      <c r="D729" s="101">
        <f>Masters!F733</f>
        <v>2</v>
      </c>
      <c r="E729" s="101">
        <f>Masters!G733</f>
        <v>2</v>
      </c>
      <c r="F729" s="101">
        <f>Masters!H733</f>
        <v>3</v>
      </c>
      <c r="G729" s="101">
        <f>Masters!I733</f>
        <v>4</v>
      </c>
      <c r="H729" s="101">
        <f>Masters!J733</f>
        <v>4</v>
      </c>
      <c r="I729" s="101">
        <f>Masters!K733</f>
        <v>3</v>
      </c>
      <c r="J729" s="101">
        <f>Masters!L733</f>
        <v>4</v>
      </c>
      <c r="K729" s="101">
        <f>Masters!M733</f>
        <v>4</v>
      </c>
      <c r="L729" s="101">
        <f>Masters!N733</f>
        <v>4</v>
      </c>
    </row>
    <row r="730">
      <c r="A730" s="101">
        <f>Masters!C734</f>
        <v>1224</v>
      </c>
      <c r="B730" s="102" t="str">
        <f>Masters!D734</f>
        <v>Property Administrators</v>
      </c>
      <c r="C730" s="102" t="str">
        <f>Masters!E734</f>
        <v>Property administrators</v>
      </c>
      <c r="D730" s="101">
        <f>Masters!F734</f>
        <v>2</v>
      </c>
      <c r="E730" s="101">
        <f>Masters!G734</f>
        <v>2</v>
      </c>
      <c r="F730" s="101">
        <f>Masters!H734</f>
        <v>3</v>
      </c>
      <c r="G730" s="101">
        <f>Masters!I734</f>
        <v>4</v>
      </c>
      <c r="H730" s="101">
        <f>Masters!J734</f>
        <v>4</v>
      </c>
      <c r="I730" s="101">
        <f>Masters!K734</f>
        <v>3</v>
      </c>
      <c r="J730" s="101">
        <f>Masters!L734</f>
        <v>4</v>
      </c>
      <c r="K730" s="101">
        <f>Masters!M734</f>
        <v>4</v>
      </c>
      <c r="L730" s="101">
        <f>Masters!N734</f>
        <v>4</v>
      </c>
    </row>
    <row r="731">
      <c r="A731" s="101">
        <f>Masters!C735</f>
        <v>1524</v>
      </c>
      <c r="B731" s="102" t="str">
        <f>Masters!D735</f>
        <v>Purchasing Clerks</v>
      </c>
      <c r="C731" s="102" t="str">
        <f>Masters!E735</f>
        <v>Purchasing and inventory control workers</v>
      </c>
      <c r="D731" s="101">
        <f>Masters!F735</f>
        <v>3</v>
      </c>
      <c r="E731" s="101">
        <f>Masters!G735</f>
        <v>3</v>
      </c>
      <c r="F731" s="101">
        <f>Masters!H735</f>
        <v>3</v>
      </c>
      <c r="G731" s="101">
        <f>Masters!I735</f>
        <v>4</v>
      </c>
      <c r="H731" s="101">
        <f>Masters!J735</f>
        <v>4</v>
      </c>
      <c r="I731" s="101">
        <f>Masters!K735</f>
        <v>3</v>
      </c>
      <c r="J731" s="101">
        <f>Masters!L735</f>
        <v>4</v>
      </c>
      <c r="K731" s="101">
        <f>Masters!M735</f>
        <v>4</v>
      </c>
      <c r="L731" s="101">
        <f>Masters!N735</f>
        <v>4</v>
      </c>
    </row>
    <row r="732">
      <c r="A732" s="101">
        <f>Masters!C736</f>
        <v>1525</v>
      </c>
      <c r="B732" s="102" t="str">
        <f>Masters!D736</f>
        <v>Radio Operators</v>
      </c>
      <c r="C732" s="102" t="str">
        <f>Masters!E736</f>
        <v>Dispatchers</v>
      </c>
      <c r="D732" s="101">
        <f>Masters!F736</f>
        <v>3</v>
      </c>
      <c r="E732" s="101">
        <f>Masters!G736</f>
        <v>3</v>
      </c>
      <c r="F732" s="101">
        <f>Masters!H736</f>
        <v>3</v>
      </c>
      <c r="G732" s="101">
        <f>Masters!I736</f>
        <v>4</v>
      </c>
      <c r="H732" s="101">
        <f>Masters!J736</f>
        <v>4</v>
      </c>
      <c r="I732" s="101">
        <f>Masters!K736</f>
        <v>3</v>
      </c>
      <c r="J732" s="101">
        <f>Masters!L736</f>
        <v>4</v>
      </c>
      <c r="K732" s="101">
        <f>Masters!M736</f>
        <v>4</v>
      </c>
      <c r="L732" s="101">
        <f>Masters!N736</f>
        <v>4</v>
      </c>
    </row>
    <row r="733">
      <c r="A733" s="101">
        <f>Masters!C737</f>
        <v>7531</v>
      </c>
      <c r="B733" s="102" t="str">
        <f>Masters!D737</f>
        <v>Railway Yard Workers</v>
      </c>
      <c r="C733" s="102" t="str">
        <f>Masters!E737</f>
        <v>Railway yard and track maintenance workers</v>
      </c>
      <c r="D733" s="101">
        <f>Masters!F737</f>
        <v>3</v>
      </c>
      <c r="E733" s="101">
        <f>Masters!G737</f>
        <v>4</v>
      </c>
      <c r="F733" s="101">
        <f>Masters!H737</f>
        <v>5</v>
      </c>
      <c r="G733" s="101">
        <f>Masters!I737</f>
        <v>4</v>
      </c>
      <c r="H733" s="101">
        <f>Masters!J737</f>
        <v>4</v>
      </c>
      <c r="I733" s="101">
        <f>Masters!K737</f>
        <v>4</v>
      </c>
      <c r="J733" s="101">
        <f>Masters!L737</f>
        <v>4</v>
      </c>
      <c r="K733" s="101">
        <f>Masters!M737</f>
        <v>4</v>
      </c>
      <c r="L733" s="101">
        <f>Masters!N737</f>
        <v>4</v>
      </c>
    </row>
    <row r="734">
      <c r="A734" s="101">
        <f>Masters!C738</f>
        <v>6232</v>
      </c>
      <c r="B734" s="102" t="str">
        <f>Masters!D738</f>
        <v>Real Estate Agents and Salespersons</v>
      </c>
      <c r="C734" s="102" t="str">
        <f>Masters!E738</f>
        <v>Real estate agents and salespersons</v>
      </c>
      <c r="D734" s="101">
        <f>Masters!F738</f>
        <v>3</v>
      </c>
      <c r="E734" s="101">
        <f>Masters!G738</f>
        <v>3</v>
      </c>
      <c r="F734" s="101">
        <f>Masters!H738</f>
        <v>3</v>
      </c>
      <c r="G734" s="101">
        <f>Masters!I738</f>
        <v>4</v>
      </c>
      <c r="H734" s="101">
        <f>Masters!J738</f>
        <v>4</v>
      </c>
      <c r="I734" s="101">
        <f>Masters!K738</f>
        <v>3</v>
      </c>
      <c r="J734" s="101">
        <f>Masters!L738</f>
        <v>4</v>
      </c>
      <c r="K734" s="101">
        <f>Masters!M738</f>
        <v>4</v>
      </c>
      <c r="L734" s="101">
        <f>Masters!N738</f>
        <v>4</v>
      </c>
    </row>
    <row r="735">
      <c r="A735" s="101">
        <f>Masters!C739</f>
        <v>513</v>
      </c>
      <c r="B735" s="102" t="str">
        <f>Masters!D739</f>
        <v>Recreation and Sports Program and Service Directors</v>
      </c>
      <c r="C735" s="102" t="str">
        <f>Masters!E739</f>
        <v>Recreation, sports and fitness program and service directors</v>
      </c>
      <c r="D735" s="101">
        <f>Masters!F739</f>
        <v>2</v>
      </c>
      <c r="E735" s="101">
        <f>Masters!G739</f>
        <v>2</v>
      </c>
      <c r="F735" s="101">
        <f>Masters!H739</f>
        <v>3</v>
      </c>
      <c r="G735" s="101">
        <f>Masters!I739</f>
        <v>4</v>
      </c>
      <c r="H735" s="101">
        <f>Masters!J739</f>
        <v>4</v>
      </c>
      <c r="I735" s="101">
        <f>Masters!K739</f>
        <v>3</v>
      </c>
      <c r="J735" s="101">
        <f>Masters!L739</f>
        <v>4</v>
      </c>
      <c r="K735" s="101">
        <f>Masters!M739</f>
        <v>4</v>
      </c>
      <c r="L735" s="101">
        <f>Masters!N739</f>
        <v>4</v>
      </c>
    </row>
    <row r="736">
      <c r="A736" s="101">
        <f>Masters!C740</f>
        <v>4167</v>
      </c>
      <c r="B736" s="102" t="str">
        <f>Masters!D740</f>
        <v>Recreation, Sports and Fitness Policy Analysts</v>
      </c>
      <c r="C736" s="102" t="str">
        <f>Masters!E740</f>
        <v>Recreation, sports and fitness policy researchers, consultants and program officers</v>
      </c>
      <c r="D736" s="101">
        <f>Masters!F740</f>
        <v>2</v>
      </c>
      <c r="E736" s="101">
        <f>Masters!G740</f>
        <v>2</v>
      </c>
      <c r="F736" s="101">
        <f>Masters!H740</f>
        <v>3</v>
      </c>
      <c r="G736" s="101">
        <f>Masters!I740</f>
        <v>4</v>
      </c>
      <c r="H736" s="101">
        <f>Masters!J740</f>
        <v>4</v>
      </c>
      <c r="I736" s="101">
        <f>Masters!K740</f>
        <v>3</v>
      </c>
      <c r="J736" s="101">
        <f>Masters!L740</f>
        <v>4</v>
      </c>
      <c r="K736" s="101">
        <f>Masters!M740</f>
        <v>4</v>
      </c>
      <c r="L736" s="101">
        <f>Masters!N740</f>
        <v>4</v>
      </c>
    </row>
    <row r="737">
      <c r="A737" s="101">
        <f>Masters!C741</f>
        <v>712</v>
      </c>
      <c r="B737" s="102" t="str">
        <f>Masters!D741</f>
        <v>Residential Home Builders and Renovators</v>
      </c>
      <c r="C737" s="102" t="str">
        <f>Masters!E741</f>
        <v>Home building and renovation managers</v>
      </c>
      <c r="D737" s="101">
        <f>Masters!F741</f>
        <v>3</v>
      </c>
      <c r="E737" s="101">
        <f>Masters!G741</f>
        <v>3</v>
      </c>
      <c r="F737" s="101">
        <f>Masters!H741</f>
        <v>3</v>
      </c>
      <c r="G737" s="101">
        <f>Masters!I741</f>
        <v>3</v>
      </c>
      <c r="H737" s="101">
        <f>Masters!J741</f>
        <v>4</v>
      </c>
      <c r="I737" s="101">
        <f>Masters!K741</f>
        <v>4</v>
      </c>
      <c r="J737" s="101">
        <f>Masters!L741</f>
        <v>4</v>
      </c>
      <c r="K737" s="101">
        <f>Masters!M741</f>
        <v>4</v>
      </c>
      <c r="L737" s="101">
        <f>Masters!N741</f>
        <v>4</v>
      </c>
    </row>
    <row r="738">
      <c r="A738" s="101">
        <f>Masters!C742</f>
        <v>631</v>
      </c>
      <c r="B738" s="102" t="str">
        <f>Masters!D742</f>
        <v>Restaurant and Food Service Managers</v>
      </c>
      <c r="C738" s="102" t="str">
        <f>Masters!E742</f>
        <v>Restaurant and food service managers</v>
      </c>
      <c r="D738" s="101">
        <f>Masters!F742</f>
        <v>3</v>
      </c>
      <c r="E738" s="101">
        <f>Masters!G742</f>
        <v>3</v>
      </c>
      <c r="F738" s="101">
        <f>Masters!H742</f>
        <v>3</v>
      </c>
      <c r="G738" s="101">
        <f>Masters!I742</f>
        <v>4</v>
      </c>
      <c r="H738" s="101">
        <f>Masters!J742</f>
        <v>4</v>
      </c>
      <c r="I738" s="101">
        <f>Masters!K742</f>
        <v>3</v>
      </c>
      <c r="J738" s="101">
        <f>Masters!L742</f>
        <v>4</v>
      </c>
      <c r="K738" s="101">
        <f>Masters!M742</f>
        <v>4</v>
      </c>
      <c r="L738" s="101">
        <f>Masters!N742</f>
        <v>4</v>
      </c>
    </row>
    <row r="739">
      <c r="A739" s="101">
        <f>Masters!C743</f>
        <v>6541</v>
      </c>
      <c r="B739" s="102" t="str">
        <f>Masters!D743</f>
        <v>Retail Loss Prevention Officers</v>
      </c>
      <c r="C739" s="102" t="str">
        <f>Masters!E743</f>
        <v>Security guards and related security service occupations</v>
      </c>
      <c r="D739" s="101">
        <f>Masters!F743</f>
        <v>3</v>
      </c>
      <c r="E739" s="101">
        <f>Masters!G743</f>
        <v>3</v>
      </c>
      <c r="F739" s="101">
        <f>Masters!H743</f>
        <v>4</v>
      </c>
      <c r="G739" s="101">
        <f>Masters!I743</f>
        <v>4</v>
      </c>
      <c r="H739" s="101">
        <f>Masters!J743</f>
        <v>4</v>
      </c>
      <c r="I739" s="101">
        <f>Masters!K743</f>
        <v>4</v>
      </c>
      <c r="J739" s="101">
        <f>Masters!L743</f>
        <v>4</v>
      </c>
      <c r="K739" s="101">
        <f>Masters!M743</f>
        <v>4</v>
      </c>
      <c r="L739" s="101">
        <f>Masters!N743</f>
        <v>4</v>
      </c>
    </row>
    <row r="740">
      <c r="A740" s="101">
        <f>Masters!C744</f>
        <v>6421</v>
      </c>
      <c r="B740" s="102" t="str">
        <f>Masters!D744</f>
        <v>Retail Salespersons and Sales Clerks</v>
      </c>
      <c r="C740" s="102" t="str">
        <f>Masters!E744</f>
        <v>Retail salespersons</v>
      </c>
      <c r="D740" s="101">
        <f>Masters!F744</f>
        <v>3</v>
      </c>
      <c r="E740" s="101">
        <f>Masters!G744</f>
        <v>3</v>
      </c>
      <c r="F740" s="101">
        <f>Masters!H744</f>
        <v>3</v>
      </c>
      <c r="G740" s="101">
        <f>Masters!I744</f>
        <v>4</v>
      </c>
      <c r="H740" s="101">
        <f>Masters!J744</f>
        <v>4</v>
      </c>
      <c r="I740" s="101">
        <f>Masters!K744</f>
        <v>3</v>
      </c>
      <c r="J740" s="101">
        <f>Masters!L744</f>
        <v>4</v>
      </c>
      <c r="K740" s="101">
        <f>Masters!M744</f>
        <v>4</v>
      </c>
      <c r="L740" s="101">
        <f>Masters!N744</f>
        <v>4</v>
      </c>
    </row>
    <row r="741">
      <c r="A741" s="101">
        <f>Masters!C745</f>
        <v>621</v>
      </c>
      <c r="B741" s="102" t="str">
        <f>Masters!D745</f>
        <v>Retail Trade Managers</v>
      </c>
      <c r="C741" s="102" t="str">
        <f>Masters!E745</f>
        <v>Retail and wholesale trade managers</v>
      </c>
      <c r="D741" s="101">
        <f>Masters!F745</f>
        <v>3</v>
      </c>
      <c r="E741" s="101">
        <f>Masters!G745</f>
        <v>3</v>
      </c>
      <c r="F741" s="101">
        <f>Masters!H745</f>
        <v>3</v>
      </c>
      <c r="G741" s="101">
        <f>Masters!I745</f>
        <v>4</v>
      </c>
      <c r="H741" s="101">
        <f>Masters!J745</f>
        <v>4</v>
      </c>
      <c r="I741" s="101">
        <f>Masters!K745</f>
        <v>3</v>
      </c>
      <c r="J741" s="101">
        <f>Masters!L745</f>
        <v>4</v>
      </c>
      <c r="K741" s="101">
        <f>Masters!M745</f>
        <v>4</v>
      </c>
      <c r="L741" s="101">
        <f>Masters!N745</f>
        <v>4</v>
      </c>
    </row>
    <row r="742">
      <c r="A742" s="101">
        <f>Masters!C746</f>
        <v>6211</v>
      </c>
      <c r="B742" s="102" t="str">
        <f>Masters!D746</f>
        <v>Retail Trade Supervisors</v>
      </c>
      <c r="C742" s="102" t="str">
        <f>Masters!E746</f>
        <v>Retail sales supervisors</v>
      </c>
      <c r="D742" s="101">
        <f>Masters!F746</f>
        <v>3</v>
      </c>
      <c r="E742" s="101">
        <f>Masters!G746</f>
        <v>3</v>
      </c>
      <c r="F742" s="101">
        <f>Masters!H746</f>
        <v>3</v>
      </c>
      <c r="G742" s="101">
        <f>Masters!I746</f>
        <v>4</v>
      </c>
      <c r="H742" s="101">
        <f>Masters!J746</f>
        <v>4</v>
      </c>
      <c r="I742" s="101">
        <f>Masters!K746</f>
        <v>3</v>
      </c>
      <c r="J742" s="101">
        <f>Masters!L746</f>
        <v>4</v>
      </c>
      <c r="K742" s="101">
        <f>Masters!M746</f>
        <v>4</v>
      </c>
      <c r="L742" s="101">
        <f>Masters!N746</f>
        <v>4</v>
      </c>
    </row>
    <row r="743">
      <c r="A743" s="101">
        <f>Masters!C747</f>
        <v>6411</v>
      </c>
      <c r="B743" s="102" t="str">
        <f>Masters!D747</f>
        <v>Sales Representatives - Wholesale Trade (Non-Technical)</v>
      </c>
      <c r="C743" s="102" t="str">
        <f>Masters!E747</f>
        <v>Sales and account representatives - wholesale trade (non-technical)</v>
      </c>
      <c r="D743" s="101">
        <f>Masters!F747</f>
        <v>3</v>
      </c>
      <c r="E743" s="101">
        <f>Masters!G747</f>
        <v>3</v>
      </c>
      <c r="F743" s="101">
        <f>Masters!H747</f>
        <v>3</v>
      </c>
      <c r="G743" s="101">
        <f>Masters!I747</f>
        <v>4</v>
      </c>
      <c r="H743" s="101">
        <f>Masters!J747</f>
        <v>4</v>
      </c>
      <c r="I743" s="101">
        <f>Masters!K747</f>
        <v>3</v>
      </c>
      <c r="J743" s="101">
        <f>Masters!L747</f>
        <v>4</v>
      </c>
      <c r="K743" s="101">
        <f>Masters!M747</f>
        <v>4</v>
      </c>
      <c r="L743" s="101">
        <f>Masters!N747</f>
        <v>4</v>
      </c>
    </row>
    <row r="744">
      <c r="A744" s="101">
        <f>Masters!C748</f>
        <v>4031</v>
      </c>
      <c r="B744" s="102" t="str">
        <f>Masters!D748</f>
        <v>Secondary School Teachers</v>
      </c>
      <c r="C744" s="102" t="str">
        <f>Masters!E748</f>
        <v>Secondary school teachers</v>
      </c>
      <c r="D744" s="101">
        <f>Masters!F748</f>
        <v>2</v>
      </c>
      <c r="E744" s="101">
        <f>Masters!G748</f>
        <v>2</v>
      </c>
      <c r="F744" s="101">
        <f>Masters!H748</f>
        <v>2</v>
      </c>
      <c r="G744" s="101">
        <f>Masters!I748</f>
        <v>4</v>
      </c>
      <c r="H744" s="101">
        <f>Masters!J748</f>
        <v>3</v>
      </c>
      <c r="I744" s="101">
        <f>Masters!K748</f>
        <v>3</v>
      </c>
      <c r="J744" s="101">
        <f>Masters!L748</f>
        <v>4</v>
      </c>
      <c r="K744" s="101">
        <f>Masters!M748</f>
        <v>4</v>
      </c>
      <c r="L744" s="101">
        <f>Masters!N748</f>
        <v>4</v>
      </c>
    </row>
    <row r="745">
      <c r="A745" s="101">
        <f>Masters!C749</f>
        <v>6721</v>
      </c>
      <c r="B745" s="102" t="str">
        <f>Masters!D749</f>
        <v>Ship Attendants</v>
      </c>
      <c r="C745" s="102" t="str">
        <f>Masters!E749</f>
        <v>Support occupations in accommodation, travel and facilities set-up services</v>
      </c>
      <c r="D745" s="101">
        <f>Masters!F749</f>
        <v>4</v>
      </c>
      <c r="E745" s="101">
        <f>Masters!G749</f>
        <v>4</v>
      </c>
      <c r="F745" s="101">
        <f>Masters!H749</f>
        <v>4</v>
      </c>
      <c r="G745" s="101">
        <f>Masters!I749</f>
        <v>4</v>
      </c>
      <c r="H745" s="101">
        <f>Masters!J749</f>
        <v>4</v>
      </c>
      <c r="I745" s="101">
        <f>Masters!K749</f>
        <v>5</v>
      </c>
      <c r="J745" s="101">
        <f>Masters!L749</f>
        <v>4</v>
      </c>
      <c r="K745" s="101">
        <f>Masters!M749</f>
        <v>4</v>
      </c>
      <c r="L745" s="101">
        <f>Masters!N749</f>
        <v>3</v>
      </c>
    </row>
    <row r="746">
      <c r="A746" s="101">
        <f>Masters!C750</f>
        <v>1315</v>
      </c>
      <c r="B746" s="102" t="str">
        <f>Masters!D750</f>
        <v>Ship Brokers</v>
      </c>
      <c r="C746" s="102" t="str">
        <f>Masters!E750</f>
        <v>Customs, ship and other brokers</v>
      </c>
      <c r="D746" s="101">
        <f>Masters!F750</f>
        <v>2</v>
      </c>
      <c r="E746" s="101">
        <f>Masters!G750</f>
        <v>2</v>
      </c>
      <c r="F746" s="101">
        <f>Masters!H750</f>
        <v>3</v>
      </c>
      <c r="G746" s="101">
        <f>Masters!I750</f>
        <v>4</v>
      </c>
      <c r="H746" s="101">
        <f>Masters!J750</f>
        <v>4</v>
      </c>
      <c r="I746" s="101">
        <f>Masters!K750</f>
        <v>3</v>
      </c>
      <c r="J746" s="101">
        <f>Masters!L750</f>
        <v>4</v>
      </c>
      <c r="K746" s="101">
        <f>Masters!M750</f>
        <v>4</v>
      </c>
      <c r="L746" s="101">
        <f>Masters!N750</f>
        <v>4</v>
      </c>
    </row>
    <row r="747">
      <c r="A747" s="101">
        <f>Masters!C751</f>
        <v>4164</v>
      </c>
      <c r="B747" s="102" t="str">
        <f>Masters!D751</f>
        <v>Social Policy Researchers</v>
      </c>
      <c r="C747" s="102" t="str">
        <f>Masters!E751</f>
        <v>Social policy researchers, consultants and program officers</v>
      </c>
      <c r="D747" s="101">
        <f>Masters!F751</f>
        <v>2</v>
      </c>
      <c r="E747" s="101">
        <f>Masters!G751</f>
        <v>2</v>
      </c>
      <c r="F747" s="101">
        <f>Masters!H751</f>
        <v>3</v>
      </c>
      <c r="G747" s="101">
        <f>Masters!I751</f>
        <v>4</v>
      </c>
      <c r="H747" s="101">
        <f>Masters!J751</f>
        <v>4</v>
      </c>
      <c r="I747" s="101">
        <f>Masters!K751</f>
        <v>3</v>
      </c>
      <c r="J747" s="101">
        <f>Masters!L751</f>
        <v>4</v>
      </c>
      <c r="K747" s="101">
        <f>Masters!M751</f>
        <v>4</v>
      </c>
      <c r="L747" s="101">
        <f>Masters!N751</f>
        <v>4</v>
      </c>
    </row>
    <row r="748">
      <c r="A748" s="101">
        <f>Masters!C752</f>
        <v>4164</v>
      </c>
      <c r="B748" s="102" t="str">
        <f>Masters!D752</f>
        <v>Social Services Planners</v>
      </c>
      <c r="C748" s="102" t="str">
        <f>Masters!E752</f>
        <v>Social policy researchers, consultants and program officers</v>
      </c>
      <c r="D748" s="101">
        <f>Masters!F752</f>
        <v>2</v>
      </c>
      <c r="E748" s="101">
        <f>Masters!G752</f>
        <v>2</v>
      </c>
      <c r="F748" s="101">
        <f>Masters!H752</f>
        <v>3</v>
      </c>
      <c r="G748" s="101">
        <f>Masters!I752</f>
        <v>4</v>
      </c>
      <c r="H748" s="101">
        <f>Masters!J752</f>
        <v>4</v>
      </c>
      <c r="I748" s="101">
        <f>Masters!K752</f>
        <v>3</v>
      </c>
      <c r="J748" s="101">
        <f>Masters!L752</f>
        <v>4</v>
      </c>
      <c r="K748" s="101">
        <f>Masters!M752</f>
        <v>4</v>
      </c>
      <c r="L748" s="101">
        <f>Masters!N752</f>
        <v>4</v>
      </c>
    </row>
    <row r="749">
      <c r="A749" s="101">
        <f>Masters!C753</f>
        <v>4152</v>
      </c>
      <c r="B749" s="102" t="str">
        <f>Masters!D753</f>
        <v>Social Workers</v>
      </c>
      <c r="C749" s="102" t="str">
        <f>Masters!E753</f>
        <v>Social workers</v>
      </c>
      <c r="D749" s="101">
        <f>Masters!F753</f>
        <v>2</v>
      </c>
      <c r="E749" s="101">
        <f>Masters!G753</f>
        <v>2</v>
      </c>
      <c r="F749" s="101">
        <f>Masters!H753</f>
        <v>3</v>
      </c>
      <c r="G749" s="101">
        <f>Masters!I753</f>
        <v>4</v>
      </c>
      <c r="H749" s="101">
        <f>Masters!J753</f>
        <v>4</v>
      </c>
      <c r="I749" s="101">
        <f>Masters!K753</f>
        <v>3</v>
      </c>
      <c r="J749" s="101">
        <f>Masters!L753</f>
        <v>4</v>
      </c>
      <c r="K749" s="101">
        <f>Masters!M753</f>
        <v>4</v>
      </c>
      <c r="L749" s="101">
        <f>Masters!N753</f>
        <v>4</v>
      </c>
    </row>
    <row r="750">
      <c r="A750" s="101">
        <f>Masters!C754</f>
        <v>2147</v>
      </c>
      <c r="B750" s="102" t="str">
        <f>Masters!D754</f>
        <v>Software Engineers</v>
      </c>
      <c r="C750" s="102" t="str">
        <f>Masters!E754</f>
        <v>Computer engineers (except software engineers and designers)</v>
      </c>
      <c r="D750" s="101">
        <f>Masters!F754</f>
        <v>1</v>
      </c>
      <c r="E750" s="101">
        <f>Masters!G754</f>
        <v>2</v>
      </c>
      <c r="F750" s="101">
        <f>Masters!H754</f>
        <v>1</v>
      </c>
      <c r="G750" s="101">
        <f>Masters!I754</f>
        <v>2</v>
      </c>
      <c r="H750" s="101">
        <f>Masters!J754</f>
        <v>3</v>
      </c>
      <c r="I750" s="101">
        <f>Masters!K754</f>
        <v>3</v>
      </c>
      <c r="J750" s="101">
        <f>Masters!L754</f>
        <v>4</v>
      </c>
      <c r="K750" s="101">
        <f>Masters!M754</f>
        <v>4</v>
      </c>
      <c r="L750" s="101">
        <f>Masters!N754</f>
        <v>4</v>
      </c>
    </row>
    <row r="751">
      <c r="A751" s="101">
        <f>Masters!C755</f>
        <v>2115</v>
      </c>
      <c r="B751" s="102" t="str">
        <f>Masters!D755</f>
        <v>Soil Scientists</v>
      </c>
      <c r="C751" s="102" t="str">
        <f>Masters!E755</f>
        <v>Other professional occupations in physical sciences</v>
      </c>
      <c r="D751" s="101">
        <f>Masters!F755</f>
        <v>1</v>
      </c>
      <c r="E751" s="101">
        <f>Masters!G755</f>
        <v>1</v>
      </c>
      <c r="F751" s="101">
        <f>Masters!H755</f>
        <v>1</v>
      </c>
      <c r="G751" s="101">
        <f>Masters!I755</f>
        <v>2</v>
      </c>
      <c r="H751" s="101">
        <f>Masters!J755</f>
        <v>2</v>
      </c>
      <c r="I751" s="101">
        <f>Masters!K755</f>
        <v>4</v>
      </c>
      <c r="J751" s="101">
        <f>Masters!L755</f>
        <v>3</v>
      </c>
      <c r="K751" s="101">
        <f>Masters!M755</f>
        <v>3</v>
      </c>
      <c r="L751" s="101">
        <f>Masters!N755</f>
        <v>3</v>
      </c>
    </row>
    <row r="752">
      <c r="A752" s="101">
        <f>Masters!C756</f>
        <v>1121</v>
      </c>
      <c r="B752" s="102" t="str">
        <f>Masters!D756</f>
        <v>Specialists in Human Resources</v>
      </c>
      <c r="C752" s="102" t="str">
        <f>Masters!E756</f>
        <v>Human resources professionals</v>
      </c>
      <c r="D752" s="101">
        <f>Masters!F756</f>
        <v>2</v>
      </c>
      <c r="E752" s="101">
        <f>Masters!G756</f>
        <v>2</v>
      </c>
      <c r="F752" s="101">
        <f>Masters!H756</f>
        <v>3</v>
      </c>
      <c r="G752" s="101">
        <f>Masters!I756</f>
        <v>4</v>
      </c>
      <c r="H752" s="101">
        <f>Masters!J756</f>
        <v>4</v>
      </c>
      <c r="I752" s="101">
        <f>Masters!K756</f>
        <v>3</v>
      </c>
      <c r="J752" s="101">
        <f>Masters!L756</f>
        <v>4</v>
      </c>
      <c r="K752" s="101">
        <f>Masters!M756</f>
        <v>4</v>
      </c>
      <c r="L752" s="101">
        <f>Masters!N756</f>
        <v>4</v>
      </c>
    </row>
    <row r="753">
      <c r="A753" s="101">
        <f>Masters!C757</f>
        <v>3111</v>
      </c>
      <c r="B753" s="102" t="str">
        <f>Masters!D757</f>
        <v>Specialists in Laboratory Medicine</v>
      </c>
      <c r="C753" s="102" t="str">
        <f>Masters!E757</f>
        <v>Specialist physicians</v>
      </c>
      <c r="D753" s="101">
        <f>Masters!F757</f>
        <v>1</v>
      </c>
      <c r="E753" s="101">
        <f>Masters!G757</f>
        <v>1</v>
      </c>
      <c r="F753" s="101">
        <f>Masters!H757</f>
        <v>1</v>
      </c>
      <c r="G753" s="101">
        <f>Masters!I757</f>
        <v>2</v>
      </c>
      <c r="H753" s="101">
        <f>Masters!J757</f>
        <v>2</v>
      </c>
      <c r="I753" s="101">
        <f>Masters!K757</f>
        <v>3</v>
      </c>
      <c r="J753" s="101">
        <f>Masters!L757</f>
        <v>3</v>
      </c>
      <c r="K753" s="101">
        <f>Masters!M757</f>
        <v>2</v>
      </c>
      <c r="L753" s="101">
        <f>Masters!N757</f>
        <v>3</v>
      </c>
    </row>
    <row r="754">
      <c r="A754" s="101">
        <f>Masters!C758</f>
        <v>6623</v>
      </c>
      <c r="B754" s="102" t="str">
        <f>Masters!D758</f>
        <v>Street Vendors</v>
      </c>
      <c r="C754" s="102" t="str">
        <f>Masters!E758</f>
        <v>Other sales related occupations</v>
      </c>
      <c r="D754" s="101">
        <f>Masters!F758</f>
        <v>4</v>
      </c>
      <c r="E754" s="101">
        <f>Masters!G758</f>
        <v>4</v>
      </c>
      <c r="F754" s="101">
        <f>Masters!H758</f>
        <v>4</v>
      </c>
      <c r="G754" s="101">
        <f>Masters!I758</f>
        <v>4</v>
      </c>
      <c r="H754" s="101">
        <f>Masters!J758</f>
        <v>4</v>
      </c>
      <c r="I754" s="101">
        <f>Masters!K758</f>
        <v>4</v>
      </c>
      <c r="J754" s="101">
        <f>Masters!L758</f>
        <v>4</v>
      </c>
      <c r="K754" s="101">
        <f>Masters!M758</f>
        <v>4</v>
      </c>
      <c r="L754" s="101">
        <f>Masters!N758</f>
        <v>4</v>
      </c>
    </row>
    <row r="755">
      <c r="A755" s="101">
        <f>Masters!C759</f>
        <v>9213</v>
      </c>
      <c r="B755" s="102" t="str">
        <f>Masters!D759</f>
        <v>Supervisors, Food, Beverage and Tobacco Processing</v>
      </c>
      <c r="C755" s="102" t="str">
        <f>Masters!E759</f>
        <v>Supervisors, food, beverage and associated products processing</v>
      </c>
      <c r="D755" s="101">
        <f>Masters!F759</f>
        <v>3</v>
      </c>
      <c r="E755" s="101">
        <f>Masters!G759</f>
        <v>3</v>
      </c>
      <c r="F755" s="101">
        <f>Masters!H759</f>
        <v>3</v>
      </c>
      <c r="G755" s="101">
        <f>Masters!I759</f>
        <v>4</v>
      </c>
      <c r="H755" s="101">
        <f>Masters!J759</f>
        <v>4</v>
      </c>
      <c r="I755" s="101">
        <f>Masters!K759</f>
        <v>3</v>
      </c>
      <c r="J755" s="101">
        <f>Masters!L759</f>
        <v>4</v>
      </c>
      <c r="K755" s="101">
        <f>Masters!M759</f>
        <v>4</v>
      </c>
      <c r="L755" s="101">
        <f>Masters!N759</f>
        <v>4</v>
      </c>
    </row>
    <row r="756">
      <c r="A756" s="101">
        <f>Masters!C760</f>
        <v>1211</v>
      </c>
      <c r="B756" s="102" t="str">
        <f>Masters!D760</f>
        <v>Supervisors, General Office and Administrative Support Clerks</v>
      </c>
      <c r="C756" s="102" t="str">
        <f>Masters!E760</f>
        <v>Supervisors, general office and administrative support workers</v>
      </c>
      <c r="D756" s="101">
        <f>Masters!F760</f>
        <v>3</v>
      </c>
      <c r="E756" s="101">
        <f>Masters!G760</f>
        <v>3</v>
      </c>
      <c r="F756" s="101">
        <f>Masters!H760</f>
        <v>3</v>
      </c>
      <c r="G756" s="101">
        <f>Masters!I760</f>
        <v>4</v>
      </c>
      <c r="H756" s="101">
        <f>Masters!J760</f>
        <v>4</v>
      </c>
      <c r="I756" s="101">
        <f>Masters!K760</f>
        <v>3</v>
      </c>
      <c r="J756" s="101">
        <f>Masters!L760</f>
        <v>4</v>
      </c>
      <c r="K756" s="101">
        <f>Masters!M760</f>
        <v>4</v>
      </c>
      <c r="L756" s="101">
        <f>Masters!N760</f>
        <v>4</v>
      </c>
    </row>
    <row r="757">
      <c r="A757" s="101">
        <f>Masters!C761</f>
        <v>2225</v>
      </c>
      <c r="B757" s="102" t="str">
        <f>Masters!D761</f>
        <v>Supervisors, Landscape and Horticulture</v>
      </c>
      <c r="C757" s="102" t="str">
        <f>Masters!E761</f>
        <v>Landscape and horticulture technicians and specialists</v>
      </c>
      <c r="D757" s="101">
        <f>Masters!F761</f>
        <v>3</v>
      </c>
      <c r="E757" s="101">
        <f>Masters!G761</f>
        <v>3</v>
      </c>
      <c r="F757" s="101">
        <f>Masters!H761</f>
        <v>4</v>
      </c>
      <c r="G757" s="101">
        <f>Masters!I761</f>
        <v>4</v>
      </c>
      <c r="H757" s="101">
        <f>Masters!J761</f>
        <v>4</v>
      </c>
      <c r="I757" s="101">
        <f>Masters!K761</f>
        <v>4</v>
      </c>
      <c r="J757" s="101">
        <f>Masters!L761</f>
        <v>4</v>
      </c>
      <c r="K757" s="101">
        <f>Masters!M761</f>
        <v>4</v>
      </c>
      <c r="L757" s="101">
        <f>Masters!N761</f>
        <v>4</v>
      </c>
    </row>
    <row r="758">
      <c r="A758" s="101">
        <f>Masters!C762</f>
        <v>1215</v>
      </c>
      <c r="B758" s="102" t="str">
        <f>Masters!D762</f>
        <v>Supervisors, Recording, Distributing and Scheduling Occupations</v>
      </c>
      <c r="C758" s="102" t="str">
        <f>Masters!E762</f>
        <v>Supervisors, supply chain, tracking and scheduling co-ordination occupations</v>
      </c>
      <c r="D758" s="101">
        <f>Masters!F762</f>
        <v>3</v>
      </c>
      <c r="E758" s="101">
        <f>Masters!G762</f>
        <v>3</v>
      </c>
      <c r="F758" s="101">
        <f>Masters!H762</f>
        <v>3</v>
      </c>
      <c r="G758" s="101">
        <f>Masters!I762</f>
        <v>4</v>
      </c>
      <c r="H758" s="101">
        <f>Masters!J762</f>
        <v>4</v>
      </c>
      <c r="I758" s="101">
        <f>Masters!K762</f>
        <v>3</v>
      </c>
      <c r="J758" s="101">
        <f>Masters!L762</f>
        <v>4</v>
      </c>
      <c r="K758" s="101">
        <f>Masters!M762</f>
        <v>4</v>
      </c>
      <c r="L758" s="101">
        <f>Masters!N762</f>
        <v>4</v>
      </c>
    </row>
    <row r="759">
      <c r="A759" s="101">
        <f>Masters!C763</f>
        <v>2171</v>
      </c>
      <c r="B759" s="102" t="str">
        <f>Masters!D763</f>
        <v>Systems Security Analysts</v>
      </c>
      <c r="C759" s="102" t="str">
        <f>Masters!E763</f>
        <v>Information systems analysts and consultants</v>
      </c>
      <c r="D759" s="101">
        <f>Masters!F763</f>
        <v>2</v>
      </c>
      <c r="E759" s="101">
        <f>Masters!G763</f>
        <v>2</v>
      </c>
      <c r="F759" s="101">
        <f>Masters!H763</f>
        <v>2</v>
      </c>
      <c r="G759" s="101">
        <f>Masters!I763</f>
        <v>2</v>
      </c>
      <c r="H759" s="101">
        <f>Masters!J763</f>
        <v>2</v>
      </c>
      <c r="I759" s="101">
        <f>Masters!K763</f>
        <v>2</v>
      </c>
      <c r="J759" s="101">
        <f>Masters!L763</f>
        <v>4</v>
      </c>
      <c r="K759" s="101">
        <f>Masters!M763</f>
        <v>4</v>
      </c>
      <c r="L759" s="101">
        <f>Masters!N763</f>
        <v>4</v>
      </c>
    </row>
    <row r="760">
      <c r="A760" s="101">
        <f>Masters!C764</f>
        <v>4423</v>
      </c>
      <c r="B760" s="102" t="str">
        <f>Masters!D764</f>
        <v>Taxi Inspectors</v>
      </c>
      <c r="C760" s="102" t="str">
        <f>Masters!E764</f>
        <v>By-law enforcement and other regulatory officers, n.e.c.</v>
      </c>
      <c r="D760" s="101">
        <f>Masters!F764</f>
        <v>3</v>
      </c>
      <c r="E760" s="101">
        <f>Masters!G764</f>
        <v>3</v>
      </c>
      <c r="F760" s="101">
        <f>Masters!H764</f>
        <v>4</v>
      </c>
      <c r="G760" s="101">
        <f>Masters!I764</f>
        <v>4</v>
      </c>
      <c r="H760" s="101">
        <f>Masters!J764</f>
        <v>4</v>
      </c>
      <c r="I760" s="101">
        <f>Masters!K764</f>
        <v>4</v>
      </c>
      <c r="J760" s="101">
        <f>Masters!L764</f>
        <v>4</v>
      </c>
      <c r="K760" s="101">
        <f>Masters!M764</f>
        <v>4</v>
      </c>
      <c r="L760" s="101">
        <f>Masters!N764</f>
        <v>4</v>
      </c>
    </row>
    <row r="761">
      <c r="A761" s="101">
        <f>Masters!C765</f>
        <v>131</v>
      </c>
      <c r="B761" s="102" t="str">
        <f>Masters!D765</f>
        <v>Telecommunication Carriers Managers</v>
      </c>
      <c r="C761" s="102" t="str">
        <f>Masters!E765</f>
        <v>Telecommunication carriers managers</v>
      </c>
      <c r="D761" s="101">
        <f>Masters!F765</f>
        <v>2</v>
      </c>
      <c r="E761" s="101">
        <f>Masters!G765</f>
        <v>2</v>
      </c>
      <c r="F761" s="101">
        <f>Masters!H765</f>
        <v>2</v>
      </c>
      <c r="G761" s="101">
        <f>Masters!I765</f>
        <v>3</v>
      </c>
      <c r="H761" s="101">
        <f>Masters!J765</f>
        <v>4</v>
      </c>
      <c r="I761" s="101">
        <f>Masters!K765</f>
        <v>3</v>
      </c>
      <c r="J761" s="101">
        <f>Masters!L765</f>
        <v>4</v>
      </c>
      <c r="K761" s="101">
        <f>Masters!M765</f>
        <v>4</v>
      </c>
      <c r="L761" s="101">
        <f>Masters!N765</f>
        <v>4</v>
      </c>
    </row>
    <row r="762">
      <c r="A762" s="101">
        <f>Masters!C766</f>
        <v>5125</v>
      </c>
      <c r="B762" s="102" t="str">
        <f>Masters!D766</f>
        <v>Terminologists</v>
      </c>
      <c r="C762" s="102" t="str">
        <f>Masters!E766</f>
        <v>Translators, terminologists and interpreters</v>
      </c>
      <c r="D762" s="101">
        <f>Masters!F766</f>
        <v>2</v>
      </c>
      <c r="E762" s="101">
        <f>Masters!G766</f>
        <v>1</v>
      </c>
      <c r="F762" s="101">
        <f>Masters!H766</f>
        <v>4</v>
      </c>
      <c r="G762" s="101">
        <f>Masters!I766</f>
        <v>4</v>
      </c>
      <c r="H762" s="101">
        <f>Masters!J766</f>
        <v>4</v>
      </c>
      <c r="I762" s="101">
        <f>Masters!K766</f>
        <v>3</v>
      </c>
      <c r="J762" s="101">
        <f>Masters!L766</f>
        <v>4</v>
      </c>
      <c r="K762" s="101">
        <f>Masters!M766</f>
        <v>4</v>
      </c>
      <c r="L762" s="101">
        <f>Masters!N766</f>
        <v>4</v>
      </c>
    </row>
    <row r="763">
      <c r="A763" s="101">
        <f>Masters!C767</f>
        <v>2148</v>
      </c>
      <c r="B763" s="102" t="str">
        <f>Masters!D767</f>
        <v>Textile Engineers</v>
      </c>
      <c r="C763" s="102" t="str">
        <f>Masters!E767</f>
        <v>Other professional engineers, n.e.c.</v>
      </c>
      <c r="D763" s="101">
        <f>Masters!F767</f>
        <v>1</v>
      </c>
      <c r="E763" s="101">
        <f>Masters!G767</f>
        <v>2</v>
      </c>
      <c r="F763" s="101">
        <f>Masters!H767</f>
        <v>1</v>
      </c>
      <c r="G763" s="101">
        <f>Masters!I767</f>
        <v>1</v>
      </c>
      <c r="H763" s="101">
        <f>Masters!J767</f>
        <v>3</v>
      </c>
      <c r="I763" s="101">
        <f>Masters!K767</f>
        <v>4</v>
      </c>
      <c r="J763" s="101">
        <f>Masters!L767</f>
        <v>4</v>
      </c>
      <c r="K763" s="101">
        <f>Masters!M767</f>
        <v>4</v>
      </c>
      <c r="L763" s="101">
        <f>Masters!N767</f>
        <v>4</v>
      </c>
    </row>
    <row r="764">
      <c r="A764" s="101">
        <f>Masters!C768</f>
        <v>9441</v>
      </c>
      <c r="B764" s="102" t="str">
        <f>Masters!D768</f>
        <v>Textile Fibre and Yarn Preparation Machine Operators</v>
      </c>
      <c r="C764" s="102" t="str">
        <f>Masters!E768</f>
        <v>Textile fibre and yarn, hide and pelt processing machine operators and workers</v>
      </c>
      <c r="D764" s="101">
        <f>Masters!F768</f>
        <v>4</v>
      </c>
      <c r="E764" s="101">
        <f>Masters!G768</f>
        <v>4</v>
      </c>
      <c r="F764" s="101">
        <f>Masters!H768</f>
        <v>5</v>
      </c>
      <c r="G764" s="101">
        <f>Masters!I768</f>
        <v>4</v>
      </c>
      <c r="H764" s="101">
        <f>Masters!J768</f>
        <v>4</v>
      </c>
      <c r="I764" s="101">
        <f>Masters!K768</f>
        <v>5</v>
      </c>
      <c r="J764" s="101">
        <f>Masters!L768</f>
        <v>3</v>
      </c>
      <c r="K764" s="101">
        <f>Masters!M768</f>
        <v>4</v>
      </c>
      <c r="L764" s="101">
        <f>Masters!N768</f>
        <v>3</v>
      </c>
    </row>
    <row r="765">
      <c r="A765" s="101">
        <f>Masters!C769</f>
        <v>6524</v>
      </c>
      <c r="B765" s="102" t="str">
        <f>Masters!D769</f>
        <v>Ticket Agents and Related Clerks (Except Airline)</v>
      </c>
      <c r="C765" s="102" t="str">
        <f>Masters!E769</f>
        <v>Ground and water transport ticket agents, cargo service representatives and related clerks</v>
      </c>
      <c r="D765" s="101">
        <f>Masters!F769</f>
        <v>3</v>
      </c>
      <c r="E765" s="101">
        <f>Masters!G769</f>
        <v>3</v>
      </c>
      <c r="F765" s="101">
        <f>Masters!H769</f>
        <v>3</v>
      </c>
      <c r="G765" s="101">
        <f>Masters!I769</f>
        <v>4</v>
      </c>
      <c r="H765" s="101">
        <f>Masters!J769</f>
        <v>4</v>
      </c>
      <c r="I765" s="101">
        <f>Masters!K769</f>
        <v>3</v>
      </c>
      <c r="J765" s="101">
        <f>Masters!L769</f>
        <v>4</v>
      </c>
      <c r="K765" s="101">
        <f>Masters!M769</f>
        <v>4</v>
      </c>
      <c r="L765" s="101">
        <f>Masters!N769</f>
        <v>4</v>
      </c>
    </row>
    <row r="766">
      <c r="A766" s="101">
        <f>Masters!C770</f>
        <v>9461</v>
      </c>
      <c r="B766" s="102" t="str">
        <f>Masters!D770</f>
        <v>Tobacco Processing Machine Operators</v>
      </c>
      <c r="C766" s="102" t="str">
        <f>Masters!E770</f>
        <v>Process control and machine operators, food, beverage and associated products processing</v>
      </c>
      <c r="D766" s="101">
        <f>Masters!F770</f>
        <v>4</v>
      </c>
      <c r="E766" s="101">
        <f>Masters!G770</f>
        <v>4</v>
      </c>
      <c r="F766" s="101">
        <f>Masters!H770</f>
        <v>4</v>
      </c>
      <c r="G766" s="101">
        <f>Masters!I770</f>
        <v>4</v>
      </c>
      <c r="H766" s="101">
        <f>Masters!J770</f>
        <v>4</v>
      </c>
      <c r="I766" s="101">
        <f>Masters!K770</f>
        <v>5</v>
      </c>
      <c r="J766" s="101">
        <f>Masters!L770</f>
        <v>4</v>
      </c>
      <c r="K766" s="101">
        <f>Masters!M770</f>
        <v>4</v>
      </c>
      <c r="L766" s="101">
        <f>Masters!N770</f>
        <v>3</v>
      </c>
    </row>
    <row r="767">
      <c r="A767" s="101">
        <f>Masters!C771</f>
        <v>6531</v>
      </c>
      <c r="B767" s="102" t="str">
        <f>Masters!D771</f>
        <v>Tour Guides</v>
      </c>
      <c r="C767" s="102" t="str">
        <f>Masters!E771</f>
        <v>Tour and travel guides</v>
      </c>
      <c r="D767" s="101">
        <f>Masters!F771</f>
        <v>3</v>
      </c>
      <c r="E767" s="101">
        <f>Masters!G771</f>
        <v>3</v>
      </c>
      <c r="F767" s="101">
        <f>Masters!H771</f>
        <v>3</v>
      </c>
      <c r="G767" s="101">
        <f>Masters!I771</f>
        <v>4</v>
      </c>
      <c r="H767" s="101">
        <f>Masters!J771</f>
        <v>4</v>
      </c>
      <c r="I767" s="101">
        <f>Masters!K771</f>
        <v>3</v>
      </c>
      <c r="J767" s="101">
        <f>Masters!L771</f>
        <v>4</v>
      </c>
      <c r="K767" s="101">
        <f>Masters!M771</f>
        <v>4</v>
      </c>
      <c r="L767" s="101">
        <f>Masters!N771</f>
        <v>4</v>
      </c>
    </row>
    <row r="768">
      <c r="A768" s="101">
        <f>Masters!C772</f>
        <v>7384</v>
      </c>
      <c r="B768" s="102" t="str">
        <f>Masters!D772</f>
        <v>Trademark Agents</v>
      </c>
      <c r="C768" s="102" t="str">
        <f>Masters!E772</f>
        <v>Other trades and related occupations, n.e.c.</v>
      </c>
      <c r="D768" s="101">
        <f>Masters!F772</f>
        <v>2</v>
      </c>
      <c r="E768" s="101">
        <f>Masters!G772</f>
        <v>2</v>
      </c>
      <c r="F768" s="101">
        <f>Masters!H772</f>
        <v>3</v>
      </c>
      <c r="G768" s="101">
        <f>Masters!I772</f>
        <v>4</v>
      </c>
      <c r="H768" s="101">
        <f>Masters!J772</f>
        <v>4</v>
      </c>
      <c r="I768" s="101">
        <f>Masters!K772</f>
        <v>3</v>
      </c>
      <c r="J768" s="101">
        <f>Masters!L772</f>
        <v>4</v>
      </c>
      <c r="K768" s="101">
        <f>Masters!M772</f>
        <v>4</v>
      </c>
      <c r="L768" s="101">
        <f>Masters!N772</f>
        <v>4</v>
      </c>
    </row>
    <row r="769">
      <c r="A769" s="101">
        <f>Masters!C773</f>
        <v>1526</v>
      </c>
      <c r="B769" s="102" t="str">
        <f>Masters!D773</f>
        <v>Transportation Route and Crew Schedulers</v>
      </c>
      <c r="C769" s="102" t="str">
        <f>Masters!E773</f>
        <v>Transportation route and crew schedulers</v>
      </c>
      <c r="D769" s="101">
        <f>Masters!F773</f>
        <v>3</v>
      </c>
      <c r="E769" s="101">
        <f>Masters!G773</f>
        <v>3</v>
      </c>
      <c r="F769" s="101">
        <f>Masters!H773</f>
        <v>3</v>
      </c>
      <c r="G769" s="101">
        <f>Masters!I773</f>
        <v>4</v>
      </c>
      <c r="H769" s="101">
        <f>Masters!J773</f>
        <v>4</v>
      </c>
      <c r="I769" s="101">
        <f>Masters!K773</f>
        <v>3</v>
      </c>
      <c r="J769" s="101">
        <f>Masters!L773</f>
        <v>4</v>
      </c>
      <c r="K769" s="101">
        <f>Masters!M773</f>
        <v>4</v>
      </c>
      <c r="L769" s="101">
        <f>Masters!N773</f>
        <v>4</v>
      </c>
    </row>
    <row r="770">
      <c r="A770" s="101">
        <f>Masters!C774</f>
        <v>8442</v>
      </c>
      <c r="B770" s="102" t="str">
        <f>Masters!D774</f>
        <v>Trappers</v>
      </c>
      <c r="C770" s="102" t="str">
        <f>Masters!E774</f>
        <v>Trappers and hunters</v>
      </c>
      <c r="D770" s="101">
        <f>Masters!F774</f>
        <v>4</v>
      </c>
      <c r="E770" s="101">
        <f>Masters!G774</f>
        <v>4</v>
      </c>
      <c r="F770" s="101">
        <f>Masters!H774</f>
        <v>5</v>
      </c>
      <c r="G770" s="101">
        <f>Masters!I774</f>
        <v>4</v>
      </c>
      <c r="H770" s="101">
        <f>Masters!J774</f>
        <v>4</v>
      </c>
      <c r="I770" s="101">
        <f>Masters!K774</f>
        <v>5</v>
      </c>
      <c r="J770" s="101">
        <f>Masters!L774</f>
        <v>3</v>
      </c>
      <c r="K770" s="101">
        <f>Masters!M774</f>
        <v>4</v>
      </c>
      <c r="L770" s="101">
        <f>Masters!N774</f>
        <v>3</v>
      </c>
    </row>
    <row r="771">
      <c r="A771" s="101">
        <f>Masters!C775</f>
        <v>6531</v>
      </c>
      <c r="B771" s="102" t="str">
        <f>Masters!D775</f>
        <v>Travel Guides</v>
      </c>
      <c r="C771" s="102" t="str">
        <f>Masters!E775</f>
        <v>Tour and travel guides</v>
      </c>
      <c r="D771" s="101">
        <f>Masters!F775</f>
        <v>3</v>
      </c>
      <c r="E771" s="101">
        <f>Masters!G775</f>
        <v>3</v>
      </c>
      <c r="F771" s="101">
        <f>Masters!H775</f>
        <v>3</v>
      </c>
      <c r="G771" s="101">
        <f>Masters!I775</f>
        <v>4</v>
      </c>
      <c r="H771" s="101">
        <f>Masters!J775</f>
        <v>4</v>
      </c>
      <c r="I771" s="101">
        <f>Masters!K775</f>
        <v>3</v>
      </c>
      <c r="J771" s="101">
        <f>Masters!L775</f>
        <v>4</v>
      </c>
      <c r="K771" s="101">
        <f>Masters!M775</f>
        <v>4</v>
      </c>
      <c r="L771" s="101">
        <f>Masters!N775</f>
        <v>4</v>
      </c>
    </row>
    <row r="772">
      <c r="A772" s="101">
        <f>Masters!C776</f>
        <v>4412</v>
      </c>
      <c r="B772" s="102" t="str">
        <f>Masters!D776</f>
        <v>Visiting Homemakers</v>
      </c>
      <c r="C772" s="102" t="str">
        <f>Masters!E776</f>
        <v>Home support workers, housekeepers and related occupations</v>
      </c>
      <c r="D772" s="101">
        <f>Masters!F776</f>
        <v>3</v>
      </c>
      <c r="E772" s="101">
        <f>Masters!G776</f>
        <v>3</v>
      </c>
      <c r="F772" s="101">
        <f>Masters!H776</f>
        <v>4</v>
      </c>
      <c r="G772" s="101">
        <f>Masters!I776</f>
        <v>4</v>
      </c>
      <c r="H772" s="101">
        <f>Masters!J776</f>
        <v>4</v>
      </c>
      <c r="I772" s="101">
        <f>Masters!K776</f>
        <v>4</v>
      </c>
      <c r="J772" s="101">
        <f>Masters!L776</f>
        <v>4</v>
      </c>
      <c r="K772" s="101">
        <f>Masters!M776</f>
        <v>4</v>
      </c>
      <c r="L772" s="101">
        <f>Masters!N776</f>
        <v>4</v>
      </c>
    </row>
    <row r="773">
      <c r="A773" s="101">
        <f>Masters!C777</f>
        <v>6561</v>
      </c>
      <c r="B773" s="102" t="str">
        <f>Masters!D777</f>
        <v>Weight Loss Consultants</v>
      </c>
      <c r="C773" s="102" t="str">
        <f>Masters!E777</f>
        <v>Image, social and other personal consultants</v>
      </c>
      <c r="D773" s="101">
        <f>Masters!F777</f>
        <v>4</v>
      </c>
      <c r="E773" s="101">
        <f>Masters!G777</f>
        <v>3</v>
      </c>
      <c r="F773" s="101">
        <f>Masters!H777</f>
        <v>4</v>
      </c>
      <c r="G773" s="101">
        <f>Masters!I777</f>
        <v>4</v>
      </c>
      <c r="H773" s="101">
        <f>Masters!J777</f>
        <v>4</v>
      </c>
      <c r="I773" s="101">
        <f>Masters!K777</f>
        <v>3</v>
      </c>
      <c r="J773" s="101">
        <f>Masters!L777</f>
        <v>4</v>
      </c>
      <c r="K773" s="101">
        <f>Masters!M777</f>
        <v>4</v>
      </c>
      <c r="L773" s="101">
        <f>Masters!N777</f>
        <v>4</v>
      </c>
    </row>
    <row r="774">
      <c r="A774" s="101">
        <f>Masters!C778</f>
        <v>6732</v>
      </c>
      <c r="B774" s="102" t="str">
        <f>Masters!D778</f>
        <v>Window Cleaners</v>
      </c>
      <c r="C774" s="102" t="str">
        <f>Masters!E778</f>
        <v>Specialized cleaners</v>
      </c>
      <c r="D774" s="101">
        <f>Masters!F778</f>
        <v>4</v>
      </c>
      <c r="E774" s="101">
        <f>Masters!G778</f>
        <v>4</v>
      </c>
      <c r="F774" s="101">
        <f>Masters!H778</f>
        <v>5</v>
      </c>
      <c r="G774" s="101">
        <f>Masters!I778</f>
        <v>4</v>
      </c>
      <c r="H774" s="101">
        <f>Masters!J778</f>
        <v>4</v>
      </c>
      <c r="I774" s="101">
        <f>Masters!K778</f>
        <v>5</v>
      </c>
      <c r="J774" s="101">
        <f>Masters!L778</f>
        <v>3</v>
      </c>
      <c r="K774" s="101">
        <f>Masters!M778</f>
        <v>4</v>
      </c>
      <c r="L774" s="101">
        <f>Masters!N778</f>
        <v>3</v>
      </c>
    </row>
    <row r="775">
      <c r="A775" s="101">
        <f>Masters!C779</f>
        <v>4423</v>
      </c>
      <c r="B775" s="102" t="str">
        <f>Masters!D779</f>
        <v>Zoning Inspectors</v>
      </c>
      <c r="C775" s="102" t="str">
        <f>Masters!E779</f>
        <v>By-law enforcement and other regulatory officers, n.e.c.</v>
      </c>
      <c r="D775" s="101">
        <f>Masters!F779</f>
        <v>3</v>
      </c>
      <c r="E775" s="101">
        <f>Masters!G779</f>
        <v>3</v>
      </c>
      <c r="F775" s="101">
        <f>Masters!H779</f>
        <v>4</v>
      </c>
      <c r="G775" s="101">
        <f>Masters!I779</f>
        <v>4</v>
      </c>
      <c r="H775" s="101">
        <f>Masters!J779</f>
        <v>4</v>
      </c>
      <c r="I775" s="101">
        <f>Masters!K779</f>
        <v>4</v>
      </c>
      <c r="J775" s="101">
        <f>Masters!L779</f>
        <v>4</v>
      </c>
      <c r="K775" s="101">
        <f>Masters!M779</f>
        <v>4</v>
      </c>
      <c r="L775" s="101">
        <f>Masters!N779</f>
        <v>4</v>
      </c>
    </row>
    <row r="776">
      <c r="A776" s="101">
        <f>Masters!C780</f>
        <v>1221</v>
      </c>
      <c r="B776" s="102" t="str">
        <f>Masters!D780</f>
        <v>Administrative Officers</v>
      </c>
      <c r="C776" s="102" t="str">
        <f>Masters!E780</f>
        <v>Administrative officers</v>
      </c>
      <c r="D776" s="101">
        <f>Masters!F780</f>
        <v>2</v>
      </c>
      <c r="E776" s="101">
        <f>Masters!G780</f>
        <v>2</v>
      </c>
      <c r="F776" s="101">
        <f>Masters!H780</f>
        <v>2</v>
      </c>
      <c r="G776" s="101">
        <f>Masters!I780</f>
        <v>4</v>
      </c>
      <c r="H776" s="101">
        <f>Masters!J780</f>
        <v>4</v>
      </c>
      <c r="I776" s="101">
        <f>Masters!K780</f>
        <v>3</v>
      </c>
      <c r="J776" s="101">
        <f>Masters!L780</f>
        <v>4</v>
      </c>
      <c r="K776" s="101">
        <f>Masters!M780</f>
        <v>4</v>
      </c>
      <c r="L776" s="101">
        <f>Masters!N780</f>
        <v>4</v>
      </c>
    </row>
    <row r="777">
      <c r="A777" s="101">
        <f>Masters!C781</f>
        <v>124</v>
      </c>
      <c r="B777" s="102" t="str">
        <f>Masters!D781</f>
        <v>Advertising Managers</v>
      </c>
      <c r="C777" s="102" t="str">
        <f>Masters!E781</f>
        <v>Advertising, marketing and public relations managers</v>
      </c>
      <c r="D777" s="101">
        <f>Masters!F781</f>
        <v>2</v>
      </c>
      <c r="E777" s="101">
        <f>Masters!G781</f>
        <v>2</v>
      </c>
      <c r="F777" s="101">
        <f>Masters!H781</f>
        <v>2</v>
      </c>
      <c r="G777" s="101">
        <f>Masters!I781</f>
        <v>4</v>
      </c>
      <c r="H777" s="101">
        <f>Masters!J781</f>
        <v>4</v>
      </c>
      <c r="I777" s="101">
        <f>Masters!K781</f>
        <v>3</v>
      </c>
      <c r="J777" s="101">
        <f>Masters!L781</f>
        <v>4</v>
      </c>
      <c r="K777" s="101">
        <f>Masters!M781</f>
        <v>4</v>
      </c>
      <c r="L777" s="101">
        <f>Masters!N781</f>
        <v>4</v>
      </c>
    </row>
    <row r="778">
      <c r="A778" s="101">
        <f>Masters!C782</f>
        <v>6523</v>
      </c>
      <c r="B778" s="102" t="str">
        <f>Masters!D782</f>
        <v>Airline Baggage Agents</v>
      </c>
      <c r="C778" s="102" t="str">
        <f>Masters!E782</f>
        <v>Airline ticket and service agents</v>
      </c>
      <c r="D778" s="101">
        <f>Masters!F782</f>
        <v>3</v>
      </c>
      <c r="E778" s="101">
        <f>Masters!G782</f>
        <v>3</v>
      </c>
      <c r="F778" s="101">
        <f>Masters!H782</f>
        <v>3</v>
      </c>
      <c r="G778" s="101">
        <f>Masters!I782</f>
        <v>4</v>
      </c>
      <c r="H778" s="101">
        <f>Masters!J782</f>
        <v>4</v>
      </c>
      <c r="I778" s="101">
        <f>Masters!K782</f>
        <v>2</v>
      </c>
      <c r="J778" s="101">
        <f>Masters!L782</f>
        <v>4</v>
      </c>
      <c r="K778" s="101">
        <f>Masters!M782</f>
        <v>4</v>
      </c>
      <c r="L778" s="101">
        <f>Masters!N782</f>
        <v>4</v>
      </c>
    </row>
    <row r="779">
      <c r="A779" s="101">
        <f>Masters!C783</f>
        <v>6523</v>
      </c>
      <c r="B779" s="102" t="str">
        <f>Masters!D783</f>
        <v>Airline Cargo Agents</v>
      </c>
      <c r="C779" s="102" t="str">
        <f>Masters!E783</f>
        <v>Airline ticket and service agents</v>
      </c>
      <c r="D779" s="101">
        <f>Masters!F783</f>
        <v>3</v>
      </c>
      <c r="E779" s="101">
        <f>Masters!G783</f>
        <v>3</v>
      </c>
      <c r="F779" s="101">
        <f>Masters!H783</f>
        <v>3</v>
      </c>
      <c r="G779" s="101">
        <f>Masters!I783</f>
        <v>4</v>
      </c>
      <c r="H779" s="101">
        <f>Masters!J783</f>
        <v>4</v>
      </c>
      <c r="I779" s="101">
        <f>Masters!K783</f>
        <v>2</v>
      </c>
      <c r="J779" s="101">
        <f>Masters!L783</f>
        <v>4</v>
      </c>
      <c r="K779" s="101">
        <f>Masters!M783</f>
        <v>4</v>
      </c>
      <c r="L779" s="101">
        <f>Masters!N783</f>
        <v>4</v>
      </c>
    </row>
    <row r="780">
      <c r="A780" s="101">
        <f>Masters!C784</f>
        <v>6523</v>
      </c>
      <c r="B780" s="102" t="str">
        <f>Masters!D784</f>
        <v>Airline Load Planners</v>
      </c>
      <c r="C780" s="102" t="str">
        <f>Masters!E784</f>
        <v>Airline ticket and service agents</v>
      </c>
      <c r="D780" s="101">
        <f>Masters!F784</f>
        <v>3</v>
      </c>
      <c r="E780" s="101">
        <f>Masters!G784</f>
        <v>3</v>
      </c>
      <c r="F780" s="101">
        <f>Masters!H784</f>
        <v>3</v>
      </c>
      <c r="G780" s="101">
        <f>Masters!I784</f>
        <v>4</v>
      </c>
      <c r="H780" s="101">
        <f>Masters!J784</f>
        <v>4</v>
      </c>
      <c r="I780" s="101">
        <f>Masters!K784</f>
        <v>2</v>
      </c>
      <c r="J780" s="101">
        <f>Masters!L784</f>
        <v>4</v>
      </c>
      <c r="K780" s="101">
        <f>Masters!M784</f>
        <v>4</v>
      </c>
      <c r="L780" s="101">
        <f>Masters!N784</f>
        <v>4</v>
      </c>
    </row>
    <row r="781">
      <c r="A781" s="101">
        <f>Masters!C785</f>
        <v>6523</v>
      </c>
      <c r="B781" s="102" t="str">
        <f>Masters!D785</f>
        <v>Airline Passenger and Ticket Agents</v>
      </c>
      <c r="C781" s="102" t="str">
        <f>Masters!E785</f>
        <v>Airline ticket and service agents</v>
      </c>
      <c r="D781" s="101">
        <f>Masters!F785</f>
        <v>3</v>
      </c>
      <c r="E781" s="101">
        <f>Masters!G785</f>
        <v>3</v>
      </c>
      <c r="F781" s="101">
        <f>Masters!H785</f>
        <v>3</v>
      </c>
      <c r="G781" s="101">
        <f>Masters!I785</f>
        <v>4</v>
      </c>
      <c r="H781" s="101">
        <f>Masters!J785</f>
        <v>4</v>
      </c>
      <c r="I781" s="101">
        <f>Masters!K785</f>
        <v>2</v>
      </c>
      <c r="J781" s="101">
        <f>Masters!L785</f>
        <v>4</v>
      </c>
      <c r="K781" s="101">
        <f>Masters!M785</f>
        <v>4</v>
      </c>
      <c r="L781" s="101">
        <f>Masters!N785</f>
        <v>4</v>
      </c>
    </row>
    <row r="782">
      <c r="A782" s="101">
        <f>Masters!C786</f>
        <v>6523</v>
      </c>
      <c r="B782" s="102" t="str">
        <f>Masters!D786</f>
        <v>Airline Reservation Agents</v>
      </c>
      <c r="C782" s="102" t="str">
        <f>Masters!E786</f>
        <v>Airline ticket and service agents</v>
      </c>
      <c r="D782" s="101">
        <f>Masters!F786</f>
        <v>3</v>
      </c>
      <c r="E782" s="101">
        <f>Masters!G786</f>
        <v>3</v>
      </c>
      <c r="F782" s="101">
        <f>Masters!H786</f>
        <v>3</v>
      </c>
      <c r="G782" s="101">
        <f>Masters!I786</f>
        <v>4</v>
      </c>
      <c r="H782" s="101">
        <f>Masters!J786</f>
        <v>4</v>
      </c>
      <c r="I782" s="101">
        <f>Masters!K786</f>
        <v>2</v>
      </c>
      <c r="J782" s="101">
        <f>Masters!L786</f>
        <v>4</v>
      </c>
      <c r="K782" s="101">
        <f>Masters!M786</f>
        <v>4</v>
      </c>
      <c r="L782" s="101">
        <f>Masters!N786</f>
        <v>4</v>
      </c>
    </row>
    <row r="783">
      <c r="A783" s="101">
        <f>Masters!C787</f>
        <v>6523</v>
      </c>
      <c r="B783" s="102" t="str">
        <f>Masters!D787</f>
        <v>Airline Station Agents</v>
      </c>
      <c r="C783" s="102" t="str">
        <f>Masters!E787</f>
        <v>Airline ticket and service agents</v>
      </c>
      <c r="D783" s="101">
        <f>Masters!F787</f>
        <v>3</v>
      </c>
      <c r="E783" s="101">
        <f>Masters!G787</f>
        <v>3</v>
      </c>
      <c r="F783" s="101">
        <f>Masters!H787</f>
        <v>3</v>
      </c>
      <c r="G783" s="101">
        <f>Masters!I787</f>
        <v>4</v>
      </c>
      <c r="H783" s="101">
        <f>Masters!J787</f>
        <v>4</v>
      </c>
      <c r="I783" s="101">
        <f>Masters!K787</f>
        <v>2</v>
      </c>
      <c r="J783" s="101">
        <f>Masters!L787</f>
        <v>4</v>
      </c>
      <c r="K783" s="101">
        <f>Masters!M787</f>
        <v>4</v>
      </c>
      <c r="L783" s="101">
        <f>Masters!N787</f>
        <v>4</v>
      </c>
    </row>
    <row r="784">
      <c r="A784" s="101">
        <f>Masters!C788</f>
        <v>5231</v>
      </c>
      <c r="B784" s="102" t="str">
        <f>Masters!D788</f>
        <v>Announcers and Other Broadcasters</v>
      </c>
      <c r="C784" s="102" t="str">
        <f>Masters!E788</f>
        <v>Announcers and other broadcasters</v>
      </c>
      <c r="D784" s="101">
        <f>Masters!F788</f>
        <v>3</v>
      </c>
      <c r="E784" s="101">
        <f>Masters!G788</f>
        <v>2</v>
      </c>
      <c r="F784" s="101">
        <f>Masters!H788</f>
        <v>3</v>
      </c>
      <c r="G784" s="101">
        <f>Masters!I788</f>
        <v>4</v>
      </c>
      <c r="H784" s="101">
        <f>Masters!J788</f>
        <v>4</v>
      </c>
      <c r="I784" s="101">
        <f>Masters!K788</f>
        <v>3</v>
      </c>
      <c r="J784" s="101">
        <f>Masters!L788</f>
        <v>4</v>
      </c>
      <c r="K784" s="101">
        <f>Masters!M788</f>
        <v>4</v>
      </c>
      <c r="L784" s="101">
        <f>Masters!N788</f>
        <v>4</v>
      </c>
    </row>
    <row r="785">
      <c r="A785" s="101">
        <f>Masters!C789</f>
        <v>2148</v>
      </c>
      <c r="B785" s="102" t="str">
        <f>Masters!D789</f>
        <v>Biomedical Engineers</v>
      </c>
      <c r="C785" s="102" t="str">
        <f>Masters!E789</f>
        <v>Other professional engineers, n.e.c.</v>
      </c>
      <c r="D785" s="101">
        <f>Masters!F789</f>
        <v>1</v>
      </c>
      <c r="E785" s="101">
        <f>Masters!G789</f>
        <v>1</v>
      </c>
      <c r="F785" s="101">
        <f>Masters!H789</f>
        <v>1</v>
      </c>
      <c r="G785" s="101">
        <f>Masters!I789</f>
        <v>1</v>
      </c>
      <c r="H785" s="101">
        <f>Masters!J789</f>
        <v>3</v>
      </c>
      <c r="I785" s="101">
        <f>Masters!K789</f>
        <v>4</v>
      </c>
      <c r="J785" s="101">
        <f>Masters!L789</f>
        <v>4</v>
      </c>
      <c r="K785" s="101">
        <f>Masters!M789</f>
        <v>4</v>
      </c>
      <c r="L785" s="101">
        <f>Masters!N789</f>
        <v>4</v>
      </c>
    </row>
    <row r="786">
      <c r="A786" s="101">
        <f>Masters!C790</f>
        <v>1113</v>
      </c>
      <c r="B786" s="102" t="str">
        <f>Masters!D790</f>
        <v>Brokers</v>
      </c>
      <c r="C786" s="102" t="str">
        <f>Masters!E790</f>
        <v>Securities agents, investment dealers and brokers</v>
      </c>
      <c r="D786" s="101">
        <f>Masters!F790</f>
        <v>2</v>
      </c>
      <c r="E786" s="101">
        <f>Masters!G790</f>
        <v>2</v>
      </c>
      <c r="F786" s="101">
        <f>Masters!H790</f>
        <v>2</v>
      </c>
      <c r="G786" s="101">
        <f>Masters!I790</f>
        <v>4</v>
      </c>
      <c r="H786" s="101">
        <f>Masters!J790</f>
        <v>4</v>
      </c>
      <c r="I786" s="101">
        <f>Masters!K790</f>
        <v>3</v>
      </c>
      <c r="J786" s="101">
        <f>Masters!L790</f>
        <v>4</v>
      </c>
      <c r="K786" s="101">
        <f>Masters!M790</f>
        <v>4</v>
      </c>
      <c r="L786" s="101">
        <f>Masters!N790</f>
        <v>4</v>
      </c>
    </row>
    <row r="787">
      <c r="A787" s="101">
        <f>Masters!C791</f>
        <v>4163</v>
      </c>
      <c r="B787" s="102" t="str">
        <f>Masters!D791</f>
        <v>Business Development Officers and Marketing Researchers and Consultants</v>
      </c>
      <c r="C787" s="102" t="str">
        <f>Masters!E791</f>
        <v>Business development officers and marketing researchers and consultants</v>
      </c>
      <c r="D787" s="101">
        <f>Masters!F791</f>
        <v>2</v>
      </c>
      <c r="E787" s="101">
        <f>Masters!G791</f>
        <v>2</v>
      </c>
      <c r="F787" s="101">
        <f>Masters!H791</f>
        <v>2</v>
      </c>
      <c r="G787" s="101">
        <f>Masters!I791</f>
        <v>4</v>
      </c>
      <c r="H787" s="101">
        <f>Masters!J791</f>
        <v>4</v>
      </c>
      <c r="I787" s="101">
        <f>Masters!K791</f>
        <v>3</v>
      </c>
      <c r="J787" s="101">
        <f>Masters!L791</f>
        <v>4</v>
      </c>
      <c r="K787" s="101">
        <f>Masters!M791</f>
        <v>4</v>
      </c>
      <c r="L787" s="101">
        <f>Masters!N791</f>
        <v>4</v>
      </c>
    </row>
    <row r="788">
      <c r="A788" s="101">
        <f>Masters!C792</f>
        <v>2134</v>
      </c>
      <c r="B788" s="102" t="str">
        <f>Masters!D792</f>
        <v>Chemical Engineers</v>
      </c>
      <c r="C788" s="102" t="str">
        <f>Masters!E792</f>
        <v>Chemical engineers</v>
      </c>
      <c r="D788" s="101">
        <f>Masters!F792</f>
        <v>1</v>
      </c>
      <c r="E788" s="101">
        <f>Masters!G792</f>
        <v>2</v>
      </c>
      <c r="F788" s="101">
        <f>Masters!H792</f>
        <v>1</v>
      </c>
      <c r="G788" s="101">
        <f>Masters!I792</f>
        <v>2</v>
      </c>
      <c r="H788" s="101">
        <f>Masters!J792</f>
        <v>3</v>
      </c>
      <c r="I788" s="101">
        <f>Masters!K792</f>
        <v>4</v>
      </c>
      <c r="J788" s="101">
        <f>Masters!L792</f>
        <v>4</v>
      </c>
      <c r="K788" s="101">
        <f>Masters!M792</f>
        <v>4</v>
      </c>
      <c r="L788" s="101">
        <f>Masters!N792</f>
        <v>4</v>
      </c>
    </row>
    <row r="789">
      <c r="A789" s="101">
        <f>Masters!C793</f>
        <v>2112</v>
      </c>
      <c r="B789" s="102" t="str">
        <f>Masters!D793</f>
        <v>Chemists</v>
      </c>
      <c r="C789" s="102" t="str">
        <f>Masters!E793</f>
        <v>Chemists</v>
      </c>
      <c r="D789" s="101">
        <f>Masters!F793</f>
        <v>1</v>
      </c>
      <c r="E789" s="101">
        <f>Masters!G793</f>
        <v>1</v>
      </c>
      <c r="F789" s="101">
        <f>Masters!H793</f>
        <v>1</v>
      </c>
      <c r="G789" s="101">
        <f>Masters!I793</f>
        <v>1</v>
      </c>
      <c r="H789" s="101">
        <f>Masters!J793</f>
        <v>1</v>
      </c>
      <c r="I789" s="101">
        <f>Masters!K793</f>
        <v>1</v>
      </c>
      <c r="J789" s="101">
        <f>Masters!L793</f>
        <v>3</v>
      </c>
      <c r="K789" s="101">
        <f>Masters!M793</f>
        <v>3</v>
      </c>
      <c r="L789" s="101">
        <f>Masters!N793</f>
        <v>3</v>
      </c>
    </row>
    <row r="790">
      <c r="A790" s="101">
        <f>Masters!C794</f>
        <v>3012</v>
      </c>
      <c r="B790" s="102" t="str">
        <f>Masters!D794</f>
        <v>Clinical Nurses</v>
      </c>
      <c r="C790" s="102" t="str">
        <f>Masters!E794</f>
        <v>Registered nurses and registered psychiatric nurses</v>
      </c>
      <c r="D790" s="101">
        <f>Masters!F794</f>
        <v>2</v>
      </c>
      <c r="E790" s="101">
        <f>Masters!G794</f>
        <v>2</v>
      </c>
      <c r="F790" s="101">
        <f>Masters!H794</f>
        <v>3</v>
      </c>
      <c r="G790" s="101">
        <f>Masters!I794</f>
        <v>4</v>
      </c>
      <c r="H790" s="101">
        <f>Masters!J794</f>
        <v>4</v>
      </c>
      <c r="I790" s="101">
        <f>Masters!K794</f>
        <v>4</v>
      </c>
      <c r="J790" s="101">
        <f>Masters!L794</f>
        <v>4</v>
      </c>
      <c r="K790" s="101">
        <f>Masters!M794</f>
        <v>4</v>
      </c>
      <c r="L790" s="101">
        <f>Masters!N794</f>
        <v>4</v>
      </c>
    </row>
    <row r="791">
      <c r="A791" s="101">
        <f>Masters!C795</f>
        <v>6561</v>
      </c>
      <c r="B791" s="102" t="str">
        <f>Masters!D795</f>
        <v>Colour Consultants</v>
      </c>
      <c r="C791" s="102" t="str">
        <f>Masters!E795</f>
        <v>Image, social and other personal consultants</v>
      </c>
      <c r="D791" s="101">
        <f>Masters!F795</f>
        <v>4</v>
      </c>
      <c r="E791" s="101">
        <f>Masters!G795</f>
        <v>3</v>
      </c>
      <c r="F791" s="101">
        <f>Masters!H795</f>
        <v>4</v>
      </c>
      <c r="G791" s="101">
        <f>Masters!I795</f>
        <v>4</v>
      </c>
      <c r="H791" s="101">
        <f>Masters!J795</f>
        <v>4</v>
      </c>
      <c r="I791" s="101">
        <f>Masters!K795</f>
        <v>4</v>
      </c>
      <c r="J791" s="101">
        <f>Masters!L795</f>
        <v>4</v>
      </c>
      <c r="K791" s="101">
        <f>Masters!M795</f>
        <v>4</v>
      </c>
      <c r="L791" s="101">
        <f>Masters!N795</f>
        <v>4</v>
      </c>
    </row>
    <row r="792">
      <c r="A792" s="101">
        <f>Masters!C796</f>
        <v>431</v>
      </c>
      <c r="B792" s="102" t="str">
        <f>Masters!D796</f>
        <v>Commissioned Police Officers</v>
      </c>
      <c r="C792" s="102" t="str">
        <f>Masters!E796</f>
        <v>Commissioned police officers</v>
      </c>
      <c r="D792" s="101">
        <f>Masters!F796</f>
        <v>2</v>
      </c>
      <c r="E792" s="101">
        <f>Masters!G796</f>
        <v>2</v>
      </c>
      <c r="F792" s="101">
        <f>Masters!H796</f>
        <v>3</v>
      </c>
      <c r="G792" s="101">
        <f>Masters!I796</f>
        <v>4</v>
      </c>
      <c r="H792" s="101">
        <f>Masters!J796</f>
        <v>4</v>
      </c>
      <c r="I792" s="101">
        <f>Masters!K796</f>
        <v>4</v>
      </c>
      <c r="J792" s="101">
        <f>Masters!L796</f>
        <v>4</v>
      </c>
      <c r="K792" s="101">
        <f>Masters!M796</f>
        <v>4</v>
      </c>
      <c r="L792" s="101">
        <f>Masters!N796</f>
        <v>4</v>
      </c>
    </row>
    <row r="793">
      <c r="A793" s="101">
        <f>Masters!C797</f>
        <v>2173</v>
      </c>
      <c r="B793" s="102" t="str">
        <f>Masters!D797</f>
        <v>Computer and Telecommunications Hardware Engineers</v>
      </c>
      <c r="C793" s="102" t="str">
        <f>Masters!E797</f>
        <v>Software engineers and designers</v>
      </c>
      <c r="D793" s="101">
        <f>Masters!F797</f>
        <v>1</v>
      </c>
      <c r="E793" s="101">
        <f>Masters!G797</f>
        <v>2</v>
      </c>
      <c r="F793" s="101">
        <f>Masters!H797</f>
        <v>1</v>
      </c>
      <c r="G793" s="101">
        <f>Masters!I797</f>
        <v>3</v>
      </c>
      <c r="H793" s="101">
        <f>Masters!J797</f>
        <v>3</v>
      </c>
      <c r="I793" s="101">
        <f>Masters!K797</f>
        <v>3</v>
      </c>
      <c r="J793" s="101">
        <f>Masters!L797</f>
        <v>4</v>
      </c>
      <c r="K793" s="101">
        <f>Masters!M797</f>
        <v>4</v>
      </c>
      <c r="L793" s="101">
        <f>Masters!N797</f>
        <v>4</v>
      </c>
    </row>
    <row r="794">
      <c r="A794" s="101">
        <f>Masters!C798</f>
        <v>7611</v>
      </c>
      <c r="B794" s="102" t="str">
        <f>Masters!D798</f>
        <v>Construction Trades Helpers and Labourers</v>
      </c>
      <c r="C794" s="102" t="str">
        <f>Masters!E798</f>
        <v>Construction trades helpers and labourers</v>
      </c>
      <c r="D794" s="101">
        <f>Masters!F798</f>
        <v>4</v>
      </c>
      <c r="E794" s="101">
        <f>Masters!G798</f>
        <v>4</v>
      </c>
      <c r="F794" s="101">
        <f>Masters!H798</f>
        <v>4</v>
      </c>
      <c r="G794" s="101">
        <f>Masters!I798</f>
        <v>4</v>
      </c>
      <c r="H794" s="101">
        <f>Masters!J798</f>
        <v>4</v>
      </c>
      <c r="I794" s="101">
        <f>Masters!K798</f>
        <v>5</v>
      </c>
      <c r="J794" s="101">
        <f>Masters!L798</f>
        <v>4</v>
      </c>
      <c r="K794" s="101">
        <f>Masters!M798</f>
        <v>4</v>
      </c>
      <c r="L794" s="101">
        <f>Masters!N798</f>
        <v>4</v>
      </c>
    </row>
    <row r="795">
      <c r="A795" s="101">
        <f>Masters!C799</f>
        <v>2172</v>
      </c>
      <c r="B795" s="102" t="str">
        <f>Masters!D799</f>
        <v>Database Analysts</v>
      </c>
      <c r="C795" s="102" t="str">
        <f>Masters!E799</f>
        <v>Database analysts and data administrators</v>
      </c>
      <c r="D795" s="101">
        <f>Masters!F799</f>
        <v>2</v>
      </c>
      <c r="E795" s="101">
        <f>Masters!G799</f>
        <v>2</v>
      </c>
      <c r="F795" s="101">
        <f>Masters!H799</f>
        <v>2</v>
      </c>
      <c r="G795" s="101">
        <f>Masters!I799</f>
        <v>2</v>
      </c>
      <c r="H795" s="101">
        <f>Masters!J799</f>
        <v>2</v>
      </c>
      <c r="I795" s="101">
        <f>Masters!K799</f>
        <v>1</v>
      </c>
      <c r="J795" s="101">
        <f>Masters!L799</f>
        <v>4</v>
      </c>
      <c r="K795" s="101">
        <f>Masters!M799</f>
        <v>4</v>
      </c>
      <c r="L795" s="101">
        <f>Masters!N799</f>
        <v>4</v>
      </c>
    </row>
    <row r="796">
      <c r="A796" s="101">
        <f>Masters!C800</f>
        <v>6623</v>
      </c>
      <c r="B796" s="102" t="str">
        <f>Masters!D800</f>
        <v>Demonstrators</v>
      </c>
      <c r="C796" s="102" t="str">
        <f>Masters!E800</f>
        <v>Other sales related occupations</v>
      </c>
      <c r="D796" s="101">
        <f>Masters!F800</f>
        <v>4</v>
      </c>
      <c r="E796" s="101">
        <f>Masters!G800</f>
        <v>3</v>
      </c>
      <c r="F796" s="101">
        <f>Masters!H800</f>
        <v>4</v>
      </c>
      <c r="G796" s="101">
        <f>Masters!I800</f>
        <v>4</v>
      </c>
      <c r="H796" s="101">
        <f>Masters!J800</f>
        <v>4</v>
      </c>
      <c r="I796" s="101">
        <f>Masters!K800</f>
        <v>4</v>
      </c>
      <c r="J796" s="101">
        <f>Masters!L800</f>
        <v>4</v>
      </c>
      <c r="K796" s="101">
        <f>Masters!M800</f>
        <v>4</v>
      </c>
      <c r="L796" s="101">
        <f>Masters!N800</f>
        <v>4</v>
      </c>
    </row>
    <row r="797">
      <c r="A797" s="101">
        <f>Masters!C801</f>
        <v>6623</v>
      </c>
      <c r="B797" s="102" t="str">
        <f>Masters!D801</f>
        <v>Direct Distributors</v>
      </c>
      <c r="C797" s="102" t="str">
        <f>Masters!E801</f>
        <v>Other sales related occupations</v>
      </c>
      <c r="D797" s="101">
        <f>Masters!F801</f>
        <v>4</v>
      </c>
      <c r="E797" s="101">
        <f>Masters!G801</f>
        <v>3</v>
      </c>
      <c r="F797" s="101">
        <f>Masters!H801</f>
        <v>4</v>
      </c>
      <c r="G797" s="101">
        <f>Masters!I801</f>
        <v>4</v>
      </c>
      <c r="H797" s="101">
        <f>Masters!J801</f>
        <v>4</v>
      </c>
      <c r="I797" s="101">
        <f>Masters!K801</f>
        <v>4</v>
      </c>
      <c r="J797" s="101">
        <f>Masters!L801</f>
        <v>4</v>
      </c>
      <c r="K797" s="101">
        <f>Masters!M801</f>
        <v>4</v>
      </c>
      <c r="L797" s="101">
        <f>Masters!N801</f>
        <v>4</v>
      </c>
    </row>
    <row r="798">
      <c r="A798" s="101">
        <f>Masters!C802</f>
        <v>6711</v>
      </c>
      <c r="B798" s="102" t="str">
        <f>Masters!D802</f>
        <v>Dishwashers</v>
      </c>
      <c r="C798" s="102" t="str">
        <f>Masters!E802</f>
        <v>Food counter attendants, kitchen helpers and related support occupations</v>
      </c>
      <c r="D798" s="101">
        <f>Masters!F802</f>
        <v>4</v>
      </c>
      <c r="E798" s="101">
        <f>Masters!G802</f>
        <v>5</v>
      </c>
      <c r="F798" s="101">
        <f>Masters!H802</f>
        <v>5</v>
      </c>
      <c r="G798" s="101">
        <f>Masters!I802</f>
        <v>4</v>
      </c>
      <c r="H798" s="101">
        <f>Masters!J802</f>
        <v>4</v>
      </c>
      <c r="I798" s="101">
        <f>Masters!K802</f>
        <v>5</v>
      </c>
      <c r="J798" s="101">
        <f>Masters!L802</f>
        <v>4</v>
      </c>
      <c r="K798" s="101">
        <f>Masters!M802</f>
        <v>4</v>
      </c>
      <c r="L798" s="101">
        <f>Masters!N802</f>
        <v>4</v>
      </c>
    </row>
    <row r="799">
      <c r="A799" s="101">
        <f>Masters!C803</f>
        <v>6623</v>
      </c>
      <c r="B799" s="102" t="str">
        <f>Masters!D803</f>
        <v>Door-to-Door Salespersons</v>
      </c>
      <c r="C799" s="102" t="str">
        <f>Masters!E803</f>
        <v>Other sales related occupations</v>
      </c>
      <c r="D799" s="101">
        <f>Masters!F803</f>
        <v>4</v>
      </c>
      <c r="E799" s="101">
        <f>Masters!G803</f>
        <v>3</v>
      </c>
      <c r="F799" s="101">
        <f>Masters!H803</f>
        <v>4</v>
      </c>
      <c r="G799" s="101">
        <f>Masters!I803</f>
        <v>4</v>
      </c>
      <c r="H799" s="101">
        <f>Masters!J803</f>
        <v>4</v>
      </c>
      <c r="I799" s="101">
        <f>Masters!K803</f>
        <v>4</v>
      </c>
      <c r="J799" s="101">
        <f>Masters!L803</f>
        <v>4</v>
      </c>
      <c r="K799" s="101">
        <f>Masters!M803</f>
        <v>4</v>
      </c>
      <c r="L799" s="101">
        <f>Masters!N803</f>
        <v>4</v>
      </c>
    </row>
    <row r="800">
      <c r="A800" s="101">
        <f>Masters!C804</f>
        <v>6741</v>
      </c>
      <c r="B800" s="102" t="str">
        <f>Masters!D804</f>
        <v>Dry Cleaning and Laundry Inspectors and Assemblers</v>
      </c>
      <c r="C800" s="102" t="str">
        <f>Masters!E804</f>
        <v>Dry cleaning, laundry and related occupations</v>
      </c>
      <c r="D800" s="101">
        <f>Masters!F804</f>
        <v>4</v>
      </c>
      <c r="E800" s="101">
        <f>Masters!G804</f>
        <v>4</v>
      </c>
      <c r="F800" s="101">
        <f>Masters!H804</f>
        <v>5</v>
      </c>
      <c r="G800" s="101">
        <f>Masters!I804</f>
        <v>4</v>
      </c>
      <c r="H800" s="101">
        <f>Masters!J804</f>
        <v>4</v>
      </c>
      <c r="I800" s="101">
        <f>Masters!K804</f>
        <v>4</v>
      </c>
      <c r="J800" s="101">
        <f>Masters!L804</f>
        <v>4</v>
      </c>
      <c r="K800" s="101">
        <f>Masters!M804</f>
        <v>4</v>
      </c>
      <c r="L800" s="101">
        <f>Masters!N804</f>
        <v>4</v>
      </c>
    </row>
    <row r="801">
      <c r="A801" s="101">
        <f>Masters!C805</f>
        <v>6741</v>
      </c>
      <c r="B801" s="102" t="str">
        <f>Masters!D805</f>
        <v>Dry Cleaning and Laundry Machine Operators</v>
      </c>
      <c r="C801" s="102" t="str">
        <f>Masters!E805</f>
        <v>Dry cleaning, laundry and related occupations</v>
      </c>
      <c r="D801" s="101">
        <f>Masters!F805</f>
        <v>4</v>
      </c>
      <c r="E801" s="101">
        <f>Masters!G805</f>
        <v>4</v>
      </c>
      <c r="F801" s="101">
        <f>Masters!H805</f>
        <v>5</v>
      </c>
      <c r="G801" s="101">
        <f>Masters!I805</f>
        <v>4</v>
      </c>
      <c r="H801" s="101">
        <f>Masters!J805</f>
        <v>4</v>
      </c>
      <c r="I801" s="101">
        <f>Masters!K805</f>
        <v>5</v>
      </c>
      <c r="J801" s="101">
        <f>Masters!L805</f>
        <v>4</v>
      </c>
      <c r="K801" s="101">
        <f>Masters!M805</f>
        <v>4</v>
      </c>
      <c r="L801" s="101">
        <f>Masters!N805</f>
        <v>3</v>
      </c>
    </row>
    <row r="802">
      <c r="A802" s="101">
        <f>Masters!C806</f>
        <v>124</v>
      </c>
      <c r="B802" s="102" t="str">
        <f>Masters!D806</f>
        <v>E-commerce Managers</v>
      </c>
      <c r="C802" s="102" t="str">
        <f>Masters!E806</f>
        <v>Advertising, marketing and public relations managers</v>
      </c>
      <c r="D802" s="101">
        <f>Masters!F806</f>
        <v>2</v>
      </c>
      <c r="E802" s="101">
        <f>Masters!G806</f>
        <v>2</v>
      </c>
      <c r="F802" s="101">
        <f>Masters!H806</f>
        <v>2</v>
      </c>
      <c r="G802" s="101">
        <f>Masters!I806</f>
        <v>4</v>
      </c>
      <c r="H802" s="101">
        <f>Masters!J806</f>
        <v>4</v>
      </c>
      <c r="I802" s="101">
        <f>Masters!K806</f>
        <v>3</v>
      </c>
      <c r="J802" s="101">
        <f>Masters!L806</f>
        <v>4</v>
      </c>
      <c r="K802" s="101">
        <f>Masters!M806</f>
        <v>4</v>
      </c>
      <c r="L802" s="101">
        <f>Masters!N806</f>
        <v>4</v>
      </c>
    </row>
    <row r="803">
      <c r="A803" s="101">
        <f>Masters!C807</f>
        <v>4033</v>
      </c>
      <c r="B803" s="102" t="str">
        <f>Masters!D807</f>
        <v>Educational Counsellors</v>
      </c>
      <c r="C803" s="102" t="str">
        <f>Masters!E807</f>
        <v>Educational counsellors</v>
      </c>
      <c r="D803" s="101">
        <f>Masters!F807</f>
        <v>2</v>
      </c>
      <c r="E803" s="101">
        <f>Masters!G807</f>
        <v>2</v>
      </c>
      <c r="F803" s="101">
        <f>Masters!H807</f>
        <v>3</v>
      </c>
      <c r="G803" s="101">
        <f>Masters!I807</f>
        <v>4</v>
      </c>
      <c r="H803" s="101">
        <f>Masters!J807</f>
        <v>4</v>
      </c>
      <c r="I803" s="101">
        <f>Masters!K807</f>
        <v>4</v>
      </c>
      <c r="J803" s="101">
        <f>Masters!L807</f>
        <v>4</v>
      </c>
      <c r="K803" s="101">
        <f>Masters!M807</f>
        <v>4</v>
      </c>
      <c r="L803" s="101">
        <f>Masters!N807</f>
        <v>4</v>
      </c>
    </row>
    <row r="804">
      <c r="A804" s="101">
        <f>Masters!C808</f>
        <v>4156</v>
      </c>
      <c r="B804" s="102" t="str">
        <f>Masters!D808</f>
        <v>Employment Counsellors</v>
      </c>
      <c r="C804" s="102" t="str">
        <f>Masters!E808</f>
        <v>Employment counsellors</v>
      </c>
      <c r="D804" s="101">
        <f>Masters!F808</f>
        <v>3</v>
      </c>
      <c r="E804" s="101">
        <f>Masters!G808</f>
        <v>2</v>
      </c>
      <c r="F804" s="101">
        <f>Masters!H808</f>
        <v>3</v>
      </c>
      <c r="G804" s="101">
        <f>Masters!I808</f>
        <v>4</v>
      </c>
      <c r="H804" s="101">
        <f>Masters!J808</f>
        <v>4</v>
      </c>
      <c r="I804" s="101">
        <f>Masters!K808</f>
        <v>3</v>
      </c>
      <c r="J804" s="101">
        <f>Masters!L808</f>
        <v>4</v>
      </c>
      <c r="K804" s="101">
        <f>Masters!M808</f>
        <v>4</v>
      </c>
      <c r="L804" s="101">
        <f>Masters!N808</f>
        <v>4</v>
      </c>
    </row>
    <row r="805">
      <c r="A805" s="101">
        <f>Masters!C809</f>
        <v>1228</v>
      </c>
      <c r="B805" s="102" t="str">
        <f>Masters!D809</f>
        <v>Employment Insurance Officers</v>
      </c>
      <c r="C805" s="102" t="str">
        <f>Masters!E809</f>
        <v>Employment insurance, immigration, border services and revenue officers</v>
      </c>
      <c r="D805" s="101">
        <f>Masters!F809</f>
        <v>2</v>
      </c>
      <c r="E805" s="101">
        <f>Masters!G809</f>
        <v>2</v>
      </c>
      <c r="F805" s="101">
        <f>Masters!H809</f>
        <v>3</v>
      </c>
      <c r="G805" s="101">
        <f>Masters!I809</f>
        <v>4</v>
      </c>
      <c r="H805" s="101">
        <f>Masters!J809</f>
        <v>4</v>
      </c>
      <c r="I805" s="101">
        <f>Masters!K809</f>
        <v>2</v>
      </c>
      <c r="J805" s="101">
        <f>Masters!L809</f>
        <v>4</v>
      </c>
      <c r="K805" s="101">
        <f>Masters!M809</f>
        <v>4</v>
      </c>
      <c r="L805" s="101">
        <f>Masters!N809</f>
        <v>4</v>
      </c>
    </row>
    <row r="806">
      <c r="A806" s="101">
        <f>Masters!C810</f>
        <v>2148</v>
      </c>
      <c r="B806" s="102" t="str">
        <f>Masters!D810</f>
        <v>Engineering Physicists and Engineering Scientists</v>
      </c>
      <c r="C806" s="102" t="str">
        <f>Masters!E810</f>
        <v>Other professional engineers, n.e.c.</v>
      </c>
      <c r="D806" s="101">
        <f>Masters!F810</f>
        <v>1</v>
      </c>
      <c r="E806" s="101">
        <f>Masters!G810</f>
        <v>1</v>
      </c>
      <c r="F806" s="101">
        <f>Masters!H810</f>
        <v>1</v>
      </c>
      <c r="G806" s="101">
        <f>Masters!I810</f>
        <v>1</v>
      </c>
      <c r="H806" s="101">
        <f>Masters!J810</f>
        <v>3</v>
      </c>
      <c r="I806" s="101">
        <f>Masters!K810</f>
        <v>4</v>
      </c>
      <c r="J806" s="101">
        <f>Masters!L810</f>
        <v>4</v>
      </c>
      <c r="K806" s="101">
        <f>Masters!M810</f>
        <v>4</v>
      </c>
      <c r="L806" s="101">
        <f>Masters!N810</f>
        <v>4</v>
      </c>
    </row>
    <row r="807">
      <c r="A807" s="101">
        <f>Masters!C811</f>
        <v>4153</v>
      </c>
      <c r="B807" s="102" t="str">
        <f>Masters!D811</f>
        <v>Family, Marriage and Other Related Counsellors</v>
      </c>
      <c r="C807" s="102" t="str">
        <f>Masters!E811</f>
        <v>Family, marriage and other related counsellors</v>
      </c>
      <c r="D807" s="101">
        <f>Masters!F811</f>
        <v>2</v>
      </c>
      <c r="E807" s="101">
        <f>Masters!G811</f>
        <v>2</v>
      </c>
      <c r="F807" s="101">
        <f>Masters!H811</f>
        <v>3</v>
      </c>
      <c r="G807" s="101">
        <f>Masters!I811</f>
        <v>4</v>
      </c>
      <c r="H807" s="101">
        <f>Masters!J811</f>
        <v>4</v>
      </c>
      <c r="I807" s="101">
        <f>Masters!K811</f>
        <v>4</v>
      </c>
      <c r="J807" s="101">
        <f>Masters!L811</f>
        <v>4</v>
      </c>
      <c r="K807" s="101">
        <f>Masters!M811</f>
        <v>4</v>
      </c>
      <c r="L807" s="101">
        <f>Masters!N811</f>
        <v>4</v>
      </c>
    </row>
    <row r="808">
      <c r="A808" s="101">
        <f>Masters!C812</f>
        <v>1114</v>
      </c>
      <c r="B808" s="102" t="str">
        <f>Masters!D812</f>
        <v>Financial Planners</v>
      </c>
      <c r="C808" s="102" t="str">
        <f>Masters!E812</f>
        <v>Other financial officers</v>
      </c>
      <c r="D808" s="101">
        <f>Masters!F812</f>
        <v>2</v>
      </c>
      <c r="E808" s="101">
        <f>Masters!G812</f>
        <v>2</v>
      </c>
      <c r="F808" s="101">
        <f>Masters!H812</f>
        <v>2</v>
      </c>
      <c r="G808" s="101">
        <f>Masters!I812</f>
        <v>4</v>
      </c>
      <c r="H808" s="101">
        <f>Masters!J812</f>
        <v>4</v>
      </c>
      <c r="I808" s="101">
        <f>Masters!K812</f>
        <v>3</v>
      </c>
      <c r="J808" s="101">
        <f>Masters!L812</f>
        <v>4</v>
      </c>
      <c r="K808" s="101">
        <f>Masters!M812</f>
        <v>4</v>
      </c>
      <c r="L808" s="101">
        <f>Masters!N812</f>
        <v>4</v>
      </c>
    </row>
    <row r="809">
      <c r="A809" s="101">
        <f>Masters!C813</f>
        <v>9463</v>
      </c>
      <c r="B809" s="102" t="str">
        <f>Masters!D813</f>
        <v>Fish Plant Cutters and Cleaners</v>
      </c>
      <c r="C809" s="102" t="str">
        <f>Masters!E813</f>
        <v>Fish and seafood plant workers</v>
      </c>
      <c r="D809" s="101">
        <f>Masters!F813</f>
        <v>4</v>
      </c>
      <c r="E809" s="101">
        <f>Masters!G813</f>
        <v>4</v>
      </c>
      <c r="F809" s="101">
        <f>Masters!H813</f>
        <v>5</v>
      </c>
      <c r="G809" s="101">
        <f>Masters!I813</f>
        <v>4</v>
      </c>
      <c r="H809" s="101">
        <f>Masters!J813</f>
        <v>4</v>
      </c>
      <c r="I809" s="101">
        <f>Masters!K813</f>
        <v>5</v>
      </c>
      <c r="J809" s="101">
        <f>Masters!L813</f>
        <v>4</v>
      </c>
      <c r="K809" s="101">
        <f>Masters!M813</f>
        <v>4</v>
      </c>
      <c r="L809" s="101">
        <f>Masters!N813</f>
        <v>3</v>
      </c>
    </row>
    <row r="810">
      <c r="A810" s="101">
        <f>Masters!C814</f>
        <v>2272</v>
      </c>
      <c r="B810" s="102" t="str">
        <f>Masters!D814</f>
        <v>Flight Service Specialists</v>
      </c>
      <c r="C810" s="102" t="str">
        <f>Masters!E814</f>
        <v>Air traffic controllers and related occupations</v>
      </c>
      <c r="D810" s="101">
        <f>Masters!F814</f>
        <v>3</v>
      </c>
      <c r="E810" s="101">
        <f>Masters!G814</f>
        <v>3</v>
      </c>
      <c r="F810" s="101">
        <f>Masters!H814</f>
        <v>3</v>
      </c>
      <c r="G810" s="101">
        <f>Masters!I814</f>
        <v>4</v>
      </c>
      <c r="H810" s="101">
        <f>Masters!J814</f>
        <v>4</v>
      </c>
      <c r="I810" s="101">
        <f>Masters!K814</f>
        <v>2</v>
      </c>
      <c r="J810" s="101">
        <f>Masters!L814</f>
        <v>4</v>
      </c>
      <c r="K810" s="101">
        <f>Masters!M814</f>
        <v>4</v>
      </c>
      <c r="L810" s="101">
        <f>Masters!N814</f>
        <v>4</v>
      </c>
    </row>
    <row r="811">
      <c r="A811" s="101">
        <f>Masters!C815</f>
        <v>6346</v>
      </c>
      <c r="B811" s="102" t="str">
        <f>Masters!D815</f>
        <v>Funeral Directors</v>
      </c>
      <c r="C811" s="102" t="str">
        <f>Masters!E815</f>
        <v>Funeral directors and embalmers</v>
      </c>
      <c r="D811" s="101">
        <f>Masters!F815</f>
        <v>3</v>
      </c>
      <c r="E811" s="101">
        <f>Masters!G815</f>
        <v>2</v>
      </c>
      <c r="F811" s="101">
        <f>Masters!H815</f>
        <v>3</v>
      </c>
      <c r="G811" s="101">
        <f>Masters!I815</f>
        <v>4</v>
      </c>
      <c r="H811" s="101">
        <f>Masters!J815</f>
        <v>4</v>
      </c>
      <c r="I811" s="101">
        <f>Masters!K815</f>
        <v>3</v>
      </c>
      <c r="J811" s="101">
        <f>Masters!L815</f>
        <v>4</v>
      </c>
      <c r="K811" s="101">
        <f>Masters!M815</f>
        <v>4</v>
      </c>
      <c r="L811" s="101">
        <f>Masters!N815</f>
        <v>4</v>
      </c>
    </row>
    <row r="812">
      <c r="A812" s="101">
        <f>Masters!C816</f>
        <v>6742</v>
      </c>
      <c r="B812" s="102" t="str">
        <f>Masters!D816</f>
        <v>Funeral Home Attendants</v>
      </c>
      <c r="C812" s="102" t="str">
        <f>Masters!E816</f>
        <v>Other service support occupations, n.e.c.</v>
      </c>
      <c r="D812" s="101">
        <f>Masters!F816</f>
        <v>4</v>
      </c>
      <c r="E812" s="101">
        <f>Masters!G816</f>
        <v>4</v>
      </c>
      <c r="F812" s="101">
        <f>Masters!H816</f>
        <v>5</v>
      </c>
      <c r="G812" s="101">
        <f>Masters!I816</f>
        <v>4</v>
      </c>
      <c r="H812" s="101">
        <f>Masters!J816</f>
        <v>4</v>
      </c>
      <c r="I812" s="101">
        <f>Masters!K816</f>
        <v>4</v>
      </c>
      <c r="J812" s="101">
        <f>Masters!L816</f>
        <v>4</v>
      </c>
      <c r="K812" s="101">
        <f>Masters!M816</f>
        <v>4</v>
      </c>
      <c r="L812" s="101">
        <f>Masters!N816</f>
        <v>4</v>
      </c>
    </row>
    <row r="813">
      <c r="A813" s="101">
        <f>Masters!C817</f>
        <v>6313</v>
      </c>
      <c r="B813" s="102" t="str">
        <f>Masters!D817</f>
        <v>Gambling Casino Supervisors</v>
      </c>
      <c r="C813" s="102" t="str">
        <f>Masters!E817</f>
        <v>Accommodation, travel, tourism and related services supervisors</v>
      </c>
      <c r="D813" s="101">
        <f>Masters!F817</f>
        <v>3</v>
      </c>
      <c r="E813" s="101">
        <f>Masters!G817</f>
        <v>3</v>
      </c>
      <c r="F813" s="101">
        <f>Masters!H817</f>
        <v>3</v>
      </c>
      <c r="G813" s="101">
        <f>Masters!I817</f>
        <v>4</v>
      </c>
      <c r="H813" s="101">
        <f>Masters!J817</f>
        <v>4</v>
      </c>
      <c r="I813" s="101">
        <f>Masters!K817</f>
        <v>4</v>
      </c>
      <c r="J813" s="101">
        <f>Masters!L817</f>
        <v>4</v>
      </c>
      <c r="K813" s="101">
        <f>Masters!M817</f>
        <v>4</v>
      </c>
      <c r="L813" s="101">
        <f>Masters!N817</f>
        <v>4</v>
      </c>
    </row>
    <row r="814">
      <c r="A814" s="101">
        <f>Masters!C818</f>
        <v>1228</v>
      </c>
      <c r="B814" s="102" t="str">
        <f>Masters!D818</f>
        <v>Immigration Officers</v>
      </c>
      <c r="C814" s="102" t="str">
        <f>Masters!E818</f>
        <v>Employment insurance, immigration, border services and revenue officers</v>
      </c>
      <c r="D814" s="101">
        <f>Masters!F818</f>
        <v>2</v>
      </c>
      <c r="E814" s="101">
        <f>Masters!G818</f>
        <v>2</v>
      </c>
      <c r="F814" s="101">
        <f>Masters!H818</f>
        <v>3</v>
      </c>
      <c r="G814" s="101">
        <f>Masters!I818</f>
        <v>4</v>
      </c>
      <c r="H814" s="101">
        <f>Masters!J818</f>
        <v>4</v>
      </c>
      <c r="I814" s="101">
        <f>Masters!K818</f>
        <v>2</v>
      </c>
      <c r="J814" s="101">
        <f>Masters!L818</f>
        <v>4</v>
      </c>
      <c r="K814" s="101">
        <f>Masters!M818</f>
        <v>4</v>
      </c>
      <c r="L814" s="101">
        <f>Masters!N818</f>
        <v>4</v>
      </c>
    </row>
    <row r="815">
      <c r="A815" s="101">
        <f>Masters!C819</f>
        <v>4211</v>
      </c>
      <c r="B815" s="102" t="str">
        <f>Masters!D819</f>
        <v>Independent Paralegals</v>
      </c>
      <c r="C815" s="102" t="str">
        <f>Masters!E819</f>
        <v>Paralegal and related occupations</v>
      </c>
      <c r="D815" s="101">
        <f>Masters!F819</f>
        <v>3</v>
      </c>
      <c r="E815" s="101">
        <f>Masters!G819</f>
        <v>2</v>
      </c>
      <c r="F815" s="101">
        <f>Masters!H819</f>
        <v>3</v>
      </c>
      <c r="G815" s="101">
        <f>Masters!I819</f>
        <v>4</v>
      </c>
      <c r="H815" s="101">
        <f>Masters!J819</f>
        <v>4</v>
      </c>
      <c r="I815" s="101">
        <f>Masters!K819</f>
        <v>3</v>
      </c>
      <c r="J815" s="101">
        <f>Masters!L819</f>
        <v>4</v>
      </c>
      <c r="K815" s="101">
        <f>Masters!M819</f>
        <v>4</v>
      </c>
      <c r="L815" s="101">
        <f>Masters!N819</f>
        <v>4</v>
      </c>
    </row>
    <row r="816">
      <c r="A816" s="101">
        <f>Masters!C820</f>
        <v>121</v>
      </c>
      <c r="B816" s="102" t="str">
        <f>Masters!D820</f>
        <v>Insurance Managers</v>
      </c>
      <c r="C816" s="102" t="str">
        <f>Masters!E820</f>
        <v>Insurance, real estate and financial brokerage managers</v>
      </c>
      <c r="D816" s="101">
        <f>Masters!F820</f>
        <v>2</v>
      </c>
      <c r="E816" s="101">
        <f>Masters!G820</f>
        <v>2</v>
      </c>
      <c r="F816" s="101">
        <f>Masters!H820</f>
        <v>2</v>
      </c>
      <c r="G816" s="101">
        <f>Masters!I820</f>
        <v>4</v>
      </c>
      <c r="H816" s="101">
        <f>Masters!J820</f>
        <v>4</v>
      </c>
      <c r="I816" s="101">
        <f>Masters!K820</f>
        <v>3</v>
      </c>
      <c r="J816" s="101">
        <f>Masters!L820</f>
        <v>4</v>
      </c>
      <c r="K816" s="101">
        <f>Masters!M820</f>
        <v>4</v>
      </c>
      <c r="L816" s="101">
        <f>Masters!N820</f>
        <v>4</v>
      </c>
    </row>
    <row r="817">
      <c r="A817" s="101">
        <f>Masters!C821</f>
        <v>1313</v>
      </c>
      <c r="B817" s="102" t="str">
        <f>Masters!D821</f>
        <v>Insurance Underwriters</v>
      </c>
      <c r="C817" s="102" t="str">
        <f>Masters!E821</f>
        <v>Insurance underwriters</v>
      </c>
      <c r="D817" s="101">
        <f>Masters!F821</f>
        <v>2</v>
      </c>
      <c r="E817" s="101">
        <f>Masters!G821</f>
        <v>2</v>
      </c>
      <c r="F817" s="101">
        <f>Masters!H821</f>
        <v>2</v>
      </c>
      <c r="G817" s="101">
        <f>Masters!I821</f>
        <v>4</v>
      </c>
      <c r="H817" s="101">
        <f>Masters!J821</f>
        <v>3</v>
      </c>
      <c r="I817" s="101">
        <f>Masters!K821</f>
        <v>2</v>
      </c>
      <c r="J817" s="101">
        <f>Masters!L821</f>
        <v>4</v>
      </c>
      <c r="K817" s="101">
        <f>Masters!M821</f>
        <v>4</v>
      </c>
      <c r="L817" s="101">
        <f>Masters!N821</f>
        <v>4</v>
      </c>
    </row>
    <row r="818">
      <c r="A818" s="101">
        <f>Masters!C822</f>
        <v>5123</v>
      </c>
      <c r="B818" s="102" t="str">
        <f>Masters!D822</f>
        <v>Journalists</v>
      </c>
      <c r="C818" s="102" t="str">
        <f>Masters!E822</f>
        <v>Journalists</v>
      </c>
      <c r="D818" s="101">
        <f>Masters!F822</f>
        <v>2</v>
      </c>
      <c r="E818" s="101">
        <f>Masters!G822</f>
        <v>1</v>
      </c>
      <c r="F818" s="101">
        <f>Masters!H822</f>
        <v>3</v>
      </c>
      <c r="G818" s="101">
        <f>Masters!I822</f>
        <v>4</v>
      </c>
      <c r="H818" s="101">
        <f>Masters!J822</f>
        <v>4</v>
      </c>
      <c r="I818" s="101">
        <f>Masters!K822</f>
        <v>3</v>
      </c>
      <c r="J818" s="101">
        <f>Masters!L822</f>
        <v>4</v>
      </c>
      <c r="K818" s="101">
        <f>Masters!M822</f>
        <v>4</v>
      </c>
      <c r="L818" s="101">
        <f>Masters!N822</f>
        <v>4</v>
      </c>
    </row>
    <row r="819">
      <c r="A819" s="101">
        <f>Masters!C823</f>
        <v>6711</v>
      </c>
      <c r="B819" s="102" t="str">
        <f>Masters!D823</f>
        <v>Kitchen Helpers</v>
      </c>
      <c r="C819" s="102" t="str">
        <f>Masters!E823</f>
        <v>Food counter attendants, kitchen helpers and related support occupations</v>
      </c>
      <c r="D819" s="101">
        <f>Masters!F823</f>
        <v>4</v>
      </c>
      <c r="E819" s="101">
        <f>Masters!G823</f>
        <v>4</v>
      </c>
      <c r="F819" s="101">
        <f>Masters!H823</f>
        <v>5</v>
      </c>
      <c r="G819" s="101">
        <f>Masters!I823</f>
        <v>4</v>
      </c>
      <c r="H819" s="101">
        <f>Masters!J823</f>
        <v>4</v>
      </c>
      <c r="I819" s="101">
        <f>Masters!K823</f>
        <v>5</v>
      </c>
      <c r="J819" s="101">
        <f>Masters!L823</f>
        <v>4</v>
      </c>
      <c r="K819" s="101">
        <f>Masters!M823</f>
        <v>4</v>
      </c>
      <c r="L819" s="101">
        <f>Masters!N823</f>
        <v>3</v>
      </c>
    </row>
    <row r="820">
      <c r="A820" s="101">
        <f>Masters!C824</f>
        <v>9615</v>
      </c>
      <c r="B820" s="102" t="str">
        <f>Masters!D824</f>
        <v>Labourers in Rubber and Plastic Products Manufacturing</v>
      </c>
      <c r="C820" s="102" t="str">
        <f>Masters!E824</f>
        <v>Labourers in rubber and plastic products manufacturing</v>
      </c>
      <c r="D820" s="101">
        <f>Masters!F824</f>
        <v>4</v>
      </c>
      <c r="E820" s="101">
        <f>Masters!G824</f>
        <v>5</v>
      </c>
      <c r="F820" s="101">
        <f>Masters!H824</f>
        <v>5</v>
      </c>
      <c r="G820" s="101">
        <f>Masters!I824</f>
        <v>4</v>
      </c>
      <c r="H820" s="101">
        <f>Masters!J824</f>
        <v>4</v>
      </c>
      <c r="I820" s="101">
        <f>Masters!K824</f>
        <v>5</v>
      </c>
      <c r="J820" s="101">
        <f>Masters!L824</f>
        <v>4</v>
      </c>
      <c r="K820" s="101">
        <f>Masters!M824</f>
        <v>4</v>
      </c>
      <c r="L820" s="101">
        <f>Masters!N824</f>
        <v>4</v>
      </c>
    </row>
    <row r="821">
      <c r="A821" s="101">
        <f>Masters!C825</f>
        <v>9614</v>
      </c>
      <c r="B821" s="102" t="str">
        <f>Masters!D825</f>
        <v>Labourers in Wood, Pulp and Paper Processing</v>
      </c>
      <c r="C821" s="102" t="str">
        <f>Masters!E825</f>
        <v>Labourers in wood, pulp and paper processing</v>
      </c>
      <c r="D821" s="101">
        <f>Masters!F825</f>
        <v>4</v>
      </c>
      <c r="E821" s="101">
        <f>Masters!G825</f>
        <v>4</v>
      </c>
      <c r="F821" s="101">
        <f>Masters!H825</f>
        <v>5</v>
      </c>
      <c r="G821" s="101">
        <f>Masters!I825</f>
        <v>4</v>
      </c>
      <c r="H821" s="101">
        <f>Masters!J825</f>
        <v>4</v>
      </c>
      <c r="I821" s="101">
        <f>Masters!K825</f>
        <v>5</v>
      </c>
      <c r="J821" s="101">
        <f>Masters!L825</f>
        <v>4</v>
      </c>
      <c r="K821" s="101">
        <f>Masters!M825</f>
        <v>4</v>
      </c>
      <c r="L821" s="101">
        <f>Masters!N825</f>
        <v>3</v>
      </c>
    </row>
    <row r="822">
      <c r="A822" s="101">
        <f>Masters!C826</f>
        <v>6731</v>
      </c>
      <c r="B822" s="102" t="str">
        <f>Masters!D826</f>
        <v>Light Duty Cleaners</v>
      </c>
      <c r="C822" s="102" t="str">
        <f>Masters!E826</f>
        <v>Light duty cleaners</v>
      </c>
      <c r="D822" s="101">
        <f>Masters!F826</f>
        <v>4</v>
      </c>
      <c r="E822" s="101">
        <f>Masters!G826</f>
        <v>4</v>
      </c>
      <c r="F822" s="101">
        <f>Masters!H826</f>
        <v>5</v>
      </c>
      <c r="G822" s="101">
        <f>Masters!I826</f>
        <v>4</v>
      </c>
      <c r="H822" s="101">
        <f>Masters!J826</f>
        <v>4</v>
      </c>
      <c r="I822" s="101">
        <f>Masters!K826</f>
        <v>5</v>
      </c>
      <c r="J822" s="101">
        <f>Masters!L826</f>
        <v>4</v>
      </c>
      <c r="K822" s="101">
        <f>Masters!M826</f>
        <v>4</v>
      </c>
      <c r="L822" s="101">
        <f>Masters!N826</f>
        <v>3</v>
      </c>
    </row>
    <row r="823">
      <c r="A823" s="101">
        <f>Masters!C827</f>
        <v>6235</v>
      </c>
      <c r="B823" s="102" t="str">
        <f>Masters!D827</f>
        <v>Loan Officers</v>
      </c>
      <c r="C823" s="102" t="str">
        <f>Masters!E827</f>
        <v>Financial sales representatives</v>
      </c>
      <c r="D823" s="101">
        <f>Masters!F827</f>
        <v>2</v>
      </c>
      <c r="E823" s="101">
        <f>Masters!G827</f>
        <v>3</v>
      </c>
      <c r="F823" s="101">
        <f>Masters!H827</f>
        <v>2</v>
      </c>
      <c r="G823" s="101">
        <f>Masters!I827</f>
        <v>4</v>
      </c>
      <c r="H823" s="101">
        <f>Masters!J827</f>
        <v>4</v>
      </c>
      <c r="I823" s="101">
        <f>Masters!K827</f>
        <v>2</v>
      </c>
      <c r="J823" s="101">
        <f>Masters!L827</f>
        <v>4</v>
      </c>
      <c r="K823" s="101">
        <f>Masters!M827</f>
        <v>4</v>
      </c>
      <c r="L823" s="101">
        <f>Masters!N827</f>
        <v>4</v>
      </c>
    </row>
    <row r="824">
      <c r="A824" s="101">
        <f>Masters!C828</f>
        <v>8616</v>
      </c>
      <c r="B824" s="102" t="str">
        <f>Masters!D828</f>
        <v>Logging and Forestry Labourers</v>
      </c>
      <c r="C824" s="102" t="str">
        <f>Masters!E828</f>
        <v>Logging and forestry labourers</v>
      </c>
      <c r="D824" s="101">
        <f>Masters!F828</f>
        <v>4</v>
      </c>
      <c r="E824" s="101">
        <f>Masters!G828</f>
        <v>4</v>
      </c>
      <c r="F824" s="101">
        <f>Masters!H828</f>
        <v>5</v>
      </c>
      <c r="G824" s="101">
        <f>Masters!I828</f>
        <v>4</v>
      </c>
      <c r="H824" s="101">
        <f>Masters!J828</f>
        <v>4</v>
      </c>
      <c r="I824" s="101">
        <f>Masters!K828</f>
        <v>5</v>
      </c>
      <c r="J824" s="101">
        <f>Masters!L828</f>
        <v>4</v>
      </c>
      <c r="K824" s="101">
        <f>Masters!M828</f>
        <v>4</v>
      </c>
      <c r="L824" s="101">
        <f>Masters!N828</f>
        <v>3</v>
      </c>
    </row>
    <row r="825">
      <c r="A825" s="101">
        <f>Masters!C829</f>
        <v>1122</v>
      </c>
      <c r="B825" s="102" t="str">
        <f>Masters!D829</f>
        <v>Management Consultants</v>
      </c>
      <c r="C825" s="102" t="str">
        <f>Masters!E829</f>
        <v>Professional occupations in business management consulting</v>
      </c>
      <c r="D825" s="101">
        <f>Masters!F829</f>
        <v>2</v>
      </c>
      <c r="E825" s="101">
        <f>Masters!G829</f>
        <v>2</v>
      </c>
      <c r="F825" s="101">
        <f>Masters!H829</f>
        <v>3</v>
      </c>
      <c r="G825" s="101">
        <f>Masters!I829</f>
        <v>4</v>
      </c>
      <c r="H825" s="101">
        <f>Masters!J829</f>
        <v>4</v>
      </c>
      <c r="I825" s="101">
        <f>Masters!K829</f>
        <v>2</v>
      </c>
      <c r="J825" s="101">
        <f>Masters!L829</f>
        <v>4</v>
      </c>
      <c r="K825" s="101">
        <f>Masters!M829</f>
        <v>4</v>
      </c>
      <c r="L825" s="101">
        <f>Masters!N829</f>
        <v>4</v>
      </c>
    </row>
    <row r="826">
      <c r="A826" s="101">
        <f>Masters!C830</f>
        <v>512</v>
      </c>
      <c r="B826" s="102" t="str">
        <f>Masters!D830</f>
        <v>Managers _x0013_ Publishing, Motion Pictures, Broadcasting and Performing Arts</v>
      </c>
      <c r="C826" s="102" t="str">
        <f>Masters!E830</f>
        <v>Managers - publishing, motion pictures, broadcasting and performing arts</v>
      </c>
      <c r="D826" s="101">
        <f>Masters!F830</f>
        <v>2</v>
      </c>
      <c r="E826" s="101">
        <f>Masters!G830</f>
        <v>1</v>
      </c>
      <c r="F826" s="101">
        <f>Masters!H830</f>
        <v>3</v>
      </c>
      <c r="G826" s="101">
        <f>Masters!I830</f>
        <v>4</v>
      </c>
      <c r="H826" s="101">
        <f>Masters!J830</f>
        <v>4</v>
      </c>
      <c r="I826" s="101">
        <f>Masters!K830</f>
        <v>3</v>
      </c>
      <c r="J826" s="101">
        <f>Masters!L830</f>
        <v>4</v>
      </c>
      <c r="K826" s="101">
        <f>Masters!M830</f>
        <v>4</v>
      </c>
      <c r="L826" s="101">
        <f>Masters!N830</f>
        <v>4</v>
      </c>
    </row>
    <row r="827">
      <c r="A827" s="101">
        <f>Masters!C831</f>
        <v>2148</v>
      </c>
      <c r="B827" s="102" t="str">
        <f>Masters!D831</f>
        <v>Marine and Naval Engineers</v>
      </c>
      <c r="C827" s="102" t="str">
        <f>Masters!E831</f>
        <v>Other professional engineers, n.e.c.</v>
      </c>
      <c r="D827" s="101">
        <f>Masters!F831</f>
        <v>1</v>
      </c>
      <c r="E827" s="101">
        <f>Masters!G831</f>
        <v>2</v>
      </c>
      <c r="F827" s="101">
        <f>Masters!H831</f>
        <v>1</v>
      </c>
      <c r="G827" s="101">
        <f>Masters!I831</f>
        <v>1</v>
      </c>
      <c r="H827" s="101">
        <f>Masters!J831</f>
        <v>2</v>
      </c>
      <c r="I827" s="101">
        <f>Masters!K831</f>
        <v>4</v>
      </c>
      <c r="J827" s="101">
        <f>Masters!L831</f>
        <v>4</v>
      </c>
      <c r="K827" s="101">
        <f>Masters!M831</f>
        <v>4</v>
      </c>
      <c r="L827" s="101">
        <f>Masters!N831</f>
        <v>4</v>
      </c>
    </row>
    <row r="828">
      <c r="A828" s="101">
        <f>Masters!C832</f>
        <v>124</v>
      </c>
      <c r="B828" s="102" t="str">
        <f>Masters!D832</f>
        <v>Marketing Managers</v>
      </c>
      <c r="C828" s="102" t="str">
        <f>Masters!E832</f>
        <v>Advertising, marketing and public relations managers</v>
      </c>
      <c r="D828" s="101">
        <f>Masters!F832</f>
        <v>2</v>
      </c>
      <c r="E828" s="101">
        <f>Masters!G832</f>
        <v>2</v>
      </c>
      <c r="F828" s="101">
        <f>Masters!H832</f>
        <v>2</v>
      </c>
      <c r="G828" s="101">
        <f>Masters!I832</f>
        <v>4</v>
      </c>
      <c r="H828" s="101">
        <f>Masters!J832</f>
        <v>4</v>
      </c>
      <c r="I828" s="101">
        <f>Masters!K832</f>
        <v>3</v>
      </c>
      <c r="J828" s="101">
        <f>Masters!L832</f>
        <v>4</v>
      </c>
      <c r="K828" s="101">
        <f>Masters!M832</f>
        <v>4</v>
      </c>
      <c r="L828" s="101">
        <f>Masters!N832</f>
        <v>4</v>
      </c>
    </row>
    <row r="829">
      <c r="A829" s="101">
        <f>Masters!C833</f>
        <v>2132</v>
      </c>
      <c r="B829" s="102" t="str">
        <f>Masters!D833</f>
        <v>Mechanical Engineers</v>
      </c>
      <c r="C829" s="102" t="str">
        <f>Masters!E833</f>
        <v>Mechanical engineers</v>
      </c>
      <c r="D829" s="101">
        <f>Masters!F833</f>
        <v>1</v>
      </c>
      <c r="E829" s="101">
        <f>Masters!G833</f>
        <v>2</v>
      </c>
      <c r="F829" s="101">
        <f>Masters!H833</f>
        <v>1</v>
      </c>
      <c r="G829" s="101">
        <f>Masters!I833</f>
        <v>2</v>
      </c>
      <c r="H829" s="101">
        <f>Masters!J833</f>
        <v>3</v>
      </c>
      <c r="I829" s="101">
        <f>Masters!K833</f>
        <v>4</v>
      </c>
      <c r="J829" s="101">
        <f>Masters!L833</f>
        <v>4</v>
      </c>
      <c r="K829" s="101">
        <f>Masters!M833</f>
        <v>4</v>
      </c>
      <c r="L829" s="101">
        <f>Masters!N833</f>
        <v>4</v>
      </c>
    </row>
    <row r="830">
      <c r="A830" s="101">
        <f>Masters!C834</f>
        <v>8614</v>
      </c>
      <c r="B830" s="102" t="str">
        <f>Masters!D834</f>
        <v>Mine Labourers</v>
      </c>
      <c r="C830" s="102" t="str">
        <f>Masters!E834</f>
        <v>Mine labourers</v>
      </c>
      <c r="D830" s="101">
        <f>Masters!F834</f>
        <v>4</v>
      </c>
      <c r="E830" s="101">
        <f>Masters!G834</f>
        <v>4</v>
      </c>
      <c r="F830" s="101">
        <f>Masters!H834</f>
        <v>5</v>
      </c>
      <c r="G830" s="101">
        <f>Masters!I834</f>
        <v>4</v>
      </c>
      <c r="H830" s="101">
        <f>Masters!J834</f>
        <v>4</v>
      </c>
      <c r="I830" s="101">
        <f>Masters!K834</f>
        <v>5</v>
      </c>
      <c r="J830" s="101">
        <f>Masters!L834</f>
        <v>4</v>
      </c>
      <c r="K830" s="101">
        <f>Masters!M834</f>
        <v>4</v>
      </c>
      <c r="L830" s="101">
        <f>Masters!N834</f>
        <v>3</v>
      </c>
    </row>
    <row r="831">
      <c r="A831" s="101">
        <f>Masters!C835</f>
        <v>4154</v>
      </c>
      <c r="B831" s="102" t="str">
        <f>Masters!D835</f>
        <v>Ministers of Religion</v>
      </c>
      <c r="C831" s="102" t="str">
        <f>Masters!E835</f>
        <v>Professional occupations in religion</v>
      </c>
      <c r="D831" s="101">
        <f>Masters!F835</f>
        <v>2</v>
      </c>
      <c r="E831" s="101">
        <f>Masters!G835</f>
        <v>2</v>
      </c>
      <c r="F831" s="101">
        <f>Masters!H835</f>
        <v>3</v>
      </c>
      <c r="G831" s="101">
        <f>Masters!I835</f>
        <v>4</v>
      </c>
      <c r="H831" s="101">
        <f>Masters!J835</f>
        <v>4</v>
      </c>
      <c r="I831" s="101">
        <f>Masters!K835</f>
        <v>4</v>
      </c>
      <c r="J831" s="101">
        <f>Masters!L835</f>
        <v>4</v>
      </c>
      <c r="K831" s="101">
        <f>Masters!M835</f>
        <v>4</v>
      </c>
      <c r="L831" s="101">
        <f>Masters!N835</f>
        <v>4</v>
      </c>
    </row>
    <row r="832">
      <c r="A832" s="101">
        <f>Masters!C836</f>
        <v>121</v>
      </c>
      <c r="B832" s="102" t="str">
        <f>Masters!D836</f>
        <v>Mortgage Broker Managers</v>
      </c>
      <c r="C832" s="102" t="str">
        <f>Masters!E836</f>
        <v>Insurance, real estate and financial brokerage managers</v>
      </c>
      <c r="D832" s="101">
        <f>Masters!F836</f>
        <v>2</v>
      </c>
      <c r="E832" s="101">
        <f>Masters!G836</f>
        <v>2</v>
      </c>
      <c r="F832" s="101">
        <f>Masters!H836</f>
        <v>2</v>
      </c>
      <c r="G832" s="101">
        <f>Masters!I836</f>
        <v>4</v>
      </c>
      <c r="H832" s="101">
        <f>Masters!J836</f>
        <v>4</v>
      </c>
      <c r="I832" s="101">
        <f>Masters!K836</f>
        <v>3</v>
      </c>
      <c r="J832" s="101">
        <f>Masters!L836</f>
        <v>4</v>
      </c>
      <c r="K832" s="101">
        <f>Masters!M836</f>
        <v>4</v>
      </c>
      <c r="L832" s="101">
        <f>Masters!N836</f>
        <v>4</v>
      </c>
    </row>
    <row r="833">
      <c r="A833" s="101">
        <f>Masters!C837</f>
        <v>1114</v>
      </c>
      <c r="B833" s="102" t="str">
        <f>Masters!D837</f>
        <v>Mortgage Brokers</v>
      </c>
      <c r="C833" s="102" t="str">
        <f>Masters!E837</f>
        <v>Other financial officers</v>
      </c>
      <c r="D833" s="101">
        <f>Masters!F837</f>
        <v>2</v>
      </c>
      <c r="E833" s="101">
        <f>Masters!G837</f>
        <v>2</v>
      </c>
      <c r="F833" s="101">
        <f>Masters!H837</f>
        <v>2</v>
      </c>
      <c r="G833" s="101">
        <f>Masters!I837</f>
        <v>4</v>
      </c>
      <c r="H833" s="101">
        <f>Masters!J837</f>
        <v>4</v>
      </c>
      <c r="I833" s="101">
        <f>Masters!K837</f>
        <v>3</v>
      </c>
      <c r="J833" s="101">
        <f>Masters!L837</f>
        <v>4</v>
      </c>
      <c r="K833" s="101">
        <f>Masters!M837</f>
        <v>4</v>
      </c>
      <c r="L833" s="101">
        <f>Masters!N837</f>
        <v>4</v>
      </c>
    </row>
    <row r="834">
      <c r="A834" s="101">
        <f>Masters!C838</f>
        <v>9522</v>
      </c>
      <c r="B834" s="102" t="str">
        <f>Masters!D838</f>
        <v>Motor Vehicle Assemblers</v>
      </c>
      <c r="C834" s="102" t="str">
        <f>Masters!E838</f>
        <v>Motor vehicle assemblers, inspectors and testers</v>
      </c>
      <c r="D834" s="101">
        <f>Masters!F838</f>
        <v>4</v>
      </c>
      <c r="E834" s="101">
        <f>Masters!G838</f>
        <v>4</v>
      </c>
      <c r="F834" s="101">
        <f>Masters!H838</f>
        <v>5</v>
      </c>
      <c r="G834" s="101">
        <f>Masters!I838</f>
        <v>4</v>
      </c>
      <c r="H834" s="101">
        <f>Masters!J838</f>
        <v>4</v>
      </c>
      <c r="I834" s="101">
        <f>Masters!K838</f>
        <v>5</v>
      </c>
      <c r="J834" s="101">
        <f>Masters!L838</f>
        <v>4</v>
      </c>
      <c r="K834" s="101">
        <f>Masters!M838</f>
        <v>4</v>
      </c>
      <c r="L834" s="101">
        <f>Masters!N838</f>
        <v>3</v>
      </c>
    </row>
    <row r="835">
      <c r="A835" s="101">
        <f>Masters!C839</f>
        <v>4411</v>
      </c>
      <c r="B835" s="102" t="str">
        <f>Masters!D839</f>
        <v>Nannies and Live-in Caregivers</v>
      </c>
      <c r="C835" s="102" t="str">
        <f>Masters!E839</f>
        <v>Home child care providers</v>
      </c>
      <c r="D835" s="101">
        <f>Masters!F839</f>
        <v>4</v>
      </c>
      <c r="E835" s="101">
        <f>Masters!G839</f>
        <v>3</v>
      </c>
      <c r="F835" s="101">
        <f>Masters!H839</f>
        <v>4</v>
      </c>
      <c r="G835" s="101">
        <f>Masters!I839</f>
        <v>4</v>
      </c>
      <c r="H835" s="101">
        <f>Masters!J839</f>
        <v>4</v>
      </c>
      <c r="I835" s="101">
        <f>Masters!K839</f>
        <v>5</v>
      </c>
      <c r="J835" s="101">
        <f>Masters!L839</f>
        <v>4</v>
      </c>
      <c r="K835" s="101">
        <f>Masters!M839</f>
        <v>4</v>
      </c>
      <c r="L835" s="101">
        <f>Masters!N839</f>
        <v>3</v>
      </c>
    </row>
    <row r="836">
      <c r="A836" s="101">
        <f>Masters!C840</f>
        <v>4211</v>
      </c>
      <c r="B836" s="102" t="str">
        <f>Masters!D840</f>
        <v>Notaries Public</v>
      </c>
      <c r="C836" s="102" t="str">
        <f>Masters!E840</f>
        <v>Paralegal and related occupations</v>
      </c>
      <c r="D836" s="101">
        <f>Masters!F840</f>
        <v>3</v>
      </c>
      <c r="E836" s="101">
        <f>Masters!G840</f>
        <v>2</v>
      </c>
      <c r="F836" s="101">
        <f>Masters!H840</f>
        <v>3</v>
      </c>
      <c r="G836" s="101">
        <f>Masters!I840</f>
        <v>4</v>
      </c>
      <c r="H836" s="101">
        <f>Masters!J840</f>
        <v>4</v>
      </c>
      <c r="I836" s="101">
        <f>Masters!K840</f>
        <v>3</v>
      </c>
      <c r="J836" s="101">
        <f>Masters!L840</f>
        <v>4</v>
      </c>
      <c r="K836" s="101">
        <f>Masters!M840</f>
        <v>4</v>
      </c>
      <c r="L836" s="101">
        <f>Masters!N840</f>
        <v>4</v>
      </c>
    </row>
    <row r="837">
      <c r="A837" s="101">
        <f>Masters!C841</f>
        <v>3011</v>
      </c>
      <c r="B837" s="102" t="str">
        <f>Masters!D841</f>
        <v>Nursing Consultants</v>
      </c>
      <c r="C837" s="102" t="str">
        <f>Masters!E841</f>
        <v>Nursing co-ordinators and supervisors</v>
      </c>
      <c r="D837" s="101">
        <f>Masters!F841</f>
        <v>2</v>
      </c>
      <c r="E837" s="101">
        <f>Masters!G841</f>
        <v>2</v>
      </c>
      <c r="F837" s="101">
        <f>Masters!H841</f>
        <v>3</v>
      </c>
      <c r="G837" s="101">
        <f>Masters!I841</f>
        <v>4</v>
      </c>
      <c r="H837" s="101">
        <f>Masters!J841</f>
        <v>4</v>
      </c>
      <c r="I837" s="101">
        <f>Masters!K841</f>
        <v>4</v>
      </c>
      <c r="J837" s="101">
        <f>Masters!L841</f>
        <v>4</v>
      </c>
      <c r="K837" s="101">
        <f>Masters!M841</f>
        <v>4</v>
      </c>
      <c r="L837" s="101">
        <f>Masters!N841</f>
        <v>4</v>
      </c>
    </row>
    <row r="838">
      <c r="A838" s="101">
        <f>Masters!C842</f>
        <v>3012</v>
      </c>
      <c r="B838" s="102" t="str">
        <f>Masters!D842</f>
        <v>Nursing Researchers</v>
      </c>
      <c r="C838" s="102" t="str">
        <f>Masters!E842</f>
        <v>Registered nurses and registered psychiatric nurses</v>
      </c>
      <c r="D838" s="101">
        <f>Masters!F842</f>
        <v>2</v>
      </c>
      <c r="E838" s="101">
        <f>Masters!G842</f>
        <v>2</v>
      </c>
      <c r="F838" s="101">
        <f>Masters!H842</f>
        <v>3</v>
      </c>
      <c r="G838" s="101">
        <f>Masters!I842</f>
        <v>4</v>
      </c>
      <c r="H838" s="101">
        <f>Masters!J842</f>
        <v>4</v>
      </c>
      <c r="I838" s="101">
        <f>Masters!K842</f>
        <v>4</v>
      </c>
      <c r="J838" s="101">
        <f>Masters!L842</f>
        <v>4</v>
      </c>
      <c r="K838" s="101">
        <f>Masters!M842</f>
        <v>4</v>
      </c>
      <c r="L838" s="101">
        <f>Masters!N842</f>
        <v>4</v>
      </c>
    </row>
    <row r="839">
      <c r="A839" s="101">
        <f>Masters!C843</f>
        <v>114</v>
      </c>
      <c r="B839" s="102" t="str">
        <f>Masters!D843</f>
        <v>Other Administrative Services Managers</v>
      </c>
      <c r="C839" s="102" t="str">
        <f>Masters!E843</f>
        <v>Other administrative services managers</v>
      </c>
      <c r="D839" s="101">
        <f>Masters!F843</f>
        <v>2</v>
      </c>
      <c r="E839" s="101">
        <f>Masters!G843</f>
        <v>2</v>
      </c>
      <c r="F839" s="101">
        <f>Masters!H843</f>
        <v>2</v>
      </c>
      <c r="G839" s="101">
        <f>Masters!I843</f>
        <v>4</v>
      </c>
      <c r="H839" s="101">
        <f>Masters!J843</f>
        <v>4</v>
      </c>
      <c r="I839" s="101">
        <f>Masters!K843</f>
        <v>3</v>
      </c>
      <c r="J839" s="101">
        <f>Masters!L843</f>
        <v>4</v>
      </c>
      <c r="K839" s="101">
        <f>Masters!M843</f>
        <v>4</v>
      </c>
      <c r="L839" s="101">
        <f>Masters!N843</f>
        <v>4</v>
      </c>
    </row>
    <row r="840">
      <c r="A840" s="101">
        <f>Masters!C844</f>
        <v>125</v>
      </c>
      <c r="B840" s="102" t="str">
        <f>Masters!D844</f>
        <v>Other Business Services Managers</v>
      </c>
      <c r="C840" s="102" t="str">
        <f>Masters!E844</f>
        <v>Other business services managers</v>
      </c>
      <c r="D840" s="101">
        <f>Masters!F844</f>
        <v>2</v>
      </c>
      <c r="E840" s="101">
        <f>Masters!G844</f>
        <v>2</v>
      </c>
      <c r="F840" s="101">
        <f>Masters!H844</f>
        <v>2</v>
      </c>
      <c r="G840" s="101">
        <f>Masters!I844</f>
        <v>4</v>
      </c>
      <c r="H840" s="101">
        <f>Masters!J844</f>
        <v>4</v>
      </c>
      <c r="I840" s="101">
        <f>Masters!K844</f>
        <v>3</v>
      </c>
      <c r="J840" s="101">
        <f>Masters!L844</f>
        <v>4</v>
      </c>
      <c r="K840" s="101">
        <f>Masters!M844</f>
        <v>4</v>
      </c>
      <c r="L840" s="101">
        <f>Masters!N844</f>
        <v>4</v>
      </c>
    </row>
    <row r="841">
      <c r="A841" s="101">
        <f>Masters!C845</f>
        <v>414</v>
      </c>
      <c r="B841" s="102" t="str">
        <f>Masters!D845</f>
        <v>Other Managers in Public Administration</v>
      </c>
      <c r="C841" s="102" t="str">
        <f>Masters!E845</f>
        <v>Other managers in public administration</v>
      </c>
      <c r="D841" s="101">
        <f>Masters!F845</f>
        <v>2</v>
      </c>
      <c r="E841" s="101">
        <f>Masters!G845</f>
        <v>2</v>
      </c>
      <c r="F841" s="101">
        <f>Masters!H845</f>
        <v>2</v>
      </c>
      <c r="G841" s="101">
        <f>Masters!I845</f>
        <v>4</v>
      </c>
      <c r="H841" s="101">
        <f>Masters!J845</f>
        <v>4</v>
      </c>
      <c r="I841" s="101">
        <f>Masters!K845</f>
        <v>3</v>
      </c>
      <c r="J841" s="101">
        <f>Masters!L845</f>
        <v>4</v>
      </c>
      <c r="K841" s="101">
        <f>Masters!M845</f>
        <v>4</v>
      </c>
      <c r="L841" s="101">
        <f>Masters!N845</f>
        <v>4</v>
      </c>
    </row>
    <row r="842">
      <c r="A842" s="101">
        <f>Masters!C846</f>
        <v>3144</v>
      </c>
      <c r="B842" s="102" t="str">
        <f>Masters!D846</f>
        <v>Other Professional Occupations in Therapy and Assessment</v>
      </c>
      <c r="C842" s="102" t="str">
        <f>Masters!E846</f>
        <v>Other professional occupations in therapy and assessment</v>
      </c>
      <c r="D842" s="101">
        <f>Masters!F846</f>
        <v>2</v>
      </c>
      <c r="E842" s="101">
        <f>Masters!G846</f>
        <v>2</v>
      </c>
      <c r="F842" s="101">
        <f>Masters!H846</f>
        <v>3</v>
      </c>
      <c r="G842" s="101">
        <f>Masters!I846</f>
        <v>4</v>
      </c>
      <c r="H842" s="101">
        <f>Masters!J846</f>
        <v>4</v>
      </c>
      <c r="I842" s="101">
        <f>Masters!K846</f>
        <v>4</v>
      </c>
      <c r="J842" s="101">
        <f>Masters!L846</f>
        <v>4</v>
      </c>
      <c r="K842" s="101">
        <f>Masters!M846</f>
        <v>4</v>
      </c>
      <c r="L842" s="101">
        <f>Masters!N846</f>
        <v>4</v>
      </c>
    </row>
    <row r="843">
      <c r="A843" s="101">
        <f>Masters!C847</f>
        <v>4217</v>
      </c>
      <c r="B843" s="102" t="str">
        <f>Masters!D847</f>
        <v>Other Religious Occupations</v>
      </c>
      <c r="C843" s="102" t="str">
        <f>Masters!E847</f>
        <v>Other religious occupations</v>
      </c>
      <c r="D843" s="101">
        <f>Masters!F847</f>
        <v>3</v>
      </c>
      <c r="E843" s="101">
        <f>Masters!G847</f>
        <v>3</v>
      </c>
      <c r="F843" s="101">
        <f>Masters!H847</f>
        <v>3</v>
      </c>
      <c r="G843" s="101">
        <f>Masters!I847</f>
        <v>4</v>
      </c>
      <c r="H843" s="101">
        <f>Masters!J847</f>
        <v>4</v>
      </c>
      <c r="I843" s="101">
        <f>Masters!K847</f>
        <v>4</v>
      </c>
      <c r="J843" s="101">
        <f>Masters!L847</f>
        <v>4</v>
      </c>
      <c r="K843" s="101">
        <f>Masters!M847</f>
        <v>4</v>
      </c>
      <c r="L843" s="101">
        <f>Masters!N847</f>
        <v>4</v>
      </c>
    </row>
    <row r="844">
      <c r="A844" s="101">
        <f>Masters!C848</f>
        <v>1123</v>
      </c>
      <c r="B844" s="102" t="str">
        <f>Masters!D848</f>
        <v>Professional Occupations in Public Relations and Communications</v>
      </c>
      <c r="C844" s="102" t="str">
        <f>Masters!E848</f>
        <v>Professional occupations in advertising, marketing and public relations</v>
      </c>
      <c r="D844" s="101">
        <f>Masters!F848</f>
        <v>2</v>
      </c>
      <c r="E844" s="101">
        <f>Masters!G848</f>
        <v>1</v>
      </c>
      <c r="F844" s="101">
        <f>Masters!H848</f>
        <v>3</v>
      </c>
      <c r="G844" s="101">
        <f>Masters!I848</f>
        <v>4</v>
      </c>
      <c r="H844" s="101">
        <f>Masters!J848</f>
        <v>4</v>
      </c>
      <c r="I844" s="101">
        <f>Masters!K848</f>
        <v>3</v>
      </c>
      <c r="J844" s="101">
        <f>Masters!L848</f>
        <v>4</v>
      </c>
      <c r="K844" s="101">
        <f>Masters!M848</f>
        <v>4</v>
      </c>
      <c r="L844" s="101">
        <f>Masters!N848</f>
        <v>4</v>
      </c>
    </row>
    <row r="845">
      <c r="A845" s="101">
        <f>Masters!C849</f>
        <v>124</v>
      </c>
      <c r="B845" s="102" t="str">
        <f>Masters!D849</f>
        <v>Public Relations Managers</v>
      </c>
      <c r="C845" s="102" t="str">
        <f>Masters!E849</f>
        <v>Advertising, marketing and public relations managers</v>
      </c>
      <c r="D845" s="101">
        <f>Masters!F849</f>
        <v>2</v>
      </c>
      <c r="E845" s="101">
        <f>Masters!G849</f>
        <v>2</v>
      </c>
      <c r="F845" s="101">
        <f>Masters!H849</f>
        <v>2</v>
      </c>
      <c r="G845" s="101">
        <f>Masters!I849</f>
        <v>4</v>
      </c>
      <c r="H845" s="101">
        <f>Masters!J849</f>
        <v>4</v>
      </c>
      <c r="I845" s="101">
        <f>Masters!K849</f>
        <v>3</v>
      </c>
      <c r="J845" s="101">
        <f>Masters!L849</f>
        <v>4</v>
      </c>
      <c r="K845" s="101">
        <f>Masters!M849</f>
        <v>4</v>
      </c>
      <c r="L845" s="101">
        <f>Masters!N849</f>
        <v>4</v>
      </c>
    </row>
    <row r="846">
      <c r="A846" s="101">
        <f>Masters!C850</f>
        <v>113</v>
      </c>
      <c r="B846" s="102" t="str">
        <f>Masters!D850</f>
        <v>Purchasing Managers</v>
      </c>
      <c r="C846" s="102" t="str">
        <f>Masters!E850</f>
        <v>Purchasing managers</v>
      </c>
      <c r="D846" s="101">
        <f>Masters!F850</f>
        <v>2</v>
      </c>
      <c r="E846" s="101">
        <f>Masters!G850</f>
        <v>2</v>
      </c>
      <c r="F846" s="101">
        <f>Masters!H850</f>
        <v>2</v>
      </c>
      <c r="G846" s="101">
        <f>Masters!I850</f>
        <v>4</v>
      </c>
      <c r="H846" s="101">
        <f>Masters!J850</f>
        <v>4</v>
      </c>
      <c r="I846" s="101">
        <f>Masters!K850</f>
        <v>3</v>
      </c>
      <c r="J846" s="101">
        <f>Masters!L850</f>
        <v>4</v>
      </c>
      <c r="K846" s="101">
        <f>Masters!M850</f>
        <v>4</v>
      </c>
      <c r="L846" s="101">
        <f>Masters!N850</f>
        <v>4</v>
      </c>
    </row>
    <row r="847">
      <c r="A847" s="101">
        <f>Masters!C851</f>
        <v>121</v>
      </c>
      <c r="B847" s="102" t="str">
        <f>Masters!D851</f>
        <v>Real Estate Service Managers</v>
      </c>
      <c r="C847" s="102" t="str">
        <f>Masters!E851</f>
        <v>Insurance, real estate and financial brokerage managers</v>
      </c>
      <c r="D847" s="101">
        <f>Masters!F851</f>
        <v>2</v>
      </c>
      <c r="E847" s="101">
        <f>Masters!G851</f>
        <v>2</v>
      </c>
      <c r="F847" s="101">
        <f>Masters!H851</f>
        <v>2</v>
      </c>
      <c r="G847" s="101">
        <f>Masters!I851</f>
        <v>4</v>
      </c>
      <c r="H847" s="101">
        <f>Masters!J851</f>
        <v>4</v>
      </c>
      <c r="I847" s="101">
        <f>Masters!K851</f>
        <v>3</v>
      </c>
      <c r="J847" s="101">
        <f>Masters!L851</f>
        <v>4</v>
      </c>
      <c r="K847" s="101">
        <f>Masters!M851</f>
        <v>4</v>
      </c>
      <c r="L847" s="101">
        <f>Masters!N851</f>
        <v>4</v>
      </c>
    </row>
    <row r="848">
      <c r="A848" s="101">
        <f>Masters!C852</f>
        <v>601</v>
      </c>
      <c r="B848" s="102" t="str">
        <f>Masters!D852</f>
        <v>Sales Managers</v>
      </c>
      <c r="C848" s="102" t="str">
        <f>Masters!E852</f>
        <v>Corporate sales managers</v>
      </c>
      <c r="D848" s="101">
        <f>Masters!F852</f>
        <v>2</v>
      </c>
      <c r="E848" s="101">
        <f>Masters!G852</f>
        <v>2</v>
      </c>
      <c r="F848" s="101">
        <f>Masters!H852</f>
        <v>2</v>
      </c>
      <c r="G848" s="101">
        <f>Masters!I852</f>
        <v>4</v>
      </c>
      <c r="H848" s="101">
        <f>Masters!J852</f>
        <v>4</v>
      </c>
      <c r="I848" s="101">
        <f>Masters!K852</f>
        <v>3</v>
      </c>
      <c r="J848" s="101">
        <f>Masters!L852</f>
        <v>4</v>
      </c>
      <c r="K848" s="101">
        <f>Masters!M852</f>
        <v>4</v>
      </c>
      <c r="L848" s="101">
        <f>Masters!N852</f>
        <v>4</v>
      </c>
    </row>
    <row r="849">
      <c r="A849" s="101">
        <f>Masters!C853</f>
        <v>6732</v>
      </c>
      <c r="B849" s="102" t="str">
        <f>Masters!D853</f>
        <v>Sandblasters</v>
      </c>
      <c r="C849" s="102" t="str">
        <f>Masters!E853</f>
        <v>Specialized cleaners</v>
      </c>
      <c r="D849" s="101">
        <f>Masters!F853</f>
        <v>4</v>
      </c>
      <c r="E849" s="101">
        <f>Masters!G853</f>
        <v>4</v>
      </c>
      <c r="F849" s="101">
        <f>Masters!H853</f>
        <v>5</v>
      </c>
      <c r="G849" s="101">
        <f>Masters!I853</f>
        <v>4</v>
      </c>
      <c r="H849" s="101">
        <f>Masters!J853</f>
        <v>4</v>
      </c>
      <c r="I849" s="101">
        <f>Masters!K853</f>
        <v>5</v>
      </c>
      <c r="J849" s="101">
        <f>Masters!L853</f>
        <v>4</v>
      </c>
      <c r="K849" s="101">
        <f>Masters!M853</f>
        <v>4</v>
      </c>
      <c r="L849" s="101">
        <f>Masters!N853</f>
        <v>3</v>
      </c>
    </row>
    <row r="850">
      <c r="A850" s="101">
        <f>Masters!C854</f>
        <v>1113</v>
      </c>
      <c r="B850" s="102" t="str">
        <f>Masters!D854</f>
        <v>Securities Agents and Investment Dealers</v>
      </c>
      <c r="C850" s="102" t="str">
        <f>Masters!E854</f>
        <v>Securities agents, investment dealers and brokers</v>
      </c>
      <c r="D850" s="101">
        <f>Masters!F854</f>
        <v>2</v>
      </c>
      <c r="E850" s="101">
        <f>Masters!G854</f>
        <v>2</v>
      </c>
      <c r="F850" s="101">
        <f>Masters!H854</f>
        <v>2</v>
      </c>
      <c r="G850" s="101">
        <f>Masters!I854</f>
        <v>4</v>
      </c>
      <c r="H850" s="101">
        <f>Masters!J854</f>
        <v>4</v>
      </c>
      <c r="I850" s="101">
        <f>Masters!K854</f>
        <v>3</v>
      </c>
      <c r="J850" s="101">
        <f>Masters!L854</f>
        <v>4</v>
      </c>
      <c r="K850" s="101">
        <f>Masters!M854</f>
        <v>4</v>
      </c>
      <c r="L850" s="101">
        <f>Masters!N854</f>
        <v>4</v>
      </c>
    </row>
    <row r="851">
      <c r="A851" s="101">
        <f>Masters!C855</f>
        <v>121</v>
      </c>
      <c r="B851" s="102" t="str">
        <f>Masters!D855</f>
        <v>Securities Managers</v>
      </c>
      <c r="C851" s="102" t="str">
        <f>Masters!E855</f>
        <v>Insurance, real estate and financial brokerage managers</v>
      </c>
      <c r="D851" s="101">
        <f>Masters!F855</f>
        <v>2</v>
      </c>
      <c r="E851" s="101">
        <f>Masters!G855</f>
        <v>2</v>
      </c>
      <c r="F851" s="101">
        <f>Masters!H855</f>
        <v>2</v>
      </c>
      <c r="G851" s="101">
        <f>Masters!I855</f>
        <v>4</v>
      </c>
      <c r="H851" s="101">
        <f>Masters!J855</f>
        <v>4</v>
      </c>
      <c r="I851" s="101">
        <f>Masters!K855</f>
        <v>3</v>
      </c>
      <c r="J851" s="101">
        <f>Masters!L855</f>
        <v>4</v>
      </c>
      <c r="K851" s="101">
        <f>Masters!M855</f>
        <v>4</v>
      </c>
      <c r="L851" s="101">
        <f>Masters!N855</f>
        <v>4</v>
      </c>
    </row>
    <row r="852">
      <c r="A852" s="101">
        <f>Masters!C856</f>
        <v>6541</v>
      </c>
      <c r="B852" s="102" t="str">
        <f>Masters!D856</f>
        <v>Security Guards and Related Occupations</v>
      </c>
      <c r="C852" s="102" t="str">
        <f>Masters!E856</f>
        <v>Security guards and related security service occupations</v>
      </c>
      <c r="D852" s="101">
        <f>Masters!F856</f>
        <v>4</v>
      </c>
      <c r="E852" s="101">
        <f>Masters!G856</f>
        <v>3</v>
      </c>
      <c r="F852" s="101">
        <f>Masters!H856</f>
        <v>4</v>
      </c>
      <c r="G852" s="101">
        <f>Masters!I856</f>
        <v>4</v>
      </c>
      <c r="H852" s="101">
        <f>Masters!J856</f>
        <v>4</v>
      </c>
      <c r="I852" s="101">
        <f>Masters!K856</f>
        <v>4</v>
      </c>
      <c r="J852" s="101">
        <f>Masters!L856</f>
        <v>4</v>
      </c>
      <c r="K852" s="101">
        <f>Masters!M856</f>
        <v>4</v>
      </c>
      <c r="L852" s="101">
        <f>Masters!N856</f>
        <v>4</v>
      </c>
    </row>
    <row r="853">
      <c r="A853" s="101">
        <f>Masters!C857</f>
        <v>4164</v>
      </c>
      <c r="B853" s="102" t="str">
        <f>Masters!D857</f>
        <v>Social Survey Researchers</v>
      </c>
      <c r="C853" s="102" t="str">
        <f>Masters!E857</f>
        <v>Social policy researchers, consultants and program officers</v>
      </c>
      <c r="D853" s="101">
        <f>Masters!F857</f>
        <v>2</v>
      </c>
      <c r="E853" s="101">
        <f>Masters!G857</f>
        <v>2</v>
      </c>
      <c r="F853" s="101">
        <f>Masters!H857</f>
        <v>2</v>
      </c>
      <c r="G853" s="101">
        <f>Masters!I857</f>
        <v>4</v>
      </c>
      <c r="H853" s="101">
        <f>Masters!J857</f>
        <v>4</v>
      </c>
      <c r="I853" s="101">
        <f>Masters!K857</f>
        <v>3</v>
      </c>
      <c r="J853" s="101">
        <f>Masters!L857</f>
        <v>4</v>
      </c>
      <c r="K853" s="101">
        <f>Masters!M857</f>
        <v>4</v>
      </c>
      <c r="L853" s="101">
        <f>Masters!N857</f>
        <v>4</v>
      </c>
    </row>
    <row r="854">
      <c r="A854" s="101">
        <f>Masters!C858</f>
        <v>1213</v>
      </c>
      <c r="B854" s="102" t="str">
        <f>Masters!D858</f>
        <v>Supervisors, Library, Correspondence and Related Information Clerks</v>
      </c>
      <c r="C854" s="102" t="str">
        <f>Masters!E858</f>
        <v>Supervisors, library, correspondence and related information workers</v>
      </c>
      <c r="D854" s="101">
        <f>Masters!F858</f>
        <v>3</v>
      </c>
      <c r="E854" s="101">
        <f>Masters!G858</f>
        <v>3</v>
      </c>
      <c r="F854" s="101">
        <f>Masters!H858</f>
        <v>3</v>
      </c>
      <c r="G854" s="101">
        <f>Masters!I858</f>
        <v>4</v>
      </c>
      <c r="H854" s="101">
        <f>Masters!J858</f>
        <v>4</v>
      </c>
      <c r="I854" s="101">
        <f>Masters!K858</f>
        <v>2</v>
      </c>
      <c r="J854" s="101">
        <f>Masters!L858</f>
        <v>4</v>
      </c>
      <c r="K854" s="101">
        <f>Masters!M858</f>
        <v>4</v>
      </c>
      <c r="L854" s="101">
        <f>Masters!N858</f>
        <v>4</v>
      </c>
    </row>
    <row r="855">
      <c r="A855" s="101">
        <f>Masters!C859</f>
        <v>1214</v>
      </c>
      <c r="B855" s="102" t="str">
        <f>Masters!D859</f>
        <v>Supervisors, Mail and Message Distribution Occupations</v>
      </c>
      <c r="C855" s="102" t="str">
        <f>Masters!E859</f>
        <v>Supervisors, mail and message distribution occupations</v>
      </c>
      <c r="D855" s="101">
        <f>Masters!F859</f>
        <v>3</v>
      </c>
      <c r="E855" s="101">
        <f>Masters!G859</f>
        <v>3</v>
      </c>
      <c r="F855" s="101">
        <f>Masters!H859</f>
        <v>3</v>
      </c>
      <c r="G855" s="101">
        <f>Masters!I859</f>
        <v>4</v>
      </c>
      <c r="H855" s="101">
        <f>Masters!J859</f>
        <v>4</v>
      </c>
      <c r="I855" s="101">
        <f>Masters!K859</f>
        <v>2</v>
      </c>
      <c r="J855" s="101">
        <f>Masters!L859</f>
        <v>4</v>
      </c>
      <c r="K855" s="101">
        <f>Masters!M859</f>
        <v>4</v>
      </c>
      <c r="L855" s="101">
        <f>Masters!N859</f>
        <v>4</v>
      </c>
    </row>
    <row r="856">
      <c r="A856" s="101">
        <f>Masters!C860</f>
        <v>6742</v>
      </c>
      <c r="B856" s="102" t="str">
        <f>Masters!D860</f>
        <v>Ticket Takers and Ushers</v>
      </c>
      <c r="C856" s="102" t="str">
        <f>Masters!E860</f>
        <v>Other service support occupations, n.e.c.</v>
      </c>
      <c r="D856" s="101">
        <f>Masters!F860</f>
        <v>4</v>
      </c>
      <c r="E856" s="101">
        <f>Masters!G860</f>
        <v>4</v>
      </c>
      <c r="F856" s="101">
        <f>Masters!H860</f>
        <v>5</v>
      </c>
      <c r="G856" s="101">
        <f>Masters!I860</f>
        <v>4</v>
      </c>
      <c r="H856" s="101">
        <f>Masters!J860</f>
        <v>4</v>
      </c>
      <c r="I856" s="101">
        <f>Masters!K860</f>
        <v>4</v>
      </c>
      <c r="J856" s="101">
        <f>Masters!L860</f>
        <v>4</v>
      </c>
      <c r="K856" s="101">
        <f>Masters!M860</f>
        <v>4</v>
      </c>
      <c r="L856" s="101">
        <f>Masters!N860</f>
        <v>4</v>
      </c>
    </row>
    <row r="857">
      <c r="A857" s="101">
        <f>Masters!C861</f>
        <v>6721</v>
      </c>
      <c r="B857" s="102" t="str">
        <f>Masters!D861</f>
        <v>Train Service Attendants</v>
      </c>
      <c r="C857" s="102" t="str">
        <f>Masters!E861</f>
        <v>Support occupations in accommodation, travel and facilities set-up services</v>
      </c>
      <c r="D857" s="101">
        <f>Masters!F861</f>
        <v>4</v>
      </c>
      <c r="E857" s="101">
        <f>Masters!G861</f>
        <v>4</v>
      </c>
      <c r="F857" s="101">
        <f>Masters!H861</f>
        <v>4</v>
      </c>
      <c r="G857" s="101">
        <f>Masters!I861</f>
        <v>4</v>
      </c>
      <c r="H857" s="101">
        <f>Masters!J861</f>
        <v>4</v>
      </c>
      <c r="I857" s="101">
        <f>Masters!K861</f>
        <v>5</v>
      </c>
      <c r="J857" s="101">
        <f>Masters!L861</f>
        <v>4</v>
      </c>
      <c r="K857" s="101">
        <f>Masters!M861</f>
        <v>4</v>
      </c>
      <c r="L857" s="101">
        <f>Masters!N861</f>
        <v>4</v>
      </c>
    </row>
    <row r="858">
      <c r="A858" s="101">
        <f>Masters!C862</f>
        <v>5125</v>
      </c>
      <c r="B858" s="102" t="str">
        <f>Masters!D862</f>
        <v>Translators</v>
      </c>
      <c r="C858" s="102" t="str">
        <f>Masters!E862</f>
        <v>Translators, terminologists and interpreters</v>
      </c>
      <c r="D858" s="101">
        <f>Masters!F862</f>
        <v>2</v>
      </c>
      <c r="E858" s="101">
        <f>Masters!G862</f>
        <v>1</v>
      </c>
      <c r="F858" s="101">
        <f>Masters!H862</f>
        <v>4</v>
      </c>
      <c r="G858" s="101">
        <f>Masters!I862</f>
        <v>4</v>
      </c>
      <c r="H858" s="101">
        <f>Masters!J862</f>
        <v>4</v>
      </c>
      <c r="I858" s="101">
        <f>Masters!K862</f>
        <v>2</v>
      </c>
      <c r="J858" s="101">
        <f>Masters!L862</f>
        <v>4</v>
      </c>
      <c r="K858" s="101">
        <f>Masters!M862</f>
        <v>4</v>
      </c>
      <c r="L858" s="101">
        <f>Masters!N862</f>
        <v>4</v>
      </c>
    </row>
    <row r="859">
      <c r="A859" s="101">
        <f>Masters!C863</f>
        <v>1114</v>
      </c>
      <c r="B859" s="102" t="str">
        <f>Masters!D863</f>
        <v>Trust Officers</v>
      </c>
      <c r="C859" s="102" t="str">
        <f>Masters!E863</f>
        <v>Other financial officers</v>
      </c>
      <c r="D859" s="101">
        <f>Masters!F863</f>
        <v>2</v>
      </c>
      <c r="E859" s="101">
        <f>Masters!G863</f>
        <v>2</v>
      </c>
      <c r="F859" s="101">
        <f>Masters!H863</f>
        <v>2</v>
      </c>
      <c r="G859" s="101">
        <f>Masters!I863</f>
        <v>4</v>
      </c>
      <c r="H859" s="101">
        <f>Masters!J863</f>
        <v>4</v>
      </c>
      <c r="I859" s="101">
        <f>Masters!K863</f>
        <v>3</v>
      </c>
      <c r="J859" s="101">
        <f>Masters!L863</f>
        <v>4</v>
      </c>
      <c r="K859" s="101">
        <f>Masters!M863</f>
        <v>4</v>
      </c>
      <c r="L859" s="101">
        <f>Masters!N863</f>
        <v>4</v>
      </c>
    </row>
    <row r="860">
      <c r="A860" s="101">
        <f>Masters!C864</f>
        <v>1313</v>
      </c>
      <c r="B860" s="102" t="str">
        <f>Masters!D864</f>
        <v>Underwriters</v>
      </c>
      <c r="C860" s="102" t="str">
        <f>Masters!E864</f>
        <v>Insurance underwriters</v>
      </c>
      <c r="D860" s="101">
        <f>Masters!F864</f>
        <v>2</v>
      </c>
      <c r="E860" s="101">
        <f>Masters!G864</f>
        <v>2</v>
      </c>
      <c r="F860" s="101">
        <f>Masters!H864</f>
        <v>2</v>
      </c>
      <c r="G860" s="101">
        <f>Masters!I864</f>
        <v>4</v>
      </c>
      <c r="H860" s="101">
        <f>Masters!J864</f>
        <v>4</v>
      </c>
      <c r="I860" s="101">
        <f>Masters!K864</f>
        <v>3</v>
      </c>
      <c r="J860" s="101">
        <f>Masters!L864</f>
        <v>4</v>
      </c>
      <c r="K860" s="101">
        <f>Masters!M864</f>
        <v>4</v>
      </c>
      <c r="L860" s="101">
        <f>Masters!N864</f>
        <v>4</v>
      </c>
    </row>
    <row r="861">
      <c r="A861" s="101">
        <f>Masters!C865</f>
        <v>4011</v>
      </c>
      <c r="B861" s="102" t="str">
        <f>Masters!D865</f>
        <v>University Professors</v>
      </c>
      <c r="C861" s="102" t="str">
        <f>Masters!E865</f>
        <v>University professors and lecturers</v>
      </c>
      <c r="D861" s="101">
        <f>Masters!F865</f>
        <v>1</v>
      </c>
      <c r="E861" s="101">
        <f>Masters!G865</f>
        <v>1</v>
      </c>
      <c r="F861" s="101">
        <f>Masters!H865</f>
        <v>2</v>
      </c>
      <c r="G861" s="101">
        <f>Masters!I865</f>
        <v>3</v>
      </c>
      <c r="H861" s="101">
        <f>Masters!J865</f>
        <v>3</v>
      </c>
      <c r="I861" s="101">
        <f>Masters!K865</f>
        <v>3</v>
      </c>
      <c r="J861" s="101">
        <f>Masters!L865</f>
        <v>4</v>
      </c>
      <c r="K861" s="101">
        <f>Masters!M865</f>
        <v>4</v>
      </c>
      <c r="L861" s="101">
        <f>Masters!N865</f>
        <v>4</v>
      </c>
    </row>
    <row r="862">
      <c r="A862" s="101">
        <f>Masters!C866</f>
        <v>6732</v>
      </c>
      <c r="B862" s="102" t="str">
        <f>Masters!D866</f>
        <v>Vehicle Cleaners</v>
      </c>
      <c r="C862" s="102" t="str">
        <f>Masters!E866</f>
        <v>Specialized cleaners</v>
      </c>
      <c r="D862" s="101">
        <f>Masters!F866</f>
        <v>4</v>
      </c>
      <c r="E862" s="101">
        <f>Masters!G866</f>
        <v>4</v>
      </c>
      <c r="F862" s="101">
        <f>Masters!H866</f>
        <v>5</v>
      </c>
      <c r="G862" s="101">
        <f>Masters!I866</f>
        <v>4</v>
      </c>
      <c r="H862" s="101">
        <f>Masters!J866</f>
        <v>4</v>
      </c>
      <c r="I862" s="101">
        <f>Masters!K866</f>
        <v>5</v>
      </c>
      <c r="J862" s="101">
        <f>Masters!L866</f>
        <v>4</v>
      </c>
      <c r="K862" s="101">
        <f>Masters!M866</f>
        <v>4</v>
      </c>
      <c r="L862" s="101">
        <f>Masters!N866</f>
        <v>3</v>
      </c>
    </row>
    <row r="863">
      <c r="A863" s="101">
        <f>Masters!C867</f>
        <v>2175</v>
      </c>
      <c r="B863" s="102" t="str">
        <f>Masters!D867</f>
        <v>Web Designers and Developers</v>
      </c>
      <c r="C863" s="102" t="str">
        <f>Masters!E867</f>
        <v>Web designers and developers</v>
      </c>
      <c r="D863" s="101">
        <f>Masters!F867</f>
        <v>2</v>
      </c>
      <c r="E863" s="101">
        <f>Masters!G867</f>
        <v>2</v>
      </c>
      <c r="F863" s="101">
        <f>Masters!H867</f>
        <v>2</v>
      </c>
      <c r="G863" s="101">
        <f>Masters!I867</f>
        <v>3</v>
      </c>
      <c r="H863" s="101">
        <f>Masters!J867</f>
        <v>3</v>
      </c>
      <c r="I863" s="101">
        <f>Masters!K867</f>
        <v>1</v>
      </c>
      <c r="J863" s="101">
        <f>Masters!L867</f>
        <v>4</v>
      </c>
      <c r="K863" s="101">
        <f>Masters!M867</f>
        <v>4</v>
      </c>
      <c r="L863" s="101">
        <f>Masters!N867</f>
        <v>4</v>
      </c>
    </row>
    <row r="864">
      <c r="A864" s="101">
        <f>Masters!C868</f>
        <v>2161</v>
      </c>
      <c r="B864" s="102" t="str">
        <f>Masters!D868</f>
        <v>Actuaries</v>
      </c>
      <c r="C864" s="102" t="str">
        <f>Masters!E868</f>
        <v>Mathematicians, statisticians and actuaries</v>
      </c>
      <c r="D864" s="101">
        <f>Masters!F868</f>
        <v>1</v>
      </c>
      <c r="E864" s="101">
        <f>Masters!G868</f>
        <v>2</v>
      </c>
      <c r="F864" s="101">
        <f>Masters!H868</f>
        <v>1</v>
      </c>
      <c r="G864" s="101">
        <f>Masters!I868</f>
        <v>2</v>
      </c>
      <c r="H864" s="101">
        <f>Masters!J868</f>
        <v>3</v>
      </c>
      <c r="I864" s="101">
        <f>Masters!K868</f>
        <v>1</v>
      </c>
      <c r="J864" s="101">
        <f>Masters!L868</f>
        <v>4</v>
      </c>
      <c r="K864" s="101">
        <f>Masters!M868</f>
        <v>4</v>
      </c>
      <c r="L864" s="101">
        <f>Masters!N868</f>
        <v>4</v>
      </c>
    </row>
    <row r="865">
      <c r="A865" s="101">
        <f>Masters!C869</f>
        <v>422</v>
      </c>
      <c r="B865" s="102" t="str">
        <f>Masters!D869</f>
        <v>Administrators of Elementary and Secondary Education</v>
      </c>
      <c r="C865" s="102" t="str">
        <f>Masters!E869</f>
        <v>School principals and administrators of elementary and secondary education</v>
      </c>
      <c r="D865" s="101">
        <f>Masters!F869</f>
        <v>1</v>
      </c>
      <c r="E865" s="101">
        <f>Masters!G869</f>
        <v>2</v>
      </c>
      <c r="F865" s="101">
        <f>Masters!H869</f>
        <v>2</v>
      </c>
      <c r="G865" s="101">
        <f>Masters!I869</f>
        <v>4</v>
      </c>
      <c r="H865" s="101">
        <f>Masters!J869</f>
        <v>4</v>
      </c>
      <c r="I865" s="101">
        <f>Masters!K869</f>
        <v>3</v>
      </c>
      <c r="J865" s="101">
        <f>Masters!L869</f>
        <v>4</v>
      </c>
      <c r="K865" s="101">
        <f>Masters!M869</f>
        <v>4</v>
      </c>
      <c r="L865" s="101">
        <f>Masters!N869</f>
        <v>4</v>
      </c>
    </row>
    <row r="866">
      <c r="A866" s="101">
        <f>Masters!C870</f>
        <v>421</v>
      </c>
      <c r="B866" s="102" t="str">
        <f>Masters!D870</f>
        <v>Administrators of Vocational Training Schools</v>
      </c>
      <c r="C866" s="102" t="str">
        <f>Masters!E870</f>
        <v>Administrators - post-secondary education and vocational training</v>
      </c>
      <c r="D866" s="101">
        <f>Masters!F870</f>
        <v>1</v>
      </c>
      <c r="E866" s="101">
        <f>Masters!G870</f>
        <v>2</v>
      </c>
      <c r="F866" s="101">
        <f>Masters!H870</f>
        <v>2</v>
      </c>
      <c r="G866" s="101">
        <f>Masters!I870</f>
        <v>4</v>
      </c>
      <c r="H866" s="101">
        <f>Masters!J870</f>
        <v>4</v>
      </c>
      <c r="I866" s="101">
        <f>Masters!K870</f>
        <v>3</v>
      </c>
      <c r="J866" s="101">
        <f>Masters!L870</f>
        <v>4</v>
      </c>
      <c r="K866" s="101">
        <f>Masters!M870</f>
        <v>4</v>
      </c>
      <c r="L866" s="101">
        <f>Masters!N870</f>
        <v>4</v>
      </c>
    </row>
    <row r="867">
      <c r="A867" s="101">
        <f>Masters!C871</f>
        <v>2148</v>
      </c>
      <c r="B867" s="102" t="str">
        <f>Masters!D871</f>
        <v>Agricultural and Bio-resource Engineers</v>
      </c>
      <c r="C867" s="102" t="str">
        <f>Masters!E871</f>
        <v>Other professional engineers, n.e.c.</v>
      </c>
      <c r="D867" s="101">
        <f>Masters!F871</f>
        <v>1</v>
      </c>
      <c r="E867" s="101">
        <f>Masters!G871</f>
        <v>1</v>
      </c>
      <c r="F867" s="101">
        <f>Masters!H871</f>
        <v>1</v>
      </c>
      <c r="G867" s="101">
        <f>Masters!I871</f>
        <v>1</v>
      </c>
      <c r="H867" s="101">
        <f>Masters!J871</f>
        <v>2</v>
      </c>
      <c r="I867" s="101">
        <f>Masters!K871</f>
        <v>4</v>
      </c>
      <c r="J867" s="101">
        <f>Masters!L871</f>
        <v>4</v>
      </c>
      <c r="K867" s="101">
        <f>Masters!M871</f>
        <v>4</v>
      </c>
      <c r="L867" s="101">
        <f>Masters!N871</f>
        <v>4</v>
      </c>
    </row>
    <row r="868">
      <c r="A868" s="101">
        <f>Masters!C872</f>
        <v>4169</v>
      </c>
      <c r="B868" s="102" t="str">
        <f>Masters!D872</f>
        <v>Anthropologists</v>
      </c>
      <c r="C868" s="102" t="str">
        <f>Masters!E872</f>
        <v>Other professional occupations in social science, n.e.c.</v>
      </c>
      <c r="D868" s="101">
        <f>Masters!F872</f>
        <v>1</v>
      </c>
      <c r="E868" s="101">
        <f>Masters!G872</f>
        <v>2</v>
      </c>
      <c r="F868" s="101">
        <f>Masters!H872</f>
        <v>3</v>
      </c>
      <c r="G868" s="101">
        <f>Masters!I872</f>
        <v>4</v>
      </c>
      <c r="H868" s="101">
        <f>Masters!J872</f>
        <v>4</v>
      </c>
      <c r="I868" s="101">
        <f>Masters!K872</f>
        <v>4</v>
      </c>
      <c r="J868" s="101">
        <f>Masters!L872</f>
        <v>4</v>
      </c>
      <c r="K868" s="101">
        <f>Masters!M872</f>
        <v>4</v>
      </c>
      <c r="L868" s="101">
        <f>Masters!N872</f>
        <v>4</v>
      </c>
    </row>
    <row r="869">
      <c r="A869" s="101">
        <f>Masters!C873</f>
        <v>4169</v>
      </c>
      <c r="B869" s="102" t="str">
        <f>Masters!D873</f>
        <v>Archaeologists</v>
      </c>
      <c r="C869" s="102" t="str">
        <f>Masters!E873</f>
        <v>Other professional occupations in social science, n.e.c.</v>
      </c>
      <c r="D869" s="101">
        <f>Masters!F873</f>
        <v>1</v>
      </c>
      <c r="E869" s="101">
        <f>Masters!G873</f>
        <v>2</v>
      </c>
      <c r="F869" s="101">
        <f>Masters!H873</f>
        <v>3</v>
      </c>
      <c r="G869" s="101">
        <f>Masters!I873</f>
        <v>4</v>
      </c>
      <c r="H869" s="101">
        <f>Masters!J873</f>
        <v>4</v>
      </c>
      <c r="I869" s="101">
        <f>Masters!K873</f>
        <v>4</v>
      </c>
      <c r="J869" s="101">
        <f>Masters!L873</f>
        <v>4</v>
      </c>
      <c r="K869" s="101">
        <f>Masters!M873</f>
        <v>4</v>
      </c>
      <c r="L869" s="101">
        <f>Masters!N873</f>
        <v>4</v>
      </c>
    </row>
    <row r="870">
      <c r="A870" s="101">
        <f>Masters!C874</f>
        <v>6721</v>
      </c>
      <c r="B870" s="102" t="str">
        <f>Masters!D874</f>
        <v>Baggage Porters</v>
      </c>
      <c r="C870" s="102" t="str">
        <f>Masters!E874</f>
        <v>Support occupations in accommodation, travel and facilities set-up services</v>
      </c>
      <c r="D870" s="101">
        <f>Masters!F874</f>
        <v>4</v>
      </c>
      <c r="E870" s="101">
        <f>Masters!G874</f>
        <v>4</v>
      </c>
      <c r="F870" s="101">
        <f>Masters!H874</f>
        <v>5</v>
      </c>
      <c r="G870" s="101">
        <f>Masters!I874</f>
        <v>4</v>
      </c>
      <c r="H870" s="101">
        <f>Masters!J874</f>
        <v>4</v>
      </c>
      <c r="I870" s="101">
        <f>Masters!K874</f>
        <v>5</v>
      </c>
      <c r="J870" s="101">
        <f>Masters!L874</f>
        <v>4</v>
      </c>
      <c r="K870" s="101">
        <f>Masters!M874</f>
        <v>4</v>
      </c>
      <c r="L870" s="101">
        <f>Masters!N874</f>
        <v>4</v>
      </c>
    </row>
    <row r="871">
      <c r="A871" s="101">
        <f>Masters!C875</f>
        <v>6742</v>
      </c>
      <c r="B871" s="102" t="str">
        <f>Masters!D875</f>
        <v>Beauty Salon Attendants</v>
      </c>
      <c r="C871" s="102" t="str">
        <f>Masters!E875</f>
        <v>Other service support occupations, n.e.c.</v>
      </c>
      <c r="D871" s="101">
        <f>Masters!F875</f>
        <v>4</v>
      </c>
      <c r="E871" s="101">
        <f>Masters!G875</f>
        <v>4</v>
      </c>
      <c r="F871" s="101">
        <f>Masters!H875</f>
        <v>5</v>
      </c>
      <c r="G871" s="101">
        <f>Masters!I875</f>
        <v>4</v>
      </c>
      <c r="H871" s="101">
        <f>Masters!J875</f>
        <v>4</v>
      </c>
      <c r="I871" s="101">
        <f>Masters!K875</f>
        <v>5</v>
      </c>
      <c r="J871" s="101">
        <f>Masters!L875</f>
        <v>4</v>
      </c>
      <c r="K871" s="101">
        <f>Masters!M875</f>
        <v>4</v>
      </c>
      <c r="L871" s="101">
        <f>Masters!N875</f>
        <v>4</v>
      </c>
    </row>
    <row r="872">
      <c r="A872" s="101">
        <f>Masters!C876</f>
        <v>2131</v>
      </c>
      <c r="B872" s="102" t="str">
        <f>Masters!D876</f>
        <v>Civil Engineers</v>
      </c>
      <c r="C872" s="102" t="str">
        <f>Masters!E876</f>
        <v>Civil engineers</v>
      </c>
      <c r="D872" s="101">
        <f>Masters!F876</f>
        <v>1</v>
      </c>
      <c r="E872" s="101">
        <f>Masters!G876</f>
        <v>1</v>
      </c>
      <c r="F872" s="101">
        <f>Masters!H876</f>
        <v>1</v>
      </c>
      <c r="G872" s="101">
        <f>Masters!I876</f>
        <v>1</v>
      </c>
      <c r="H872" s="101">
        <f>Masters!J876</f>
        <v>2</v>
      </c>
      <c r="I872" s="101">
        <f>Masters!K876</f>
        <v>4</v>
      </c>
      <c r="J872" s="101">
        <f>Masters!L876</f>
        <v>4</v>
      </c>
      <c r="K872" s="101">
        <f>Masters!M876</f>
        <v>4</v>
      </c>
      <c r="L872" s="101">
        <f>Masters!N876</f>
        <v>4</v>
      </c>
    </row>
    <row r="873">
      <c r="A873" s="101">
        <f>Masters!C877</f>
        <v>2174</v>
      </c>
      <c r="B873" s="102" t="str">
        <f>Masters!D877</f>
        <v>Computer Programmers</v>
      </c>
      <c r="C873" s="102" t="str">
        <f>Masters!E877</f>
        <v>Computer programmers and interactive media developers</v>
      </c>
      <c r="D873" s="101">
        <f>Masters!F877</f>
        <v>1</v>
      </c>
      <c r="E873" s="101">
        <f>Masters!G877</f>
        <v>2</v>
      </c>
      <c r="F873" s="101">
        <f>Masters!H877</f>
        <v>1</v>
      </c>
      <c r="G873" s="101">
        <f>Masters!I877</f>
        <v>2</v>
      </c>
      <c r="H873" s="101">
        <f>Masters!J877</f>
        <v>3</v>
      </c>
      <c r="I873" s="101">
        <f>Masters!K877</f>
        <v>1</v>
      </c>
      <c r="J873" s="101">
        <f>Masters!L877</f>
        <v>4</v>
      </c>
      <c r="K873" s="101">
        <f>Masters!M877</f>
        <v>4</v>
      </c>
      <c r="L873" s="101">
        <f>Masters!N877</f>
        <v>4</v>
      </c>
    </row>
    <row r="874">
      <c r="A874" s="101">
        <f>Masters!C878</f>
        <v>6742</v>
      </c>
      <c r="B874" s="102" t="str">
        <f>Masters!D878</f>
        <v>Door Attendants</v>
      </c>
      <c r="C874" s="102" t="str">
        <f>Masters!E878</f>
        <v>Other service support occupations, n.e.c.</v>
      </c>
      <c r="D874" s="101">
        <f>Masters!F878</f>
        <v>4</v>
      </c>
      <c r="E874" s="101">
        <f>Masters!G878</f>
        <v>4</v>
      </c>
      <c r="F874" s="101">
        <f>Masters!H878</f>
        <v>5</v>
      </c>
      <c r="G874" s="101">
        <f>Masters!I878</f>
        <v>4</v>
      </c>
      <c r="H874" s="101">
        <f>Masters!J878</f>
        <v>4</v>
      </c>
      <c r="I874" s="101">
        <f>Masters!K878</f>
        <v>5</v>
      </c>
      <c r="J874" s="101">
        <f>Masters!L878</f>
        <v>4</v>
      </c>
      <c r="K874" s="101">
        <f>Masters!M878</f>
        <v>4</v>
      </c>
      <c r="L874" s="101">
        <f>Masters!N878</f>
        <v>4</v>
      </c>
    </row>
    <row r="875">
      <c r="A875" s="101">
        <f>Masters!C879</f>
        <v>2133</v>
      </c>
      <c r="B875" s="102" t="str">
        <f>Masters!D879</f>
        <v>Electrical and Electronics Engineers</v>
      </c>
      <c r="C875" s="102" t="str">
        <f>Masters!E879</f>
        <v>Electrical and electronics engineers</v>
      </c>
      <c r="D875" s="101">
        <f>Masters!F879</f>
        <v>1</v>
      </c>
      <c r="E875" s="101">
        <f>Masters!G879</f>
        <v>2</v>
      </c>
      <c r="F875" s="101">
        <f>Masters!H879</f>
        <v>1</v>
      </c>
      <c r="G875" s="101">
        <f>Masters!I879</f>
        <v>2</v>
      </c>
      <c r="H875" s="101">
        <f>Masters!J879</f>
        <v>2</v>
      </c>
      <c r="I875" s="101">
        <f>Masters!K879</f>
        <v>4</v>
      </c>
      <c r="J875" s="101">
        <f>Masters!L879</f>
        <v>4</v>
      </c>
      <c r="K875" s="101">
        <f>Masters!M879</f>
        <v>4</v>
      </c>
      <c r="L875" s="101">
        <f>Masters!N879</f>
        <v>4</v>
      </c>
    </row>
    <row r="876">
      <c r="A876" s="101">
        <f>Masters!C880</f>
        <v>421</v>
      </c>
      <c r="B876" s="102" t="str">
        <f>Masters!D880</f>
        <v>Fashion Models</v>
      </c>
      <c r="C876" s="102" t="str">
        <f>Masters!E880</f>
        <v>Administrators - post-secondary education and vocational training</v>
      </c>
      <c r="D876" s="101">
        <f>Masters!F880</f>
        <v>4</v>
      </c>
      <c r="E876" s="101">
        <f>Masters!G880</f>
        <v>4</v>
      </c>
      <c r="F876" s="101">
        <f>Masters!H880</f>
        <v>5</v>
      </c>
      <c r="G876" s="101">
        <f>Masters!I880</f>
        <v>4</v>
      </c>
      <c r="H876" s="101">
        <f>Masters!J880</f>
        <v>4</v>
      </c>
      <c r="I876" s="101">
        <f>Masters!K880</f>
        <v>5</v>
      </c>
      <c r="J876" s="101">
        <f>Masters!L880</f>
        <v>4</v>
      </c>
      <c r="K876" s="101">
        <f>Masters!M880</f>
        <v>4</v>
      </c>
      <c r="L876" s="101">
        <f>Masters!N880</f>
        <v>4</v>
      </c>
    </row>
    <row r="877">
      <c r="A877" s="101">
        <f>Masters!C881</f>
        <v>1114</v>
      </c>
      <c r="B877" s="102" t="str">
        <f>Masters!D881</f>
        <v>Financial Examiners and Inspectors</v>
      </c>
      <c r="C877" s="102" t="str">
        <f>Masters!E881</f>
        <v>Other financial officers</v>
      </c>
      <c r="D877" s="101">
        <f>Masters!F881</f>
        <v>2</v>
      </c>
      <c r="E877" s="101">
        <f>Masters!G881</f>
        <v>2</v>
      </c>
      <c r="F877" s="101">
        <f>Masters!H881</f>
        <v>2</v>
      </c>
      <c r="G877" s="101">
        <f>Masters!I881</f>
        <v>4</v>
      </c>
      <c r="H877" s="101">
        <f>Masters!J881</f>
        <v>4</v>
      </c>
      <c r="I877" s="101">
        <f>Masters!K881</f>
        <v>2</v>
      </c>
      <c r="J877" s="101">
        <f>Masters!L881</f>
        <v>4</v>
      </c>
      <c r="K877" s="101">
        <f>Masters!M881</f>
        <v>4</v>
      </c>
      <c r="L877" s="101">
        <f>Masters!N881</f>
        <v>4</v>
      </c>
    </row>
    <row r="878">
      <c r="A878" s="101">
        <f>Masters!C882</f>
        <v>1114</v>
      </c>
      <c r="B878" s="102" t="str">
        <f>Masters!D882</f>
        <v>Financial Investigators</v>
      </c>
      <c r="C878" s="102" t="str">
        <f>Masters!E882</f>
        <v>Other financial officers</v>
      </c>
      <c r="D878" s="101">
        <f>Masters!F882</f>
        <v>2</v>
      </c>
      <c r="E878" s="101">
        <f>Masters!G882</f>
        <v>2</v>
      </c>
      <c r="F878" s="101">
        <f>Masters!H882</f>
        <v>2</v>
      </c>
      <c r="G878" s="101">
        <f>Masters!I882</f>
        <v>4</v>
      </c>
      <c r="H878" s="101">
        <f>Masters!J882</f>
        <v>4</v>
      </c>
      <c r="I878" s="101">
        <f>Masters!K882</f>
        <v>2</v>
      </c>
      <c r="J878" s="101">
        <f>Masters!L882</f>
        <v>4</v>
      </c>
      <c r="K878" s="101">
        <f>Masters!M882</f>
        <v>4</v>
      </c>
      <c r="L878" s="101">
        <f>Masters!N882</f>
        <v>4</v>
      </c>
    </row>
    <row r="879">
      <c r="A879" s="101">
        <f>Masters!C883</f>
        <v>6711</v>
      </c>
      <c r="B879" s="102" t="str">
        <f>Masters!D883</f>
        <v>Food Service Helpers</v>
      </c>
      <c r="C879" s="102" t="str">
        <f>Masters!E883</f>
        <v>Food counter attendants, kitchen helpers and related support occupations</v>
      </c>
      <c r="D879" s="101">
        <f>Masters!F883</f>
        <v>4</v>
      </c>
      <c r="E879" s="101">
        <f>Masters!G883</f>
        <v>4</v>
      </c>
      <c r="F879" s="101">
        <f>Masters!H883</f>
        <v>5</v>
      </c>
      <c r="G879" s="101">
        <f>Masters!I883</f>
        <v>4</v>
      </c>
      <c r="H879" s="101">
        <f>Masters!J883</f>
        <v>4</v>
      </c>
      <c r="I879" s="101">
        <f>Masters!K883</f>
        <v>5</v>
      </c>
      <c r="J879" s="101">
        <f>Masters!L883</f>
        <v>4</v>
      </c>
      <c r="K879" s="101">
        <f>Masters!M883</f>
        <v>4</v>
      </c>
      <c r="L879" s="101">
        <f>Masters!N883</f>
        <v>4</v>
      </c>
    </row>
    <row r="880">
      <c r="A880" s="101">
        <f>Masters!C884</f>
        <v>412</v>
      </c>
      <c r="B880" s="102" t="str">
        <f>Masters!D884</f>
        <v>Government Managers - Economic Analysis, Policy Development and Program Administration</v>
      </c>
      <c r="C880" s="102" t="str">
        <f>Masters!E884</f>
        <v>Government managers - economic analysis, policy development and program administration</v>
      </c>
      <c r="D880" s="101">
        <f>Masters!F884</f>
        <v>2</v>
      </c>
      <c r="E880" s="101">
        <f>Masters!G884</f>
        <v>2</v>
      </c>
      <c r="F880" s="101">
        <f>Masters!H884</f>
        <v>1</v>
      </c>
      <c r="G880" s="101">
        <f>Masters!I884</f>
        <v>4</v>
      </c>
      <c r="H880" s="101">
        <f>Masters!J884</f>
        <v>4</v>
      </c>
      <c r="I880" s="101">
        <f>Masters!K884</f>
        <v>3</v>
      </c>
      <c r="J880" s="101">
        <f>Masters!L884</f>
        <v>4</v>
      </c>
      <c r="K880" s="101">
        <f>Masters!M884</f>
        <v>4</v>
      </c>
      <c r="L880" s="101">
        <f>Masters!N884</f>
        <v>4</v>
      </c>
    </row>
    <row r="881">
      <c r="A881" s="101">
        <f>Masters!C885</f>
        <v>413</v>
      </c>
      <c r="B881" s="102" t="str">
        <f>Masters!D885</f>
        <v>Government Managers - Education Policy Development and Program Administration</v>
      </c>
      <c r="C881" s="102" t="str">
        <f>Masters!E885</f>
        <v>Government managers - education policy development and program administration</v>
      </c>
      <c r="D881" s="101">
        <f>Masters!F885</f>
        <v>2</v>
      </c>
      <c r="E881" s="101">
        <f>Masters!G885</f>
        <v>1</v>
      </c>
      <c r="F881" s="101">
        <f>Masters!H885</f>
        <v>2</v>
      </c>
      <c r="G881" s="101">
        <f>Masters!I885</f>
        <v>4</v>
      </c>
      <c r="H881" s="101">
        <f>Masters!J885</f>
        <v>4</v>
      </c>
      <c r="I881" s="101">
        <f>Masters!K885</f>
        <v>3</v>
      </c>
      <c r="J881" s="101">
        <f>Masters!L885</f>
        <v>4</v>
      </c>
      <c r="K881" s="101">
        <f>Masters!M885</f>
        <v>4</v>
      </c>
      <c r="L881" s="101">
        <f>Masters!N885</f>
        <v>4</v>
      </c>
    </row>
    <row r="882">
      <c r="A882" s="101">
        <f>Masters!C886</f>
        <v>411</v>
      </c>
      <c r="B882" s="102" t="str">
        <f>Masters!D886</f>
        <v>Government Managers - Health and Social Policy Development and Program Administration</v>
      </c>
      <c r="C882" s="102" t="str">
        <f>Masters!E886</f>
        <v>Government managers - health and social policy development and program administration</v>
      </c>
      <c r="D882" s="101">
        <f>Masters!F886</f>
        <v>2</v>
      </c>
      <c r="E882" s="101">
        <f>Masters!G886</f>
        <v>1</v>
      </c>
      <c r="F882" s="101">
        <f>Masters!H886</f>
        <v>2</v>
      </c>
      <c r="G882" s="101">
        <f>Masters!I886</f>
        <v>4</v>
      </c>
      <c r="H882" s="101">
        <f>Masters!J886</f>
        <v>4</v>
      </c>
      <c r="I882" s="101">
        <f>Masters!K886</f>
        <v>3</v>
      </c>
      <c r="J882" s="101">
        <f>Masters!L886</f>
        <v>4</v>
      </c>
      <c r="K882" s="101">
        <f>Masters!M886</f>
        <v>4</v>
      </c>
      <c r="L882" s="101">
        <f>Masters!N886</f>
        <v>4</v>
      </c>
    </row>
    <row r="883">
      <c r="A883" s="101">
        <f>Masters!C887</f>
        <v>6721</v>
      </c>
      <c r="B883" s="102" t="str">
        <f>Masters!D887</f>
        <v>Guest Service Attendants</v>
      </c>
      <c r="C883" s="102" t="str">
        <f>Masters!E887</f>
        <v>Support occupations in accommodation, travel and facilities set-up services</v>
      </c>
      <c r="D883" s="101">
        <f>Masters!F887</f>
        <v>4</v>
      </c>
      <c r="E883" s="101">
        <f>Masters!G887</f>
        <v>4</v>
      </c>
      <c r="F883" s="101">
        <f>Masters!H887</f>
        <v>5</v>
      </c>
      <c r="G883" s="101">
        <f>Masters!I887</f>
        <v>4</v>
      </c>
      <c r="H883" s="101">
        <f>Masters!J887</f>
        <v>4</v>
      </c>
      <c r="I883" s="101">
        <f>Masters!K887</f>
        <v>5</v>
      </c>
      <c r="J883" s="101">
        <f>Masters!L887</f>
        <v>4</v>
      </c>
      <c r="K883" s="101">
        <f>Masters!M887</f>
        <v>4</v>
      </c>
      <c r="L883" s="101">
        <f>Masters!N887</f>
        <v>4</v>
      </c>
    </row>
    <row r="884">
      <c r="A884" s="101">
        <f>Masters!C888</f>
        <v>4169</v>
      </c>
      <c r="B884" s="102" t="str">
        <f>Masters!D888</f>
        <v>Historians</v>
      </c>
      <c r="C884" s="102" t="str">
        <f>Masters!E888</f>
        <v>Other professional occupations in social science, n.e.c.</v>
      </c>
      <c r="D884" s="101">
        <f>Masters!F888</f>
        <v>1</v>
      </c>
      <c r="E884" s="101">
        <f>Masters!G888</f>
        <v>2</v>
      </c>
      <c r="F884" s="101">
        <f>Masters!H888</f>
        <v>3</v>
      </c>
      <c r="G884" s="101">
        <f>Masters!I888</f>
        <v>4</v>
      </c>
      <c r="H884" s="101">
        <f>Masters!J888</f>
        <v>4</v>
      </c>
      <c r="I884" s="101">
        <f>Masters!K888</f>
        <v>4</v>
      </c>
      <c r="J884" s="101">
        <f>Masters!L888</f>
        <v>4</v>
      </c>
      <c r="K884" s="101">
        <f>Masters!M888</f>
        <v>4</v>
      </c>
      <c r="L884" s="101">
        <f>Masters!N888</f>
        <v>4</v>
      </c>
    </row>
    <row r="885">
      <c r="A885" s="101">
        <f>Masters!C889</f>
        <v>2141</v>
      </c>
      <c r="B885" s="102" t="str">
        <f>Masters!D889</f>
        <v>Industrial and Manufacturing Engineers</v>
      </c>
      <c r="C885" s="102" t="str">
        <f>Masters!E889</f>
        <v>Industrial and manufacturing engineers</v>
      </c>
      <c r="D885" s="101">
        <f>Masters!F889</f>
        <v>1</v>
      </c>
      <c r="E885" s="101">
        <f>Masters!G889</f>
        <v>2</v>
      </c>
      <c r="F885" s="101">
        <f>Masters!H889</f>
        <v>1</v>
      </c>
      <c r="G885" s="101">
        <f>Masters!I889</f>
        <v>2</v>
      </c>
      <c r="H885" s="101">
        <f>Masters!J889</f>
        <v>2</v>
      </c>
      <c r="I885" s="101">
        <f>Masters!K889</f>
        <v>4</v>
      </c>
      <c r="J885" s="101">
        <f>Masters!L889</f>
        <v>4</v>
      </c>
      <c r="K885" s="101">
        <f>Masters!M889</f>
        <v>4</v>
      </c>
      <c r="L885" s="101">
        <f>Masters!N889</f>
        <v>4</v>
      </c>
    </row>
    <row r="886">
      <c r="A886" s="101">
        <f>Masters!C890</f>
        <v>2174</v>
      </c>
      <c r="B886" s="102" t="str">
        <f>Masters!D890</f>
        <v>Interactive Media Developers</v>
      </c>
      <c r="C886" s="102" t="str">
        <f>Masters!E890</f>
        <v>Computer programmers and interactive media developers</v>
      </c>
      <c r="D886" s="101">
        <f>Masters!F890</f>
        <v>1</v>
      </c>
      <c r="E886" s="101">
        <f>Masters!G890</f>
        <v>2</v>
      </c>
      <c r="F886" s="101">
        <f>Masters!H890</f>
        <v>1</v>
      </c>
      <c r="G886" s="101">
        <f>Masters!I890</f>
        <v>2</v>
      </c>
      <c r="H886" s="101">
        <f>Masters!J890</f>
        <v>3</v>
      </c>
      <c r="I886" s="101">
        <f>Masters!K890</f>
        <v>1</v>
      </c>
      <c r="J886" s="101">
        <f>Masters!L890</f>
        <v>4</v>
      </c>
      <c r="K886" s="101">
        <f>Masters!M890</f>
        <v>4</v>
      </c>
      <c r="L886" s="101">
        <f>Masters!N890</f>
        <v>4</v>
      </c>
    </row>
    <row r="887">
      <c r="A887" s="101">
        <f>Masters!C891</f>
        <v>4112</v>
      </c>
      <c r="B887" s="102" t="str">
        <f>Masters!D891</f>
        <v>Lawyers and Quebec Notaries</v>
      </c>
      <c r="C887" s="102" t="str">
        <f>Masters!E891</f>
        <v>Lawyers and Quebec notaries</v>
      </c>
      <c r="D887" s="101">
        <f>Masters!F891</f>
        <v>1</v>
      </c>
      <c r="E887" s="101">
        <f>Masters!G891</f>
        <v>1</v>
      </c>
      <c r="F887" s="101">
        <f>Masters!H891</f>
        <v>3</v>
      </c>
      <c r="G887" s="101">
        <f>Masters!I891</f>
        <v>4</v>
      </c>
      <c r="H887" s="101">
        <f>Masters!J891</f>
        <v>4</v>
      </c>
      <c r="I887" s="101">
        <f>Masters!K891</f>
        <v>3</v>
      </c>
      <c r="J887" s="101">
        <f>Masters!L891</f>
        <v>4</v>
      </c>
      <c r="K887" s="101">
        <f>Masters!M891</f>
        <v>4</v>
      </c>
      <c r="L887" s="101">
        <f>Masters!N891</f>
        <v>4</v>
      </c>
    </row>
    <row r="888">
      <c r="A888" s="101">
        <f>Masters!C892</f>
        <v>511</v>
      </c>
      <c r="B888" s="102" t="str">
        <f>Masters!D892</f>
        <v>Library, Archive, Museum and Art Gallery Managers</v>
      </c>
      <c r="C888" s="102" t="str">
        <f>Masters!E892</f>
        <v>Library, archive, museum and art gallery managers</v>
      </c>
      <c r="D888" s="101">
        <f>Masters!F892</f>
        <v>2</v>
      </c>
      <c r="E888" s="101">
        <f>Masters!G892</f>
        <v>1</v>
      </c>
      <c r="F888" s="101">
        <f>Masters!H892</f>
        <v>2</v>
      </c>
      <c r="G888" s="101">
        <f>Masters!I892</f>
        <v>4</v>
      </c>
      <c r="H888" s="101">
        <f>Masters!J892</f>
        <v>4</v>
      </c>
      <c r="I888" s="101">
        <f>Masters!K892</f>
        <v>3</v>
      </c>
      <c r="J888" s="101">
        <f>Masters!L892</f>
        <v>4</v>
      </c>
      <c r="K888" s="101">
        <f>Masters!M892</f>
        <v>4</v>
      </c>
      <c r="L888" s="101">
        <f>Masters!N892</f>
        <v>4</v>
      </c>
    </row>
    <row r="889">
      <c r="A889" s="101">
        <f>Masters!C893</f>
        <v>423</v>
      </c>
      <c r="B889" s="102" t="str">
        <f>Masters!D893</f>
        <v>Managers in Social, Community and Correctional Services</v>
      </c>
      <c r="C889" s="102" t="str">
        <f>Masters!E893</f>
        <v>Managers in social, community and correctional services</v>
      </c>
      <c r="D889" s="101">
        <f>Masters!F893</f>
        <v>2</v>
      </c>
      <c r="E889" s="101">
        <f>Masters!G893</f>
        <v>1</v>
      </c>
      <c r="F889" s="101">
        <f>Masters!H893</f>
        <v>2</v>
      </c>
      <c r="G889" s="101">
        <f>Masters!I893</f>
        <v>4</v>
      </c>
      <c r="H889" s="101">
        <f>Masters!J893</f>
        <v>4</v>
      </c>
      <c r="I889" s="101">
        <f>Masters!K893</f>
        <v>3</v>
      </c>
      <c r="J889" s="101">
        <f>Masters!L893</f>
        <v>4</v>
      </c>
      <c r="K889" s="101">
        <f>Masters!M893</f>
        <v>4</v>
      </c>
      <c r="L889" s="101">
        <f>Masters!N893</f>
        <v>4</v>
      </c>
    </row>
    <row r="890">
      <c r="A890" s="101">
        <f>Masters!C894</f>
        <v>2161</v>
      </c>
      <c r="B890" s="102" t="str">
        <f>Masters!D894</f>
        <v>Mathematicians</v>
      </c>
      <c r="C890" s="102" t="str">
        <f>Masters!E894</f>
        <v>Mathematicians, statisticians and actuaries</v>
      </c>
      <c r="D890" s="101">
        <f>Masters!F894</f>
        <v>1</v>
      </c>
      <c r="E890" s="101">
        <f>Masters!G894</f>
        <v>2</v>
      </c>
      <c r="F890" s="101">
        <f>Masters!H894</f>
        <v>1</v>
      </c>
      <c r="G890" s="101">
        <f>Masters!I894</f>
        <v>2</v>
      </c>
      <c r="H890" s="101">
        <f>Masters!J894</f>
        <v>3</v>
      </c>
      <c r="I890" s="101">
        <f>Masters!K894</f>
        <v>1</v>
      </c>
      <c r="J890" s="101">
        <f>Masters!L894</f>
        <v>4</v>
      </c>
      <c r="K890" s="101">
        <f>Masters!M894</f>
        <v>4</v>
      </c>
      <c r="L890" s="101">
        <f>Masters!N894</f>
        <v>4</v>
      </c>
    </row>
    <row r="891">
      <c r="A891" s="101">
        <f>Masters!C895</f>
        <v>7622</v>
      </c>
      <c r="B891" s="102" t="str">
        <f>Masters!D895</f>
        <v>Motor Transport Labourers</v>
      </c>
      <c r="C891" s="102" t="str">
        <f>Masters!E895</f>
        <v>Railway and motor transport labourers</v>
      </c>
      <c r="D891" s="101">
        <f>Masters!F895</f>
        <v>4</v>
      </c>
      <c r="E891" s="101">
        <f>Masters!G895</f>
        <v>4</v>
      </c>
      <c r="F891" s="101">
        <f>Masters!H895</f>
        <v>5</v>
      </c>
      <c r="G891" s="101">
        <f>Masters!I895</f>
        <v>4</v>
      </c>
      <c r="H891" s="101">
        <f>Masters!J895</f>
        <v>4</v>
      </c>
      <c r="I891" s="101">
        <f>Masters!K895</f>
        <v>5</v>
      </c>
      <c r="J891" s="101">
        <f>Masters!L895</f>
        <v>4</v>
      </c>
      <c r="K891" s="101">
        <f>Masters!M895</f>
        <v>4</v>
      </c>
      <c r="L891" s="101">
        <f>Masters!N895</f>
        <v>4</v>
      </c>
    </row>
    <row r="892">
      <c r="A892" s="101">
        <f>Masters!C896</f>
        <v>6742</v>
      </c>
      <c r="B892" s="102" t="str">
        <f>Masters!D896</f>
        <v>Other Elemental Service Workers</v>
      </c>
      <c r="C892" s="102" t="str">
        <f>Masters!E896</f>
        <v>Other service support occupations, n.e.c.</v>
      </c>
      <c r="D892" s="101">
        <f>Masters!F896</f>
        <v>4</v>
      </c>
      <c r="E892" s="101">
        <f>Masters!G896</f>
        <v>4</v>
      </c>
      <c r="F892" s="101">
        <f>Masters!H896</f>
        <v>5</v>
      </c>
      <c r="G892" s="101">
        <f>Masters!I896</f>
        <v>4</v>
      </c>
      <c r="H892" s="101">
        <f>Masters!J896</f>
        <v>4</v>
      </c>
      <c r="I892" s="101">
        <f>Masters!K896</f>
        <v>5</v>
      </c>
      <c r="J892" s="101">
        <f>Masters!L896</f>
        <v>4</v>
      </c>
      <c r="K892" s="101">
        <f>Masters!M896</f>
        <v>4</v>
      </c>
      <c r="L892" s="101">
        <f>Masters!N896</f>
        <v>4</v>
      </c>
    </row>
    <row r="893">
      <c r="A893" s="101">
        <f>Masters!C897</f>
        <v>4169</v>
      </c>
      <c r="B893" s="102" t="str">
        <f>Masters!D897</f>
        <v>Other Social Science Professionals</v>
      </c>
      <c r="C893" s="102" t="str">
        <f>Masters!E897</f>
        <v>Other professional occupations in social science, n.e.c.</v>
      </c>
      <c r="D893" s="101">
        <f>Masters!F897</f>
        <v>1</v>
      </c>
      <c r="E893" s="101">
        <f>Masters!G897</f>
        <v>2</v>
      </c>
      <c r="F893" s="101">
        <f>Masters!H897</f>
        <v>3</v>
      </c>
      <c r="G893" s="101">
        <f>Masters!I897</f>
        <v>4</v>
      </c>
      <c r="H893" s="101">
        <f>Masters!J897</f>
        <v>4</v>
      </c>
      <c r="I893" s="101">
        <f>Masters!K897</f>
        <v>4</v>
      </c>
      <c r="J893" s="101">
        <f>Masters!L897</f>
        <v>4</v>
      </c>
      <c r="K893" s="101">
        <f>Masters!M897</f>
        <v>4</v>
      </c>
      <c r="L893" s="101">
        <f>Masters!N897</f>
        <v>4</v>
      </c>
    </row>
    <row r="894">
      <c r="A894" s="101">
        <f>Masters!C898</f>
        <v>4151</v>
      </c>
      <c r="B894" s="102" t="str">
        <f>Masters!D898</f>
        <v>Psychologists</v>
      </c>
      <c r="C894" s="102" t="str">
        <f>Masters!E898</f>
        <v>Psychologists</v>
      </c>
      <c r="D894" s="101">
        <f>Masters!F898</f>
        <v>1</v>
      </c>
      <c r="E894" s="101">
        <f>Masters!G898</f>
        <v>1</v>
      </c>
      <c r="F894" s="101">
        <f>Masters!H898</f>
        <v>2</v>
      </c>
      <c r="G894" s="101">
        <f>Masters!I898</f>
        <v>3</v>
      </c>
      <c r="H894" s="101">
        <f>Masters!J898</f>
        <v>4</v>
      </c>
      <c r="I894" s="101">
        <f>Masters!K898</f>
        <v>3</v>
      </c>
      <c r="J894" s="101">
        <f>Masters!L898</f>
        <v>4</v>
      </c>
      <c r="K894" s="101">
        <f>Masters!M898</f>
        <v>4</v>
      </c>
      <c r="L894" s="101">
        <f>Masters!N898</f>
        <v>4</v>
      </c>
    </row>
    <row r="895">
      <c r="A895" s="101">
        <f>Masters!C899</f>
        <v>4169</v>
      </c>
      <c r="B895" s="102" t="str">
        <f>Masters!D899</f>
        <v>Psychometricians and Psychometrists</v>
      </c>
      <c r="C895" s="102" t="str">
        <f>Masters!E899</f>
        <v>Other professional occupations in social science, n.e.c.</v>
      </c>
      <c r="D895" s="101">
        <f>Masters!F899</f>
        <v>1</v>
      </c>
      <c r="E895" s="101">
        <f>Masters!G899</f>
        <v>2</v>
      </c>
      <c r="F895" s="101">
        <f>Masters!H899</f>
        <v>3</v>
      </c>
      <c r="G895" s="101">
        <f>Masters!I899</f>
        <v>4</v>
      </c>
      <c r="H895" s="101">
        <f>Masters!J899</f>
        <v>4</v>
      </c>
      <c r="I895" s="101">
        <f>Masters!K899</f>
        <v>4</v>
      </c>
      <c r="J895" s="101">
        <f>Masters!L899</f>
        <v>4</v>
      </c>
      <c r="K895" s="101">
        <f>Masters!M899</f>
        <v>4</v>
      </c>
      <c r="L895" s="101">
        <f>Masters!N899</f>
        <v>4</v>
      </c>
    </row>
    <row r="896">
      <c r="A896" s="101">
        <f>Masters!C900</f>
        <v>7621</v>
      </c>
      <c r="B896" s="102" t="str">
        <f>Masters!D900</f>
        <v>Public Works and Maintenance Labourers</v>
      </c>
      <c r="C896" s="102" t="str">
        <f>Masters!E900</f>
        <v>Public works and maintenance labourers</v>
      </c>
      <c r="D896" s="101">
        <f>Masters!F900</f>
        <v>4</v>
      </c>
      <c r="E896" s="101">
        <f>Masters!G900</f>
        <v>4</v>
      </c>
      <c r="F896" s="101">
        <f>Masters!H900</f>
        <v>5</v>
      </c>
      <c r="G896" s="101">
        <f>Masters!I900</f>
        <v>4</v>
      </c>
      <c r="H896" s="101">
        <f>Masters!J900</f>
        <v>4</v>
      </c>
      <c r="I896" s="101">
        <f>Masters!K900</f>
        <v>5</v>
      </c>
      <c r="J896" s="101">
        <f>Masters!L900</f>
        <v>4</v>
      </c>
      <c r="K896" s="101">
        <f>Masters!M900</f>
        <v>4</v>
      </c>
      <c r="L896" s="101">
        <f>Masters!N900</f>
        <v>4</v>
      </c>
    </row>
    <row r="897">
      <c r="A897" s="101">
        <f>Masters!C901</f>
        <v>7622</v>
      </c>
      <c r="B897" s="102" t="str">
        <f>Masters!D901</f>
        <v>Railway Labourers</v>
      </c>
      <c r="C897" s="102" t="str">
        <f>Masters!E901</f>
        <v>Railway and motor transport labourers</v>
      </c>
      <c r="D897" s="101">
        <f>Masters!F901</f>
        <v>4</v>
      </c>
      <c r="E897" s="101">
        <f>Masters!G901</f>
        <v>4</v>
      </c>
      <c r="F897" s="101">
        <f>Masters!H901</f>
        <v>5</v>
      </c>
      <c r="G897" s="101">
        <f>Masters!I901</f>
        <v>4</v>
      </c>
      <c r="H897" s="101">
        <f>Masters!J901</f>
        <v>4</v>
      </c>
      <c r="I897" s="101">
        <f>Masters!K901</f>
        <v>5</v>
      </c>
      <c r="J897" s="101">
        <f>Masters!L901</f>
        <v>4</v>
      </c>
      <c r="K897" s="101">
        <f>Masters!M901</f>
        <v>4</v>
      </c>
      <c r="L897" s="101">
        <f>Masters!N901</f>
        <v>4</v>
      </c>
    </row>
    <row r="898">
      <c r="A898" s="101">
        <f>Masters!C902</f>
        <v>421</v>
      </c>
      <c r="B898" s="102" t="str">
        <f>Masters!D902</f>
        <v>Registrars</v>
      </c>
      <c r="C898" s="102" t="str">
        <f>Masters!E902</f>
        <v>Administrators - post-secondary education and vocational training</v>
      </c>
      <c r="D898" s="101">
        <f>Masters!F902</f>
        <v>1</v>
      </c>
      <c r="E898" s="101">
        <f>Masters!G902</f>
        <v>2</v>
      </c>
      <c r="F898" s="101">
        <f>Masters!H902</f>
        <v>2</v>
      </c>
      <c r="G898" s="101">
        <f>Masters!I902</f>
        <v>4</v>
      </c>
      <c r="H898" s="101">
        <f>Masters!J902</f>
        <v>4</v>
      </c>
      <c r="I898" s="101">
        <f>Masters!K902</f>
        <v>3</v>
      </c>
      <c r="J898" s="101">
        <f>Masters!L902</f>
        <v>4</v>
      </c>
      <c r="K898" s="101">
        <f>Masters!M902</f>
        <v>4</v>
      </c>
      <c r="L898" s="101">
        <f>Masters!N902</f>
        <v>4</v>
      </c>
    </row>
    <row r="899">
      <c r="A899" s="101">
        <f>Masters!C903</f>
        <v>422</v>
      </c>
      <c r="B899" s="102" t="str">
        <f>Masters!D903</f>
        <v>School Principals</v>
      </c>
      <c r="C899" s="102" t="str">
        <f>Masters!E903</f>
        <v>School principals and administrators of elementary and secondary education</v>
      </c>
      <c r="D899" s="101">
        <f>Masters!F903</f>
        <v>1</v>
      </c>
      <c r="E899" s="101">
        <f>Masters!G903</f>
        <v>2</v>
      </c>
      <c r="F899" s="101">
        <f>Masters!H903</f>
        <v>2</v>
      </c>
      <c r="G899" s="101">
        <f>Masters!I903</f>
        <v>4</v>
      </c>
      <c r="H899" s="101">
        <f>Masters!J903</f>
        <v>4</v>
      </c>
      <c r="I899" s="101">
        <f>Masters!K903</f>
        <v>3</v>
      </c>
      <c r="J899" s="101">
        <f>Masters!L903</f>
        <v>4</v>
      </c>
      <c r="K899" s="101">
        <f>Masters!M903</f>
        <v>4</v>
      </c>
      <c r="L899" s="101">
        <f>Masters!N903</f>
        <v>4</v>
      </c>
    </row>
    <row r="900">
      <c r="A900" s="101">
        <f>Masters!C904</f>
        <v>912</v>
      </c>
      <c r="B900" s="102" t="str">
        <f>Masters!D904</f>
        <v>Senior Managers - Goods Production, Utilities,Transportation and Construction</v>
      </c>
      <c r="C900" s="102" t="str">
        <f>Masters!E904</f>
        <v>Utilities managers</v>
      </c>
      <c r="D900" s="101">
        <f>Masters!F904</f>
        <v>1</v>
      </c>
      <c r="E900" s="101">
        <f>Masters!G904</f>
        <v>2</v>
      </c>
      <c r="F900" s="101">
        <f>Masters!H904</f>
        <v>2</v>
      </c>
      <c r="G900" s="101">
        <f>Masters!I904</f>
        <v>4</v>
      </c>
      <c r="H900" s="101">
        <f>Masters!J904</f>
        <v>4</v>
      </c>
      <c r="I900" s="101">
        <f>Masters!K904</f>
        <v>3</v>
      </c>
      <c r="J900" s="101">
        <f>Masters!L904</f>
        <v>4</v>
      </c>
      <c r="K900" s="101">
        <f>Masters!M904</f>
        <v>4</v>
      </c>
      <c r="L900" s="101">
        <f>Masters!N904</f>
        <v>4</v>
      </c>
    </row>
    <row r="901">
      <c r="A901" s="101">
        <f>Masters!C905</f>
        <v>15</v>
      </c>
      <c r="B901" s="102" t="str">
        <f>Masters!D905</f>
        <v>Senior Managers - Trade, Broadcasting and Other Services, n.e.c.</v>
      </c>
      <c r="C901" s="102" t="str">
        <f>Masters!E905</f>
        <v>Senior managers - trade, broadcasting and other services, n.e.c.</v>
      </c>
      <c r="D901" s="101">
        <f>Masters!F905</f>
        <v>1</v>
      </c>
      <c r="E901" s="101">
        <f>Masters!G905</f>
        <v>2</v>
      </c>
      <c r="F901" s="101">
        <f>Masters!H905</f>
        <v>2</v>
      </c>
      <c r="G901" s="101">
        <f>Masters!I905</f>
        <v>4</v>
      </c>
      <c r="H901" s="101">
        <f>Masters!J905</f>
        <v>4</v>
      </c>
      <c r="I901" s="101">
        <f>Masters!K905</f>
        <v>3</v>
      </c>
      <c r="J901" s="101">
        <f>Masters!L905</f>
        <v>4</v>
      </c>
      <c r="K901" s="101">
        <f>Masters!M905</f>
        <v>4</v>
      </c>
      <c r="L901" s="101">
        <f>Masters!N905</f>
        <v>4</v>
      </c>
    </row>
    <row r="902">
      <c r="A902" s="101">
        <f>Masters!C906</f>
        <v>2161</v>
      </c>
      <c r="B902" s="102" t="str">
        <f>Masters!D906</f>
        <v>Statisticians</v>
      </c>
      <c r="C902" s="102" t="str">
        <f>Masters!E906</f>
        <v>Mathematicians, statisticians and actuaries</v>
      </c>
      <c r="D902" s="101">
        <f>Masters!F906</f>
        <v>1</v>
      </c>
      <c r="E902" s="101">
        <f>Masters!G906</f>
        <v>2</v>
      </c>
      <c r="F902" s="101">
        <f>Masters!H906</f>
        <v>1</v>
      </c>
      <c r="G902" s="101">
        <f>Masters!I906</f>
        <v>2</v>
      </c>
      <c r="H902" s="101">
        <f>Masters!J906</f>
        <v>3</v>
      </c>
      <c r="I902" s="101">
        <f>Masters!K906</f>
        <v>1</v>
      </c>
      <c r="J902" s="101">
        <f>Masters!L906</f>
        <v>4</v>
      </c>
      <c r="K902" s="101">
        <f>Masters!M906</f>
        <v>4</v>
      </c>
      <c r="L902" s="101">
        <f>Masters!N906</f>
        <v>4</v>
      </c>
    </row>
    <row r="903">
      <c r="A903" s="101">
        <f>Masters!C907</f>
        <v>1212</v>
      </c>
      <c r="B903" s="102" t="str">
        <f>Masters!D907</f>
        <v>Supervisors, Finance and Insurance Clerks</v>
      </c>
      <c r="C903" s="102" t="str">
        <f>Masters!E907</f>
        <v>Supervisors, finance and insurance office workers</v>
      </c>
      <c r="D903" s="101">
        <f>Masters!F907</f>
        <v>3</v>
      </c>
      <c r="E903" s="101">
        <f>Masters!G907</f>
        <v>3</v>
      </c>
      <c r="F903" s="101">
        <f>Masters!H907</f>
        <v>2</v>
      </c>
      <c r="G903" s="101">
        <f>Masters!I907</f>
        <v>4</v>
      </c>
      <c r="H903" s="101">
        <f>Masters!J907</f>
        <v>4</v>
      </c>
      <c r="I903" s="101">
        <f>Masters!K907</f>
        <v>2</v>
      </c>
      <c r="J903" s="101">
        <f>Masters!L907</f>
        <v>4</v>
      </c>
      <c r="K903" s="101">
        <f>Masters!M907</f>
        <v>4</v>
      </c>
      <c r="L903" s="101">
        <f>Masters!N907</f>
        <v>4</v>
      </c>
    </row>
    <row r="904">
      <c r="A904" s="101">
        <f>Masters!C908</f>
        <v>6623</v>
      </c>
      <c r="B904" s="102" t="str">
        <f>Masters!D908</f>
        <v>Telephone Solicitors and Telemarketers</v>
      </c>
      <c r="C904" s="102" t="str">
        <f>Masters!E908</f>
        <v>Other sales related occupations</v>
      </c>
      <c r="D904" s="101">
        <f>Masters!F908</f>
        <v>4</v>
      </c>
      <c r="E904" s="101">
        <f>Masters!G908</f>
        <v>3</v>
      </c>
      <c r="F904" s="101">
        <f>Masters!H908</f>
        <v>4</v>
      </c>
      <c r="G904" s="101">
        <f>Masters!I908</f>
        <v>5</v>
      </c>
      <c r="H904" s="101">
        <f>Masters!J908</f>
        <v>4</v>
      </c>
      <c r="I904" s="101">
        <f>Masters!K908</f>
        <v>4</v>
      </c>
      <c r="J904" s="101">
        <f>Masters!L908</f>
        <v>4</v>
      </c>
      <c r="K904" s="101">
        <f>Masters!M908</f>
        <v>4</v>
      </c>
      <c r="L904" s="101">
        <f>Masters!N908</f>
        <v>4</v>
      </c>
    </row>
    <row r="905">
      <c r="A905" s="101">
        <f>Masters!C909</f>
        <v>1111</v>
      </c>
      <c r="B905" s="102" t="str">
        <f>Masters!D909</f>
        <v>Accountants</v>
      </c>
      <c r="C905" s="102" t="str">
        <f>Masters!E909</f>
        <v>Financial auditors and accountants</v>
      </c>
      <c r="D905" s="101">
        <f>Masters!F909</f>
        <v>2</v>
      </c>
      <c r="E905" s="101">
        <f>Masters!G909</f>
        <v>2</v>
      </c>
      <c r="F905" s="101">
        <f>Masters!H909</f>
        <v>1</v>
      </c>
      <c r="G905" s="101">
        <f>Masters!I909</f>
        <v>4</v>
      </c>
      <c r="H905" s="101">
        <f>Masters!J909</f>
        <v>4</v>
      </c>
      <c r="I905" s="101">
        <f>Masters!K909</f>
        <v>2</v>
      </c>
      <c r="J905" s="101">
        <f>Masters!L909</f>
        <v>4</v>
      </c>
      <c r="K905" s="101">
        <f>Masters!M909</f>
        <v>4</v>
      </c>
      <c r="L905" s="101">
        <f>Masters!N909</f>
        <v>4</v>
      </c>
    </row>
    <row r="906">
      <c r="A906" s="101">
        <f>Masters!C910</f>
        <v>2146</v>
      </c>
      <c r="B906" s="102" t="str">
        <f>Masters!D910</f>
        <v>Aerospace Engineers</v>
      </c>
      <c r="C906" s="102" t="str">
        <f>Masters!E910</f>
        <v>Aerospace engineers</v>
      </c>
      <c r="D906" s="101">
        <f>Masters!F910</f>
        <v>1</v>
      </c>
      <c r="E906" s="101">
        <f>Masters!G910</f>
        <v>1</v>
      </c>
      <c r="F906" s="101">
        <f>Masters!H910</f>
        <v>1</v>
      </c>
      <c r="G906" s="101">
        <f>Masters!I910</f>
        <v>2</v>
      </c>
      <c r="H906" s="101">
        <f>Masters!J910</f>
        <v>2</v>
      </c>
      <c r="I906" s="101">
        <f>Masters!K910</f>
        <v>4</v>
      </c>
      <c r="J906" s="101">
        <f>Masters!L910</f>
        <v>4</v>
      </c>
      <c r="K906" s="101">
        <f>Masters!M910</f>
        <v>4</v>
      </c>
      <c r="L906" s="101">
        <f>Masters!N910</f>
        <v>4</v>
      </c>
    </row>
    <row r="907">
      <c r="A907" s="101">
        <f>Masters!C911</f>
        <v>122</v>
      </c>
      <c r="B907" s="102" t="str">
        <f>Masters!D911</f>
        <v>Banking and Other Investment Managers</v>
      </c>
      <c r="C907" s="102" t="str">
        <f>Masters!E911</f>
        <v>Banking, credit and other investment managers</v>
      </c>
      <c r="D907" s="101">
        <f>Masters!F911</f>
        <v>1</v>
      </c>
      <c r="E907" s="101">
        <f>Masters!G911</f>
        <v>2</v>
      </c>
      <c r="F907" s="101">
        <f>Masters!H911</f>
        <v>1</v>
      </c>
      <c r="G907" s="101">
        <f>Masters!I911</f>
        <v>4</v>
      </c>
      <c r="H907" s="101">
        <f>Masters!J911</f>
        <v>4</v>
      </c>
      <c r="I907" s="101">
        <f>Masters!K911</f>
        <v>3</v>
      </c>
      <c r="J907" s="101">
        <f>Masters!L911</f>
        <v>4</v>
      </c>
      <c r="K907" s="101">
        <f>Masters!M911</f>
        <v>4</v>
      </c>
      <c r="L907" s="101">
        <f>Masters!N911</f>
        <v>4</v>
      </c>
    </row>
    <row r="908">
      <c r="A908" s="101">
        <f>Masters!C912</f>
        <v>1114</v>
      </c>
      <c r="B908" s="102" t="str">
        <f>Masters!D912</f>
        <v>Credit Managers</v>
      </c>
      <c r="C908" s="102" t="str">
        <f>Masters!E912</f>
        <v>Other financial officers</v>
      </c>
      <c r="D908" s="101">
        <f>Masters!F912</f>
        <v>1</v>
      </c>
      <c r="E908" s="101">
        <f>Masters!G912</f>
        <v>2</v>
      </c>
      <c r="F908" s="101">
        <f>Masters!H912</f>
        <v>1</v>
      </c>
      <c r="G908" s="101">
        <f>Masters!I912</f>
        <v>4</v>
      </c>
      <c r="H908" s="101">
        <f>Masters!J912</f>
        <v>4</v>
      </c>
      <c r="I908" s="101">
        <f>Masters!K912</f>
        <v>3</v>
      </c>
      <c r="J908" s="101">
        <f>Masters!L912</f>
        <v>4</v>
      </c>
      <c r="K908" s="101">
        <f>Masters!M912</f>
        <v>4</v>
      </c>
      <c r="L908" s="101">
        <f>Masters!N912</f>
        <v>4</v>
      </c>
    </row>
    <row r="909">
      <c r="A909" s="101">
        <f>Masters!C913</f>
        <v>4162</v>
      </c>
      <c r="B909" s="102" t="str">
        <f>Masters!D913</f>
        <v>Economists and Economic Policy Researchers and Analysts</v>
      </c>
      <c r="C909" s="102" t="str">
        <f>Masters!E913</f>
        <v>Economists and economic policy researchers and analysts</v>
      </c>
      <c r="D909" s="101">
        <f>Masters!F913</f>
        <v>1</v>
      </c>
      <c r="E909" s="101">
        <f>Masters!G913</f>
        <v>2</v>
      </c>
      <c r="F909" s="101">
        <f>Masters!H913</f>
        <v>1</v>
      </c>
      <c r="G909" s="101">
        <f>Masters!I913</f>
        <v>4</v>
      </c>
      <c r="H909" s="101">
        <f>Masters!J913</f>
        <v>4</v>
      </c>
      <c r="I909" s="101">
        <f>Masters!K913</f>
        <v>3</v>
      </c>
      <c r="J909" s="101">
        <f>Masters!L913</f>
        <v>4</v>
      </c>
      <c r="K909" s="101">
        <f>Masters!M913</f>
        <v>4</v>
      </c>
      <c r="L909" s="101">
        <f>Masters!N913</f>
        <v>4</v>
      </c>
    </row>
    <row r="910">
      <c r="A910" s="101">
        <f>Masters!C914</f>
        <v>421</v>
      </c>
      <c r="B910" s="102" t="str">
        <f>Masters!D914</f>
        <v>Faculty Administrators</v>
      </c>
      <c r="C910" s="102" t="str">
        <f>Masters!E914</f>
        <v>Administrators - post-secondary education and vocational training</v>
      </c>
      <c r="D910" s="101">
        <f>Masters!F914</f>
        <v>1</v>
      </c>
      <c r="E910" s="101">
        <f>Masters!G914</f>
        <v>1</v>
      </c>
      <c r="F910" s="101">
        <f>Masters!H914</f>
        <v>2</v>
      </c>
      <c r="G910" s="101">
        <f>Masters!I914</f>
        <v>4</v>
      </c>
      <c r="H910" s="101">
        <f>Masters!J914</f>
        <v>4</v>
      </c>
      <c r="I910" s="101">
        <f>Masters!K914</f>
        <v>3</v>
      </c>
      <c r="J910" s="101">
        <f>Masters!L914</f>
        <v>4</v>
      </c>
      <c r="K910" s="101">
        <f>Masters!M914</f>
        <v>4</v>
      </c>
      <c r="L910" s="101">
        <f>Masters!N914</f>
        <v>4</v>
      </c>
    </row>
    <row r="911">
      <c r="A911" s="101">
        <f>Masters!C915</f>
        <v>1254</v>
      </c>
      <c r="B911" s="102" t="str">
        <f>Masters!D915</f>
        <v>Financial Analysts</v>
      </c>
      <c r="C911" s="102" t="str">
        <f>Masters!E915</f>
        <v>Statistical officers and related research support occupations</v>
      </c>
      <c r="D911" s="101">
        <f>Masters!F915</f>
        <v>2</v>
      </c>
      <c r="E911" s="101">
        <f>Masters!G915</f>
        <v>2</v>
      </c>
      <c r="F911" s="101">
        <f>Masters!H915</f>
        <v>1</v>
      </c>
      <c r="G911" s="101">
        <f>Masters!I915</f>
        <v>4</v>
      </c>
      <c r="H911" s="101">
        <f>Masters!J915</f>
        <v>4</v>
      </c>
      <c r="I911" s="101">
        <f>Masters!K915</f>
        <v>2</v>
      </c>
      <c r="J911" s="101">
        <f>Masters!L915</f>
        <v>4</v>
      </c>
      <c r="K911" s="101">
        <f>Masters!M915</f>
        <v>4</v>
      </c>
      <c r="L911" s="101">
        <f>Masters!N915</f>
        <v>4</v>
      </c>
    </row>
    <row r="912">
      <c r="A912" s="101">
        <f>Masters!C916</f>
        <v>111</v>
      </c>
      <c r="B912" s="102" t="str">
        <f>Masters!D916</f>
        <v>Financial Managers</v>
      </c>
      <c r="C912" s="102" t="str">
        <f>Masters!E916</f>
        <v>Financial managers</v>
      </c>
      <c r="D912" s="101">
        <f>Masters!F916</f>
        <v>1</v>
      </c>
      <c r="E912" s="101">
        <f>Masters!G916</f>
        <v>2</v>
      </c>
      <c r="F912" s="101">
        <f>Masters!H916</f>
        <v>1</v>
      </c>
      <c r="G912" s="101">
        <f>Masters!I916</f>
        <v>4</v>
      </c>
      <c r="H912" s="101">
        <f>Masters!J916</f>
        <v>4</v>
      </c>
      <c r="I912" s="101">
        <f>Masters!K916</f>
        <v>3</v>
      </c>
      <c r="J912" s="101">
        <f>Masters!L916</f>
        <v>4</v>
      </c>
      <c r="K912" s="101">
        <f>Masters!M916</f>
        <v>4</v>
      </c>
      <c r="L912" s="101">
        <f>Masters!N916</f>
        <v>4</v>
      </c>
    </row>
    <row r="913">
      <c r="A913" s="101">
        <f>Masters!C917</f>
        <v>4169</v>
      </c>
      <c r="B913" s="102" t="str">
        <f>Masters!D917</f>
        <v>Geographers</v>
      </c>
      <c r="C913" s="102" t="str">
        <f>Masters!E917</f>
        <v>Other professional occupations in social science, n.e.c.</v>
      </c>
      <c r="D913" s="101">
        <f>Masters!F917</f>
        <v>1</v>
      </c>
      <c r="E913" s="101">
        <f>Masters!G917</f>
        <v>2</v>
      </c>
      <c r="F913" s="101">
        <f>Masters!H917</f>
        <v>2</v>
      </c>
      <c r="G913" s="101">
        <f>Masters!I917</f>
        <v>4</v>
      </c>
      <c r="H913" s="101">
        <f>Masters!J917</f>
        <v>4</v>
      </c>
      <c r="I913" s="101">
        <f>Masters!K917</f>
        <v>4</v>
      </c>
      <c r="J913" s="101">
        <f>Masters!L917</f>
        <v>4</v>
      </c>
      <c r="K913" s="101">
        <f>Masters!M917</f>
        <v>4</v>
      </c>
      <c r="L913" s="101">
        <f>Masters!N917</f>
        <v>4</v>
      </c>
    </row>
    <row r="914">
      <c r="A914" s="101">
        <f>Masters!C918</f>
        <v>112</v>
      </c>
      <c r="B914" s="102" t="str">
        <f>Masters!D918</f>
        <v>Human Resources Managers</v>
      </c>
      <c r="C914" s="102" t="str">
        <f>Masters!E918</f>
        <v>Human resources managers</v>
      </c>
      <c r="D914" s="101">
        <f>Masters!F918</f>
        <v>1</v>
      </c>
      <c r="E914" s="101">
        <f>Masters!G918</f>
        <v>1</v>
      </c>
      <c r="F914" s="101">
        <f>Masters!H918</f>
        <v>2</v>
      </c>
      <c r="G914" s="101">
        <f>Masters!I918</f>
        <v>4</v>
      </c>
      <c r="H914" s="101">
        <f>Masters!J918</f>
        <v>4</v>
      </c>
      <c r="I914" s="101">
        <f>Masters!K918</f>
        <v>3</v>
      </c>
      <c r="J914" s="101">
        <f>Masters!L918</f>
        <v>4</v>
      </c>
      <c r="K914" s="101">
        <f>Masters!M918</f>
        <v>4</v>
      </c>
      <c r="L914" s="101">
        <f>Masters!N918</f>
        <v>4</v>
      </c>
    </row>
    <row r="915">
      <c r="A915" s="101">
        <f>Masters!C919</f>
        <v>1112</v>
      </c>
      <c r="B915" s="102" t="str">
        <f>Masters!D919</f>
        <v>Investment Analysts</v>
      </c>
      <c r="C915" s="102" t="str">
        <f>Masters!E919</f>
        <v>Financial and investment analysts</v>
      </c>
      <c r="D915" s="101">
        <f>Masters!F919</f>
        <v>2</v>
      </c>
      <c r="E915" s="101">
        <f>Masters!G919</f>
        <v>2</v>
      </c>
      <c r="F915" s="101">
        <f>Masters!H919</f>
        <v>1</v>
      </c>
      <c r="G915" s="101">
        <f>Masters!I919</f>
        <v>4</v>
      </c>
      <c r="H915" s="101">
        <f>Masters!J919</f>
        <v>4</v>
      </c>
      <c r="I915" s="101">
        <f>Masters!K919</f>
        <v>2</v>
      </c>
      <c r="J915" s="101">
        <f>Masters!L919</f>
        <v>4</v>
      </c>
      <c r="K915" s="101">
        <f>Masters!M919</f>
        <v>4</v>
      </c>
      <c r="L915" s="101">
        <f>Masters!N919</f>
        <v>4</v>
      </c>
    </row>
    <row r="916">
      <c r="A916" s="101">
        <f>Masters!C920</f>
        <v>4111</v>
      </c>
      <c r="B916" s="102" t="str">
        <f>Masters!D920</f>
        <v>Judges</v>
      </c>
      <c r="C916" s="102" t="str">
        <f>Masters!E920</f>
        <v>Judges</v>
      </c>
      <c r="D916" s="101">
        <f>Masters!F920</f>
        <v>1</v>
      </c>
      <c r="E916" s="101">
        <f>Masters!G920</f>
        <v>1</v>
      </c>
      <c r="F916" s="101">
        <f>Masters!H920</f>
        <v>3</v>
      </c>
      <c r="G916" s="101">
        <f>Masters!I920</f>
        <v>4</v>
      </c>
      <c r="H916" s="101">
        <f>Masters!J920</f>
        <v>4</v>
      </c>
      <c r="I916" s="101">
        <f>Masters!K920</f>
        <v>4</v>
      </c>
      <c r="J916" s="101">
        <f>Masters!L920</f>
        <v>4</v>
      </c>
      <c r="K916" s="101">
        <f>Masters!M920</f>
        <v>4</v>
      </c>
      <c r="L916" s="101">
        <f>Masters!N920</f>
        <v>4</v>
      </c>
    </row>
    <row r="917">
      <c r="A917" s="101">
        <f>Masters!C921</f>
        <v>4169</v>
      </c>
      <c r="B917" s="102" t="str">
        <f>Masters!D921</f>
        <v>Linguists</v>
      </c>
      <c r="C917" s="102" t="str">
        <f>Masters!E921</f>
        <v>Other professional occupations in social science, n.e.c.</v>
      </c>
      <c r="D917" s="101">
        <f>Masters!F921</f>
        <v>1</v>
      </c>
      <c r="E917" s="101">
        <f>Masters!G921</f>
        <v>1</v>
      </c>
      <c r="F917" s="101">
        <f>Masters!H921</f>
        <v>3</v>
      </c>
      <c r="G917" s="101">
        <f>Masters!I921</f>
        <v>4</v>
      </c>
      <c r="H917" s="101">
        <f>Masters!J921</f>
        <v>4</v>
      </c>
      <c r="I917" s="101">
        <f>Masters!K921</f>
        <v>4</v>
      </c>
      <c r="J917" s="101">
        <f>Masters!L921</f>
        <v>4</v>
      </c>
      <c r="K917" s="101">
        <f>Masters!M921</f>
        <v>4</v>
      </c>
      <c r="L917" s="101">
        <f>Masters!N921</f>
        <v>4</v>
      </c>
    </row>
    <row r="918">
      <c r="A918" s="101">
        <f>Masters!C922</f>
        <v>311</v>
      </c>
      <c r="B918" s="102" t="str">
        <f>Masters!D922</f>
        <v>Managers in Health Care</v>
      </c>
      <c r="C918" s="102" t="str">
        <f>Masters!E922</f>
        <v>Managers in health care</v>
      </c>
      <c r="D918" s="101">
        <f>Masters!F922</f>
        <v>1</v>
      </c>
      <c r="E918" s="101">
        <f>Masters!G922</f>
        <v>1</v>
      </c>
      <c r="F918" s="101">
        <f>Masters!H922</f>
        <v>2</v>
      </c>
      <c r="G918" s="101">
        <f>Masters!I922</f>
        <v>4</v>
      </c>
      <c r="H918" s="101">
        <f>Masters!J922</f>
        <v>4</v>
      </c>
      <c r="I918" s="101">
        <f>Masters!K922</f>
        <v>3</v>
      </c>
      <c r="J918" s="101">
        <f>Masters!L922</f>
        <v>4</v>
      </c>
      <c r="K918" s="101">
        <f>Masters!M922</f>
        <v>4</v>
      </c>
      <c r="L918" s="101">
        <f>Masters!N922</f>
        <v>4</v>
      </c>
    </row>
    <row r="919">
      <c r="A919" s="101">
        <f>Masters!C923</f>
        <v>4169</v>
      </c>
      <c r="B919" s="102" t="str">
        <f>Masters!D923</f>
        <v>Political Scientists</v>
      </c>
      <c r="C919" s="102" t="str">
        <f>Masters!E923</f>
        <v>Other professional occupations in social science, n.e.c.</v>
      </c>
      <c r="D919" s="101">
        <f>Masters!F923</f>
        <v>1</v>
      </c>
      <c r="E919" s="101">
        <f>Masters!G923</f>
        <v>1</v>
      </c>
      <c r="F919" s="101">
        <f>Masters!H923</f>
        <v>3</v>
      </c>
      <c r="G919" s="101">
        <f>Masters!I923</f>
        <v>4</v>
      </c>
      <c r="H919" s="101">
        <f>Masters!J923</f>
        <v>4</v>
      </c>
      <c r="I919" s="101">
        <f>Masters!K923</f>
        <v>4</v>
      </c>
      <c r="J919" s="101">
        <f>Masters!L923</f>
        <v>4</v>
      </c>
      <c r="K919" s="101">
        <f>Masters!M923</f>
        <v>4</v>
      </c>
      <c r="L919" s="101">
        <f>Masters!N923</f>
        <v>4</v>
      </c>
    </row>
    <row r="920">
      <c r="A920" s="101">
        <f>Masters!C924</f>
        <v>12</v>
      </c>
      <c r="B920" s="102" t="str">
        <f>Masters!D924</f>
        <v>Senior Government Managers and Officials</v>
      </c>
      <c r="C920" s="102" t="str">
        <f>Masters!E924</f>
        <v>Senior government managers and officials</v>
      </c>
      <c r="D920" s="101">
        <f>Masters!F924</f>
        <v>1</v>
      </c>
      <c r="E920" s="101">
        <f>Masters!G924</f>
        <v>1</v>
      </c>
      <c r="F920" s="101">
        <f>Masters!H924</f>
        <v>2</v>
      </c>
      <c r="G920" s="101">
        <f>Masters!I924</f>
        <v>4</v>
      </c>
      <c r="H920" s="101">
        <f>Masters!J924</f>
        <v>4</v>
      </c>
      <c r="I920" s="101">
        <f>Masters!K924</f>
        <v>3</v>
      </c>
      <c r="J920" s="101">
        <f>Masters!L924</f>
        <v>4</v>
      </c>
      <c r="K920" s="101">
        <f>Masters!M924</f>
        <v>4</v>
      </c>
      <c r="L920" s="101">
        <f>Masters!N924</f>
        <v>4</v>
      </c>
    </row>
    <row r="921">
      <c r="A921" s="101">
        <f>Masters!C925</f>
        <v>13</v>
      </c>
      <c r="B921" s="102" t="str">
        <f>Masters!D925</f>
        <v>Senior Managers - Financial, Communications and Other Business Services</v>
      </c>
      <c r="C921" s="102" t="str">
        <f>Masters!E925</f>
        <v>Senior managers - financial, communications and other business services</v>
      </c>
      <c r="D921" s="101">
        <f>Masters!F925</f>
        <v>1</v>
      </c>
      <c r="E921" s="101">
        <f>Masters!G925</f>
        <v>2</v>
      </c>
      <c r="F921" s="101">
        <f>Masters!H925</f>
        <v>1</v>
      </c>
      <c r="G921" s="101">
        <f>Masters!I925</f>
        <v>4</v>
      </c>
      <c r="H921" s="101">
        <f>Masters!J925</f>
        <v>4</v>
      </c>
      <c r="I921" s="101">
        <f>Masters!K925</f>
        <v>3</v>
      </c>
      <c r="J921" s="101">
        <f>Masters!L925</f>
        <v>4</v>
      </c>
      <c r="K921" s="101">
        <f>Masters!M925</f>
        <v>4</v>
      </c>
      <c r="L921" s="101">
        <f>Masters!N925</f>
        <v>4</v>
      </c>
    </row>
    <row r="922">
      <c r="A922" s="101">
        <f>Masters!C926</f>
        <v>14</v>
      </c>
      <c r="B922" s="102" t="str">
        <f>Masters!D926</f>
        <v>Senior Managers - Health, Education, Social and Community Services and Membership Organizations</v>
      </c>
      <c r="C922" s="102" t="str">
        <f>Masters!E926</f>
        <v>Senior managers - health, education, social and community services and membership organizations</v>
      </c>
      <c r="D922" s="101">
        <f>Masters!F926</f>
        <v>1</v>
      </c>
      <c r="E922" s="101">
        <f>Masters!G926</f>
        <v>1</v>
      </c>
      <c r="F922" s="101">
        <f>Masters!H926</f>
        <v>2</v>
      </c>
      <c r="G922" s="101">
        <f>Masters!I926</f>
        <v>4</v>
      </c>
      <c r="H922" s="101">
        <f>Masters!J926</f>
        <v>4</v>
      </c>
      <c r="I922" s="101">
        <f>Masters!K926</f>
        <v>3</v>
      </c>
      <c r="J922" s="101">
        <f>Masters!L926</f>
        <v>4</v>
      </c>
      <c r="K922" s="101">
        <f>Masters!M926</f>
        <v>4</v>
      </c>
      <c r="L922" s="101">
        <f>Masters!N926</f>
        <v>4</v>
      </c>
    </row>
    <row r="923">
      <c r="A923" s="101">
        <f>Masters!C927</f>
        <v>4169</v>
      </c>
      <c r="B923" s="102" t="str">
        <f>Masters!D927</f>
        <v>Sociologists</v>
      </c>
      <c r="C923" s="102" t="str">
        <f>Masters!E927</f>
        <v>Other professional occupations in social science, n.e.c.</v>
      </c>
      <c r="D923" s="101">
        <f>Masters!F927</f>
        <v>1</v>
      </c>
      <c r="E923" s="101">
        <f>Masters!G927</f>
        <v>1</v>
      </c>
      <c r="F923" s="101">
        <f>Masters!H927</f>
        <v>3</v>
      </c>
      <c r="G923" s="101">
        <f>Masters!I927</f>
        <v>4</v>
      </c>
      <c r="H923" s="101">
        <f>Masters!J927</f>
        <v>4</v>
      </c>
      <c r="I923" s="101">
        <f>Masters!K927</f>
        <v>4</v>
      </c>
      <c r="J923" s="101">
        <f>Masters!L927</f>
        <v>4</v>
      </c>
      <c r="K923" s="101">
        <f>Masters!M927</f>
        <v>4</v>
      </c>
      <c r="L923" s="101">
        <f>Masters!N927</f>
        <v>4</v>
      </c>
    </row>
    <row r="924">
      <c r="A924" s="101">
        <f>Masters!C928</f>
        <v>1111</v>
      </c>
      <c r="B924" s="102" t="str">
        <f>Masters!D928</f>
        <v>Financial Auditors</v>
      </c>
      <c r="C924" s="102" t="str">
        <f>Masters!E928</f>
        <v>Financial auditors and accountants</v>
      </c>
      <c r="D924" s="101">
        <f>Masters!F928</f>
        <v>2</v>
      </c>
      <c r="E924" s="101">
        <f>Masters!G928</f>
        <v>2</v>
      </c>
      <c r="F924" s="101">
        <f>Masters!H928</f>
        <v>1</v>
      </c>
      <c r="G924" s="101">
        <f>Masters!I928</f>
        <v>4</v>
      </c>
      <c r="H924" s="101">
        <f>Masters!J928</f>
        <v>4</v>
      </c>
      <c r="I924" s="101">
        <f>Masters!K928</f>
        <v>1</v>
      </c>
      <c r="J924" s="101">
        <f>Masters!L928</f>
        <v>4</v>
      </c>
      <c r="K924" s="101">
        <f>Masters!M928</f>
        <v>4</v>
      </c>
      <c r="L924" s="101">
        <f>Masters!N928</f>
        <v>4</v>
      </c>
    </row>
    <row r="925">
      <c r="A925" s="65" t="str">
        <f>Masters!C929</f>
        <v/>
      </c>
      <c r="B925" s="103" t="str">
        <f>Masters!D929</f>
        <v/>
      </c>
      <c r="C925" s="103" t="str">
        <f>Masters!E929</f>
        <v/>
      </c>
      <c r="D925" s="65" t="str">
        <f>Masters!F929</f>
        <v/>
      </c>
      <c r="E925" s="65" t="str">
        <f>Masters!G929</f>
        <v/>
      </c>
      <c r="F925" s="65" t="str">
        <f>Masters!H929</f>
        <v/>
      </c>
      <c r="G925" s="65" t="str">
        <f>Masters!I929</f>
        <v/>
      </c>
      <c r="H925" s="65" t="str">
        <f>Masters!J929</f>
        <v/>
      </c>
      <c r="I925" s="65" t="str">
        <f>Masters!K929</f>
        <v/>
      </c>
      <c r="J925" s="65" t="str">
        <f>Masters!L929</f>
        <v/>
      </c>
      <c r="K925" s="65" t="str">
        <f>Masters!M929</f>
        <v/>
      </c>
      <c r="L925" s="65" t="str">
        <f>Masters!N929</f>
        <v/>
      </c>
    </row>
    <row r="926">
      <c r="A926" s="65" t="str">
        <f>Masters!C930</f>
        <v/>
      </c>
      <c r="B926" s="103" t="str">
        <f>Masters!D930</f>
        <v/>
      </c>
      <c r="C926" s="103" t="str">
        <f>Masters!E930</f>
        <v/>
      </c>
      <c r="D926" s="65" t="str">
        <f>Masters!F930</f>
        <v/>
      </c>
      <c r="E926" s="65" t="str">
        <f>Masters!G930</f>
        <v/>
      </c>
      <c r="F926" s="65" t="str">
        <f>Masters!H930</f>
        <v/>
      </c>
      <c r="G926" s="65" t="str">
        <f>Masters!I930</f>
        <v/>
      </c>
      <c r="H926" s="65" t="str">
        <f>Masters!J930</f>
        <v/>
      </c>
      <c r="I926" s="65" t="str">
        <f>Masters!K930</f>
        <v/>
      </c>
      <c r="J926" s="65" t="str">
        <f>Masters!L930</f>
        <v/>
      </c>
      <c r="K926" s="65" t="str">
        <f>Masters!M930</f>
        <v/>
      </c>
      <c r="L926" s="65" t="str">
        <f>Masters!N930</f>
        <v/>
      </c>
    </row>
    <row r="927">
      <c r="A927" s="65" t="str">
        <f>Masters!C931</f>
        <v/>
      </c>
      <c r="B927" s="103" t="str">
        <f>Masters!D931</f>
        <v/>
      </c>
      <c r="C927" s="103" t="str">
        <f>Masters!E931</f>
        <v/>
      </c>
      <c r="D927" s="65" t="str">
        <f>Masters!F931</f>
        <v/>
      </c>
      <c r="E927" s="65" t="str">
        <f>Masters!G931</f>
        <v/>
      </c>
      <c r="F927" s="65" t="str">
        <f>Masters!H931</f>
        <v/>
      </c>
      <c r="G927" s="65" t="str">
        <f>Masters!I931</f>
        <v/>
      </c>
      <c r="H927" s="65" t="str">
        <f>Masters!J931</f>
        <v/>
      </c>
      <c r="I927" s="65" t="str">
        <f>Masters!K931</f>
        <v/>
      </c>
      <c r="J927" s="65" t="str">
        <f>Masters!L931</f>
        <v/>
      </c>
      <c r="K927" s="65" t="str">
        <f>Masters!M931</f>
        <v/>
      </c>
      <c r="L927" s="65" t="str">
        <f>Masters!N931</f>
        <v/>
      </c>
    </row>
    <row r="928">
      <c r="A928" s="104"/>
      <c r="B928" s="105"/>
      <c r="C928" s="105"/>
      <c r="D928" s="104"/>
      <c r="E928" s="104"/>
      <c r="F928" s="104"/>
      <c r="G928" s="104"/>
      <c r="H928" s="104"/>
      <c r="I928" s="104"/>
      <c r="J928" s="104"/>
      <c r="K928" s="104"/>
      <c r="L928" s="104"/>
    </row>
    <row r="929">
      <c r="A929" s="104"/>
      <c r="B929" s="105"/>
      <c r="C929" s="105"/>
      <c r="D929" s="104"/>
      <c r="E929" s="104"/>
      <c r="F929" s="104"/>
      <c r="G929" s="104"/>
      <c r="H929" s="104"/>
      <c r="I929" s="104"/>
      <c r="J929" s="104"/>
      <c r="K929" s="104"/>
      <c r="L929" s="104"/>
    </row>
    <row r="930">
      <c r="A930" s="104"/>
      <c r="B930" s="105"/>
      <c r="C930" s="105"/>
      <c r="D930" s="104"/>
      <c r="E930" s="104"/>
      <c r="F930" s="104"/>
      <c r="G930" s="104"/>
      <c r="H930" s="104"/>
      <c r="I930" s="104"/>
      <c r="J930" s="104"/>
      <c r="K930" s="104"/>
      <c r="L930" s="104"/>
    </row>
    <row r="931">
      <c r="A931" s="104"/>
      <c r="B931" s="105"/>
      <c r="C931" s="105"/>
      <c r="D931" s="104"/>
      <c r="E931" s="104"/>
      <c r="F931" s="104"/>
      <c r="G931" s="104"/>
      <c r="H931" s="104"/>
      <c r="I931" s="104"/>
      <c r="J931" s="104"/>
      <c r="K931" s="104"/>
      <c r="L931" s="104"/>
    </row>
    <row r="932">
      <c r="A932" s="104"/>
      <c r="B932" s="105"/>
      <c r="C932" s="105"/>
      <c r="D932" s="104"/>
      <c r="E932" s="104"/>
      <c r="F932" s="104"/>
      <c r="G932" s="104"/>
      <c r="H932" s="104"/>
      <c r="I932" s="104"/>
      <c r="J932" s="104"/>
      <c r="K932" s="104"/>
      <c r="L932" s="104"/>
    </row>
    <row r="933">
      <c r="A933" s="104"/>
      <c r="B933" s="105"/>
      <c r="C933" s="105"/>
      <c r="D933" s="104"/>
      <c r="E933" s="104"/>
      <c r="F933" s="104"/>
      <c r="G933" s="104"/>
      <c r="H933" s="104"/>
      <c r="I933" s="104"/>
      <c r="J933" s="104"/>
      <c r="K933" s="104"/>
      <c r="L933" s="104"/>
    </row>
    <row r="934">
      <c r="A934" s="104"/>
      <c r="B934" s="105"/>
      <c r="C934" s="105"/>
      <c r="D934" s="104"/>
      <c r="E934" s="104"/>
      <c r="F934" s="104"/>
      <c r="G934" s="104"/>
      <c r="H934" s="104"/>
      <c r="I934" s="104"/>
      <c r="J934" s="104"/>
      <c r="K934" s="104"/>
      <c r="L934" s="104"/>
    </row>
    <row r="935">
      <c r="A935" s="104"/>
      <c r="B935" s="105"/>
      <c r="C935" s="105"/>
      <c r="D935" s="104"/>
      <c r="E935" s="104"/>
      <c r="F935" s="104"/>
      <c r="G935" s="104"/>
      <c r="H935" s="104"/>
      <c r="I935" s="104"/>
      <c r="J935" s="104"/>
      <c r="K935" s="104"/>
      <c r="L935" s="104"/>
    </row>
    <row r="936">
      <c r="A936" s="104"/>
      <c r="B936" s="105"/>
      <c r="C936" s="105"/>
      <c r="D936" s="104"/>
      <c r="E936" s="104"/>
      <c r="F936" s="104"/>
      <c r="G936" s="104"/>
      <c r="H936" s="104"/>
      <c r="I936" s="104"/>
      <c r="J936" s="104"/>
      <c r="K936" s="104"/>
      <c r="L936" s="104"/>
    </row>
    <row r="937">
      <c r="A937" s="104"/>
      <c r="B937" s="105"/>
      <c r="C937" s="105"/>
      <c r="D937" s="104"/>
      <c r="E937" s="104"/>
      <c r="F937" s="104"/>
      <c r="G937" s="104"/>
      <c r="H937" s="104"/>
      <c r="I937" s="104"/>
      <c r="J937" s="104"/>
      <c r="K937" s="104"/>
      <c r="L937" s="104"/>
    </row>
    <row r="938">
      <c r="A938" s="104"/>
      <c r="B938" s="105"/>
      <c r="C938" s="105"/>
      <c r="D938" s="104"/>
      <c r="E938" s="104"/>
      <c r="F938" s="104"/>
      <c r="G938" s="104"/>
      <c r="H938" s="104"/>
      <c r="I938" s="104"/>
      <c r="J938" s="104"/>
      <c r="K938" s="104"/>
      <c r="L938" s="104"/>
    </row>
    <row r="939">
      <c r="A939" s="104"/>
      <c r="B939" s="105"/>
      <c r="C939" s="105"/>
      <c r="D939" s="104"/>
      <c r="E939" s="104"/>
      <c r="F939" s="104"/>
      <c r="G939" s="104"/>
      <c r="H939" s="104"/>
      <c r="I939" s="104"/>
      <c r="J939" s="104"/>
      <c r="K939" s="104"/>
      <c r="L939" s="104"/>
    </row>
    <row r="940">
      <c r="A940" s="104"/>
      <c r="B940" s="105"/>
      <c r="C940" s="105"/>
      <c r="D940" s="104"/>
      <c r="E940" s="104"/>
      <c r="F940" s="104"/>
      <c r="G940" s="104"/>
      <c r="H940" s="104"/>
      <c r="I940" s="104"/>
      <c r="J940" s="104"/>
      <c r="K940" s="104"/>
      <c r="L940" s="104"/>
    </row>
    <row r="941">
      <c r="A941" s="104"/>
      <c r="B941" s="105"/>
      <c r="C941" s="105"/>
      <c r="D941" s="104"/>
      <c r="E941" s="104"/>
      <c r="F941" s="104"/>
      <c r="G941" s="104"/>
      <c r="H941" s="104"/>
      <c r="I941" s="104"/>
      <c r="J941" s="104"/>
      <c r="K941" s="104"/>
      <c r="L941" s="104"/>
    </row>
    <row r="942">
      <c r="A942" s="104"/>
      <c r="B942" s="105"/>
      <c r="C942" s="105"/>
      <c r="D942" s="104"/>
      <c r="E942" s="104"/>
      <c r="F942" s="104"/>
      <c r="G942" s="104"/>
      <c r="H942" s="104"/>
      <c r="I942" s="104"/>
      <c r="J942" s="104"/>
      <c r="K942" s="104"/>
      <c r="L942" s="104"/>
    </row>
    <row r="943">
      <c r="A943" s="104"/>
      <c r="B943" s="105"/>
      <c r="C943" s="105"/>
      <c r="D943" s="104"/>
      <c r="E943" s="104"/>
      <c r="F943" s="104"/>
      <c r="G943" s="104"/>
      <c r="H943" s="104"/>
      <c r="I943" s="104"/>
      <c r="J943" s="104"/>
      <c r="K943" s="104"/>
      <c r="L943" s="104"/>
    </row>
    <row r="944">
      <c r="A944" s="104"/>
      <c r="B944" s="105"/>
      <c r="C944" s="105"/>
      <c r="D944" s="104"/>
      <c r="E944" s="104"/>
      <c r="F944" s="104"/>
      <c r="G944" s="104"/>
      <c r="H944" s="104"/>
      <c r="I944" s="104"/>
      <c r="J944" s="104"/>
      <c r="K944" s="104"/>
      <c r="L944" s="104"/>
    </row>
    <row r="945">
      <c r="A945" s="104"/>
      <c r="B945" s="105"/>
      <c r="C945" s="105"/>
      <c r="D945" s="104"/>
      <c r="E945" s="104"/>
      <c r="F945" s="104"/>
      <c r="G945" s="104"/>
      <c r="H945" s="104"/>
      <c r="I945" s="104"/>
      <c r="J945" s="104"/>
      <c r="K945" s="104"/>
      <c r="L945" s="104"/>
    </row>
    <row r="946">
      <c r="A946" s="104"/>
      <c r="B946" s="105"/>
      <c r="C946" s="105"/>
      <c r="D946" s="104"/>
      <c r="E946" s="104"/>
      <c r="F946" s="104"/>
      <c r="G946" s="104"/>
      <c r="H946" s="104"/>
      <c r="I946" s="104"/>
      <c r="J946" s="104"/>
      <c r="K946" s="104"/>
      <c r="L946" s="104"/>
    </row>
    <row r="947">
      <c r="A947" s="104"/>
      <c r="B947" s="105"/>
      <c r="C947" s="105"/>
      <c r="D947" s="104"/>
      <c r="E947" s="104"/>
      <c r="F947" s="104"/>
      <c r="G947" s="104"/>
      <c r="H947" s="104"/>
      <c r="I947" s="104"/>
      <c r="J947" s="104"/>
      <c r="K947" s="104"/>
      <c r="L947" s="104"/>
    </row>
    <row r="948">
      <c r="A948" s="104"/>
      <c r="B948" s="105"/>
      <c r="C948" s="105"/>
      <c r="D948" s="104"/>
      <c r="E948" s="104"/>
      <c r="F948" s="104"/>
      <c r="G948" s="104"/>
      <c r="H948" s="104"/>
      <c r="I948" s="104"/>
      <c r="J948" s="104"/>
      <c r="K948" s="104"/>
      <c r="L948" s="104"/>
    </row>
    <row r="949">
      <c r="A949" s="104"/>
      <c r="B949" s="105"/>
      <c r="C949" s="105"/>
      <c r="D949" s="104"/>
      <c r="E949" s="104"/>
      <c r="F949" s="104"/>
      <c r="G949" s="104"/>
      <c r="H949" s="104"/>
      <c r="I949" s="104"/>
      <c r="J949" s="104"/>
      <c r="K949" s="104"/>
      <c r="L949" s="104"/>
    </row>
    <row r="950">
      <c r="B950" s="58"/>
      <c r="C950" s="58"/>
    </row>
    <row r="951">
      <c r="B951" s="58"/>
      <c r="C951" s="58"/>
    </row>
    <row r="952">
      <c r="B952" s="58"/>
      <c r="C952" s="58"/>
    </row>
    <row r="953">
      <c r="B953" s="58"/>
      <c r="C953" s="58"/>
    </row>
    <row r="954">
      <c r="B954" s="58"/>
      <c r="C954" s="58"/>
    </row>
    <row r="955">
      <c r="B955" s="58"/>
      <c r="C955" s="58"/>
    </row>
    <row r="956">
      <c r="B956" s="58"/>
      <c r="C956" s="58"/>
    </row>
    <row r="957">
      <c r="B957" s="58"/>
      <c r="C957" s="58"/>
    </row>
    <row r="958">
      <c r="B958" s="58"/>
      <c r="C958" s="58"/>
    </row>
    <row r="959">
      <c r="B959" s="58"/>
      <c r="C959" s="58"/>
    </row>
    <row r="960">
      <c r="B960" s="58"/>
      <c r="C960" s="58"/>
    </row>
    <row r="961">
      <c r="B961" s="58"/>
      <c r="C961" s="58"/>
    </row>
    <row r="962">
      <c r="B962" s="58"/>
      <c r="C962" s="58"/>
    </row>
    <row r="963">
      <c r="B963" s="58"/>
      <c r="C963" s="58"/>
    </row>
    <row r="964">
      <c r="B964" s="58"/>
      <c r="C964" s="58"/>
    </row>
    <row r="965">
      <c r="B965" s="58"/>
      <c r="C965" s="58"/>
    </row>
    <row r="966">
      <c r="B966" s="58"/>
      <c r="C966" s="58"/>
    </row>
    <row r="967">
      <c r="B967" s="58"/>
      <c r="C967" s="58"/>
    </row>
    <row r="968">
      <c r="B968" s="58"/>
      <c r="C968" s="58"/>
    </row>
    <row r="969">
      <c r="B969" s="58"/>
      <c r="C969" s="58"/>
    </row>
    <row r="970">
      <c r="B970" s="58"/>
      <c r="C970" s="58"/>
    </row>
    <row r="971">
      <c r="B971" s="58"/>
      <c r="C971" s="58"/>
    </row>
    <row r="972">
      <c r="B972" s="58"/>
      <c r="C972" s="58"/>
    </row>
    <row r="973">
      <c r="B973" s="58"/>
      <c r="C973" s="58"/>
    </row>
    <row r="974">
      <c r="B974" s="58"/>
      <c r="C974" s="58"/>
    </row>
    <row r="975">
      <c r="B975" s="58"/>
      <c r="C975" s="58"/>
    </row>
    <row r="976">
      <c r="B976" s="58"/>
      <c r="C976" s="58"/>
    </row>
    <row r="977">
      <c r="B977" s="58"/>
      <c r="C977" s="58"/>
    </row>
    <row r="978">
      <c r="B978" s="58"/>
      <c r="C978" s="58"/>
    </row>
    <row r="979">
      <c r="B979" s="58"/>
      <c r="C979" s="58"/>
    </row>
    <row r="980">
      <c r="B980" s="58"/>
      <c r="C980" s="58"/>
    </row>
    <row r="981">
      <c r="B981" s="58"/>
      <c r="C981" s="58"/>
    </row>
    <row r="982">
      <c r="B982" s="58"/>
      <c r="C982" s="58"/>
    </row>
    <row r="983">
      <c r="B983" s="58"/>
      <c r="C983" s="58"/>
    </row>
    <row r="984">
      <c r="B984" s="58"/>
      <c r="C984" s="58"/>
    </row>
    <row r="985">
      <c r="B985" s="58"/>
      <c r="C985" s="58"/>
    </row>
    <row r="986">
      <c r="B986" s="58"/>
      <c r="C986" s="58"/>
    </row>
    <row r="987">
      <c r="B987" s="58"/>
      <c r="C987" s="58"/>
    </row>
    <row r="988">
      <c r="B988" s="58"/>
      <c r="C988" s="58"/>
    </row>
    <row r="989">
      <c r="B989" s="58"/>
      <c r="C989" s="58"/>
    </row>
    <row r="990">
      <c r="B990" s="58"/>
      <c r="C990" s="58"/>
    </row>
    <row r="991">
      <c r="B991" s="58"/>
      <c r="C991" s="58"/>
    </row>
    <row r="992">
      <c r="B992" s="58"/>
      <c r="C992" s="58"/>
    </row>
    <row r="993">
      <c r="B993" s="58"/>
      <c r="C993" s="58"/>
    </row>
    <row r="994">
      <c r="B994" s="58"/>
      <c r="C994" s="58"/>
    </row>
    <row r="995">
      <c r="B995" s="58"/>
      <c r="C995" s="58"/>
    </row>
    <row r="996">
      <c r="B996" s="58"/>
      <c r="C996" s="58"/>
    </row>
    <row r="997">
      <c r="B997" s="58"/>
      <c r="C997" s="58"/>
    </row>
    <row r="998">
      <c r="B998" s="58"/>
      <c r="C998" s="58"/>
    </row>
    <row r="999">
      <c r="B999" s="58"/>
      <c r="C999" s="58"/>
    </row>
    <row r="1000">
      <c r="B1000" s="58"/>
      <c r="C1000" s="5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3.13"/>
  </cols>
  <sheetData>
    <row r="5">
      <c r="A5" s="38"/>
      <c r="B5" s="106" t="s">
        <v>1542</v>
      </c>
      <c r="C5" s="107" t="s">
        <v>1543</v>
      </c>
      <c r="D5" s="108" t="s">
        <v>1544</v>
      </c>
      <c r="E5" s="108" t="s">
        <v>1545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B6" s="109" t="s">
        <v>858</v>
      </c>
      <c r="C6" s="110" t="s">
        <v>1546</v>
      </c>
      <c r="D6" s="111">
        <f t="shared" ref="D6:D506" si="1">int(C6)</f>
        <v>11</v>
      </c>
      <c r="E6" s="111">
        <f>IFNA(vlookup(D6,Masters!C$5:C1000,1,false),"")</f>
        <v>11</v>
      </c>
    </row>
    <row r="7">
      <c r="B7" s="109" t="s">
        <v>1528</v>
      </c>
      <c r="C7" s="110" t="s">
        <v>1547</v>
      </c>
      <c r="D7" s="111">
        <f t="shared" si="1"/>
        <v>12</v>
      </c>
      <c r="E7" s="111">
        <f>IFNA(vlookup(D7,Masters!C$5:C1000,1,false),"")</f>
        <v>12</v>
      </c>
    </row>
    <row r="8">
      <c r="B8" s="109" t="s">
        <v>1529</v>
      </c>
      <c r="C8" s="110" t="s">
        <v>1548</v>
      </c>
      <c r="D8" s="111">
        <f t="shared" si="1"/>
        <v>13</v>
      </c>
      <c r="E8" s="111">
        <f>IFNA(vlookup(D8,Masters!C$5:C1000,1,false),"")</f>
        <v>13</v>
      </c>
    </row>
    <row r="9">
      <c r="B9" s="109" t="s">
        <v>1530</v>
      </c>
      <c r="C9" s="110" t="s">
        <v>1549</v>
      </c>
      <c r="D9" s="111">
        <f t="shared" si="1"/>
        <v>14</v>
      </c>
      <c r="E9" s="111">
        <f>IFNA(vlookup(D9,Masters!C$5:C1000,1,false),"")</f>
        <v>14</v>
      </c>
    </row>
    <row r="10">
      <c r="B10" s="109" t="s">
        <v>1517</v>
      </c>
      <c r="C10" s="110" t="s">
        <v>1550</v>
      </c>
      <c r="D10" s="111">
        <f t="shared" si="1"/>
        <v>15</v>
      </c>
      <c r="E10" s="111">
        <f>IFNA(vlookup(D10,Masters!C$5:C1000,1,false),"")</f>
        <v>15</v>
      </c>
    </row>
    <row r="11">
      <c r="B11" s="112" t="s">
        <v>1551</v>
      </c>
      <c r="C11" s="113" t="s">
        <v>1552</v>
      </c>
      <c r="D11" s="114">
        <f t="shared" si="1"/>
        <v>16</v>
      </c>
      <c r="E11" s="115" t="str">
        <f>IFNA(vlookup(D11,Masters!C$5:C1000,1,false),"")</f>
        <v/>
      </c>
    </row>
    <row r="12">
      <c r="B12" s="109" t="s">
        <v>1524</v>
      </c>
      <c r="C12" s="110" t="s">
        <v>1553</v>
      </c>
      <c r="D12" s="111">
        <f t="shared" si="1"/>
        <v>111</v>
      </c>
      <c r="E12" s="111">
        <f>IFNA(vlookup(D12,Masters!C$5:C1000,1,false),"")</f>
        <v>111</v>
      </c>
    </row>
    <row r="13">
      <c r="B13" s="109" t="s">
        <v>1525</v>
      </c>
      <c r="C13" s="110" t="s">
        <v>1554</v>
      </c>
      <c r="D13" s="111">
        <f t="shared" si="1"/>
        <v>112</v>
      </c>
      <c r="E13" s="111">
        <f>IFNA(vlookup(D13,Masters!C$5:C1000,1,false),"")</f>
        <v>112</v>
      </c>
    </row>
    <row r="14">
      <c r="B14" s="109" t="s">
        <v>1495</v>
      </c>
      <c r="C14" s="110" t="s">
        <v>1555</v>
      </c>
      <c r="D14" s="111">
        <f t="shared" si="1"/>
        <v>113</v>
      </c>
      <c r="E14" s="111">
        <f>IFNA(vlookup(D14,Masters!C$5:C1000,1,false),"")</f>
        <v>113</v>
      </c>
    </row>
    <row r="15">
      <c r="B15" s="109" t="s">
        <v>1491</v>
      </c>
      <c r="C15" s="110" t="s">
        <v>1556</v>
      </c>
      <c r="D15" s="111">
        <f t="shared" si="1"/>
        <v>114</v>
      </c>
      <c r="E15" s="111">
        <f>IFNA(vlookup(D15,Masters!C$5:C1000,1,false),"")</f>
        <v>114</v>
      </c>
    </row>
    <row r="16">
      <c r="B16" s="112" t="s">
        <v>1479</v>
      </c>
      <c r="C16" s="113" t="s">
        <v>1557</v>
      </c>
      <c r="D16" s="114">
        <f t="shared" si="1"/>
        <v>121</v>
      </c>
      <c r="E16" s="115">
        <f>IFNA(vlookup(D16,Masters!C$5:C1000,1,false),"")</f>
        <v>121</v>
      </c>
    </row>
    <row r="17">
      <c r="B17" s="112" t="s">
        <v>1521</v>
      </c>
      <c r="C17" s="113" t="s">
        <v>1558</v>
      </c>
      <c r="D17" s="114">
        <f t="shared" si="1"/>
        <v>122</v>
      </c>
      <c r="E17" s="115">
        <f>IFNA(vlookup(D17,Masters!C$5:C1000,1,false),"")</f>
        <v>122</v>
      </c>
    </row>
    <row r="18">
      <c r="B18" s="109" t="s">
        <v>1466</v>
      </c>
      <c r="C18" s="110" t="s">
        <v>1559</v>
      </c>
      <c r="D18" s="111">
        <f t="shared" si="1"/>
        <v>124</v>
      </c>
      <c r="E18" s="111">
        <f>IFNA(vlookup(D18,Masters!C$5:C1000,1,false),"")</f>
        <v>124</v>
      </c>
    </row>
    <row r="19">
      <c r="B19" s="109" t="s">
        <v>1492</v>
      </c>
      <c r="C19" s="110" t="s">
        <v>1560</v>
      </c>
      <c r="D19" s="111">
        <f t="shared" si="1"/>
        <v>125</v>
      </c>
      <c r="E19" s="111">
        <f>IFNA(vlookup(D19,Masters!C$5:C1000,1,false),"")</f>
        <v>125</v>
      </c>
    </row>
    <row r="20">
      <c r="B20" s="109" t="s">
        <v>1461</v>
      </c>
      <c r="C20" s="110" t="s">
        <v>1561</v>
      </c>
      <c r="D20" s="111">
        <f t="shared" si="1"/>
        <v>131</v>
      </c>
      <c r="E20" s="111">
        <f>IFNA(vlookup(D20,Masters!C$5:C1000,1,false),"")</f>
        <v>131</v>
      </c>
    </row>
    <row r="21">
      <c r="B21" s="109" t="s">
        <v>1443</v>
      </c>
      <c r="C21" s="110" t="s">
        <v>1562</v>
      </c>
      <c r="D21" s="111">
        <f t="shared" si="1"/>
        <v>132</v>
      </c>
      <c r="E21" s="111">
        <f>IFNA(vlookup(D21,Masters!C$5:C1000,1,false),"")</f>
        <v>132</v>
      </c>
    </row>
    <row r="22">
      <c r="B22" s="109" t="s">
        <v>1238</v>
      </c>
      <c r="C22" s="110" t="s">
        <v>1563</v>
      </c>
      <c r="D22" s="111">
        <f t="shared" si="1"/>
        <v>211</v>
      </c>
      <c r="E22" s="111">
        <f>IFNA(vlookup(D22,Masters!C$5:C1000,1,false),"")</f>
        <v>211</v>
      </c>
    </row>
    <row r="23">
      <c r="B23" s="109" t="s">
        <v>1211</v>
      </c>
      <c r="C23" s="110" t="s">
        <v>1564</v>
      </c>
      <c r="D23" s="111">
        <f t="shared" si="1"/>
        <v>212</v>
      </c>
      <c r="E23" s="111">
        <f>IFNA(vlookup(D23,Masters!C$5:C1000,1,false),"")</f>
        <v>212</v>
      </c>
    </row>
    <row r="24">
      <c r="B24" s="109" t="s">
        <v>1226</v>
      </c>
      <c r="C24" s="110" t="s">
        <v>1565</v>
      </c>
      <c r="D24" s="111">
        <f t="shared" si="1"/>
        <v>213</v>
      </c>
      <c r="E24" s="111">
        <f>IFNA(vlookup(D24,Masters!C$5:C1000,1,false),"")</f>
        <v>213</v>
      </c>
    </row>
    <row r="25">
      <c r="B25" s="109" t="s">
        <v>1527</v>
      </c>
      <c r="C25" s="110" t="s">
        <v>1566</v>
      </c>
      <c r="D25" s="111">
        <f t="shared" si="1"/>
        <v>311</v>
      </c>
      <c r="E25" s="111">
        <f>IFNA(vlookup(D25,Masters!C$5:C1000,1,false),"")</f>
        <v>311</v>
      </c>
    </row>
    <row r="26">
      <c r="B26" s="109" t="s">
        <v>1510</v>
      </c>
      <c r="C26" s="110" t="s">
        <v>1567</v>
      </c>
      <c r="D26" s="111">
        <f t="shared" si="1"/>
        <v>411</v>
      </c>
      <c r="E26" s="111">
        <f>IFNA(vlookup(D26,Masters!C$5:C1000,1,false),"")</f>
        <v>411</v>
      </c>
    </row>
    <row r="27">
      <c r="B27" s="109" t="s">
        <v>1508</v>
      </c>
      <c r="C27" s="110" t="s">
        <v>1568</v>
      </c>
      <c r="D27" s="111">
        <f t="shared" si="1"/>
        <v>412</v>
      </c>
      <c r="E27" s="111">
        <f>IFNA(vlookup(D27,Masters!C$5:C1000,1,false),"")</f>
        <v>412</v>
      </c>
    </row>
    <row r="28">
      <c r="B28" s="109" t="s">
        <v>1509</v>
      </c>
      <c r="C28" s="110" t="s">
        <v>1569</v>
      </c>
      <c r="D28" s="111">
        <f t="shared" si="1"/>
        <v>413</v>
      </c>
      <c r="E28" s="111">
        <f>IFNA(vlookup(D28,Masters!C$5:C1000,1,false),"")</f>
        <v>413</v>
      </c>
    </row>
    <row r="29">
      <c r="B29" s="109" t="s">
        <v>1493</v>
      </c>
      <c r="C29" s="110" t="s">
        <v>1570</v>
      </c>
      <c r="D29" s="111">
        <f t="shared" si="1"/>
        <v>414</v>
      </c>
      <c r="E29" s="111">
        <f>IFNA(vlookup(D29,Masters!C$5:C1000,1,false),"")</f>
        <v>414</v>
      </c>
    </row>
    <row r="30">
      <c r="B30" s="109" t="s">
        <v>1030</v>
      </c>
      <c r="C30" s="110" t="s">
        <v>1571</v>
      </c>
      <c r="D30" s="111">
        <f t="shared" si="1"/>
        <v>421</v>
      </c>
      <c r="E30" s="111">
        <f>IFNA(vlookup(D30,Masters!C$5:C1000,1,false),"")</f>
        <v>421</v>
      </c>
    </row>
    <row r="31">
      <c r="B31" s="109" t="s">
        <v>1502</v>
      </c>
      <c r="C31" s="110" t="s">
        <v>1572</v>
      </c>
      <c r="D31" s="111">
        <f t="shared" si="1"/>
        <v>422</v>
      </c>
      <c r="E31" s="111">
        <f>IFNA(vlookup(D31,Masters!C$5:C1000,1,false),"")</f>
        <v>422</v>
      </c>
    </row>
    <row r="32">
      <c r="B32" s="109" t="s">
        <v>1514</v>
      </c>
      <c r="C32" s="110" t="s">
        <v>1573</v>
      </c>
      <c r="D32" s="111">
        <f t="shared" si="1"/>
        <v>423</v>
      </c>
      <c r="E32" s="111">
        <f>IFNA(vlookup(D32,Masters!C$5:C1000,1,false),"")</f>
        <v>423</v>
      </c>
    </row>
    <row r="33">
      <c r="B33" s="109" t="s">
        <v>1472</v>
      </c>
      <c r="C33" s="110" t="s">
        <v>1574</v>
      </c>
      <c r="D33" s="111">
        <f t="shared" si="1"/>
        <v>431</v>
      </c>
      <c r="E33" s="111">
        <f>IFNA(vlookup(D33,Masters!C$5:C1000,1,false),"")</f>
        <v>431</v>
      </c>
    </row>
    <row r="34">
      <c r="B34" s="109" t="s">
        <v>1429</v>
      </c>
      <c r="C34" s="110" t="s">
        <v>1575</v>
      </c>
      <c r="D34" s="111">
        <f t="shared" si="1"/>
        <v>432</v>
      </c>
      <c r="E34" s="111">
        <f>IFNA(vlookup(D34,Masters!C$5:C1000,1,false),"")</f>
        <v>432</v>
      </c>
    </row>
    <row r="35">
      <c r="B35" s="112" t="s">
        <v>1381</v>
      </c>
      <c r="C35" s="113" t="s">
        <v>1576</v>
      </c>
      <c r="D35" s="114">
        <f t="shared" si="1"/>
        <v>433</v>
      </c>
      <c r="E35" s="115">
        <f>IFNA(vlookup(D35,Masters!C$5:C1000,1,false),"")</f>
        <v>433</v>
      </c>
    </row>
    <row r="36">
      <c r="B36" s="109" t="s">
        <v>1513</v>
      </c>
      <c r="C36" s="110" t="s">
        <v>1577</v>
      </c>
      <c r="D36" s="111">
        <f t="shared" si="1"/>
        <v>511</v>
      </c>
      <c r="E36" s="111">
        <f>IFNA(vlookup(D36,Masters!C$5:C1000,1,false),"")</f>
        <v>511</v>
      </c>
    </row>
    <row r="37">
      <c r="B37" s="112" t="s">
        <v>1487</v>
      </c>
      <c r="C37" s="113" t="s">
        <v>1578</v>
      </c>
      <c r="D37" s="114">
        <f t="shared" si="1"/>
        <v>512</v>
      </c>
      <c r="E37" s="115">
        <f>IFNA(vlookup(D37,Masters!C$5:C1000,1,false),"")</f>
        <v>512</v>
      </c>
    </row>
    <row r="38">
      <c r="B38" s="109" t="s">
        <v>1327</v>
      </c>
      <c r="C38" s="110" t="s">
        <v>1579</v>
      </c>
      <c r="D38" s="111">
        <f t="shared" si="1"/>
        <v>513</v>
      </c>
      <c r="E38" s="111">
        <f>IFNA(vlookup(D38,Masters!C$5:C1000,1,false),"")</f>
        <v>513</v>
      </c>
    </row>
    <row r="39">
      <c r="B39" s="109" t="s">
        <v>1496</v>
      </c>
      <c r="C39" s="110" t="s">
        <v>1580</v>
      </c>
      <c r="D39" s="111">
        <f t="shared" si="1"/>
        <v>601</v>
      </c>
      <c r="E39" s="111">
        <f>IFNA(vlookup(D39,Masters!C$5:C1000,1,false),"")</f>
        <v>601</v>
      </c>
    </row>
    <row r="40">
      <c r="B40" s="112" t="s">
        <v>1111</v>
      </c>
      <c r="C40" s="113" t="s">
        <v>1581</v>
      </c>
      <c r="D40" s="114">
        <f t="shared" si="1"/>
        <v>621</v>
      </c>
      <c r="E40" s="115">
        <f>IFNA(vlookup(D40,Masters!C$5:C1000,1,false),"")</f>
        <v>621</v>
      </c>
    </row>
    <row r="41">
      <c r="B41" s="109" t="s">
        <v>1449</v>
      </c>
      <c r="C41" s="110" t="s">
        <v>1582</v>
      </c>
      <c r="D41" s="111">
        <f t="shared" si="1"/>
        <v>631</v>
      </c>
      <c r="E41" s="111">
        <f>IFNA(vlookup(D41,Masters!C$5:C1000,1,false),"")</f>
        <v>631</v>
      </c>
    </row>
    <row r="42">
      <c r="B42" s="109" t="s">
        <v>1209</v>
      </c>
      <c r="C42" s="110" t="s">
        <v>1583</v>
      </c>
      <c r="D42" s="111">
        <f t="shared" si="1"/>
        <v>632</v>
      </c>
      <c r="E42" s="111">
        <f>IFNA(vlookup(D42,Masters!C$5:C1000,1,false),"")</f>
        <v>632</v>
      </c>
    </row>
    <row r="43">
      <c r="B43" s="112" t="s">
        <v>1439</v>
      </c>
      <c r="C43" s="113" t="s">
        <v>1584</v>
      </c>
      <c r="D43" s="114">
        <f t="shared" si="1"/>
        <v>651</v>
      </c>
      <c r="E43" s="115">
        <f>IFNA(vlookup(D43,Masters!C$5:C1000,1,false),"")</f>
        <v>651</v>
      </c>
    </row>
    <row r="44">
      <c r="B44" s="109" t="s">
        <v>1426</v>
      </c>
      <c r="C44" s="110" t="s">
        <v>1585</v>
      </c>
      <c r="D44" s="111">
        <f t="shared" si="1"/>
        <v>711</v>
      </c>
      <c r="E44" s="111">
        <f>IFNA(vlookup(D44,Masters!C$5:C1000,1,false),"")</f>
        <v>711</v>
      </c>
    </row>
    <row r="45">
      <c r="B45" s="112" t="s">
        <v>1448</v>
      </c>
      <c r="C45" s="113" t="s">
        <v>1586</v>
      </c>
      <c r="D45" s="114">
        <f t="shared" si="1"/>
        <v>712</v>
      </c>
      <c r="E45" s="115">
        <f>IFNA(vlookup(D45,Masters!C$5:C1000,1,false),"")</f>
        <v>712</v>
      </c>
    </row>
    <row r="46">
      <c r="B46" s="109" t="s">
        <v>1178</v>
      </c>
      <c r="C46" s="110" t="s">
        <v>1587</v>
      </c>
      <c r="D46" s="111">
        <f t="shared" si="1"/>
        <v>714</v>
      </c>
      <c r="E46" s="111">
        <f>IFNA(vlookup(D46,Masters!C$5:C1000,1,false),"")</f>
        <v>714</v>
      </c>
    </row>
    <row r="47">
      <c r="B47" s="112" t="s">
        <v>1206</v>
      </c>
      <c r="C47" s="113" t="s">
        <v>1588</v>
      </c>
      <c r="D47" s="114">
        <f t="shared" si="1"/>
        <v>731</v>
      </c>
      <c r="E47" s="115">
        <f>IFNA(vlookup(D47,Masters!C$5:C1000,1,false),"")</f>
        <v>731</v>
      </c>
    </row>
    <row r="48">
      <c r="B48" s="112" t="s">
        <v>1182</v>
      </c>
      <c r="C48" s="113" t="s">
        <v>1589</v>
      </c>
      <c r="D48" s="114">
        <f t="shared" si="1"/>
        <v>811</v>
      </c>
      <c r="E48" s="115">
        <f>IFNA(vlookup(D48,Masters!C$5:C1000,1,false),"")</f>
        <v>811</v>
      </c>
    </row>
    <row r="49">
      <c r="B49" s="112" t="s">
        <v>1386</v>
      </c>
      <c r="C49" s="113" t="s">
        <v>1590</v>
      </c>
      <c r="D49" s="114">
        <f t="shared" si="1"/>
        <v>821</v>
      </c>
      <c r="E49" s="115">
        <f>IFNA(vlookup(D49,Masters!C$5:C1000,1,false),"")</f>
        <v>821</v>
      </c>
    </row>
    <row r="50">
      <c r="B50" s="112" t="s">
        <v>1118</v>
      </c>
      <c r="C50" s="113" t="s">
        <v>1591</v>
      </c>
      <c r="D50" s="114">
        <f t="shared" si="1"/>
        <v>822</v>
      </c>
      <c r="E50" s="115">
        <f>IFNA(vlookup(D50,Masters!C$5:C1000,1,false),"")</f>
        <v>822</v>
      </c>
    </row>
    <row r="51">
      <c r="B51" s="112" t="s">
        <v>1373</v>
      </c>
      <c r="C51" s="113" t="s">
        <v>1592</v>
      </c>
      <c r="D51" s="114">
        <f t="shared" si="1"/>
        <v>823</v>
      </c>
      <c r="E51" s="115">
        <f>IFNA(vlookup(D51,Masters!C$5:C1000,1,false),"")</f>
        <v>823</v>
      </c>
    </row>
    <row r="52">
      <c r="B52" s="109" t="s">
        <v>1179</v>
      </c>
      <c r="C52" s="110" t="s">
        <v>1593</v>
      </c>
      <c r="D52" s="111">
        <f t="shared" si="1"/>
        <v>911</v>
      </c>
      <c r="E52" s="111">
        <f>IFNA(vlookup(D52,Masters!C$5:C1000,1,false),"")</f>
        <v>911</v>
      </c>
    </row>
    <row r="53">
      <c r="B53" s="112" t="s">
        <v>1190</v>
      </c>
      <c r="C53" s="113" t="s">
        <v>1594</v>
      </c>
      <c r="D53" s="114">
        <f t="shared" si="1"/>
        <v>912</v>
      </c>
      <c r="E53" s="115">
        <f>IFNA(vlookup(D53,Masters!C$5:C1000,1,false),"")</f>
        <v>912</v>
      </c>
    </row>
    <row r="54">
      <c r="B54" s="109" t="s">
        <v>1519</v>
      </c>
      <c r="C54" s="110" t="s">
        <v>1595</v>
      </c>
      <c r="D54" s="111">
        <f t="shared" si="1"/>
        <v>1111</v>
      </c>
      <c r="E54" s="111">
        <f>IFNA(vlookup(D54,Masters!C$5:C1000,1,false),"")</f>
        <v>1111</v>
      </c>
    </row>
    <row r="55">
      <c r="B55" s="109" t="s">
        <v>1526</v>
      </c>
      <c r="C55" s="110" t="s">
        <v>1596</v>
      </c>
      <c r="D55" s="111">
        <f t="shared" si="1"/>
        <v>1112</v>
      </c>
      <c r="E55" s="111">
        <f>IFNA(vlookup(D55,Masters!C$5:C1000,1,false),"")</f>
        <v>1112</v>
      </c>
    </row>
    <row r="56">
      <c r="B56" s="109" t="s">
        <v>1469</v>
      </c>
      <c r="C56" s="110" t="s">
        <v>1597</v>
      </c>
      <c r="D56" s="111">
        <f t="shared" si="1"/>
        <v>1113</v>
      </c>
      <c r="E56" s="111">
        <f>IFNA(vlookup(D56,Masters!C$5:C1000,1,false),"")</f>
        <v>1113</v>
      </c>
    </row>
    <row r="57">
      <c r="B57" s="112" t="s">
        <v>1478</v>
      </c>
      <c r="C57" s="113" t="s">
        <v>1598</v>
      </c>
      <c r="D57" s="114">
        <f t="shared" si="1"/>
        <v>1114</v>
      </c>
      <c r="E57" s="115">
        <f>IFNA(vlookup(D57,Masters!C$5:C1000,1,false),"")</f>
        <v>1114</v>
      </c>
    </row>
    <row r="58">
      <c r="B58" s="112" t="s">
        <v>1457</v>
      </c>
      <c r="C58" s="113" t="s">
        <v>1599</v>
      </c>
      <c r="D58" s="114">
        <f t="shared" si="1"/>
        <v>1121</v>
      </c>
      <c r="E58" s="115">
        <f>IFNA(vlookup(D58,Masters!C$5:C1000,1,false),"")</f>
        <v>1121</v>
      </c>
    </row>
    <row r="59">
      <c r="B59" s="112" t="s">
        <v>1486</v>
      </c>
      <c r="C59" s="113" t="s">
        <v>1600</v>
      </c>
      <c r="D59" s="114">
        <f t="shared" si="1"/>
        <v>1122</v>
      </c>
      <c r="E59" s="115">
        <f>IFNA(vlookup(D59,Masters!C$5:C1000,1,false),"")</f>
        <v>1122</v>
      </c>
    </row>
    <row r="60">
      <c r="B60" s="112" t="s">
        <v>1382</v>
      </c>
      <c r="C60" s="113" t="s">
        <v>1601</v>
      </c>
      <c r="D60" s="114">
        <f t="shared" si="1"/>
        <v>1123</v>
      </c>
      <c r="E60" s="115">
        <f>IFNA(vlookup(D60,Masters!C$5:C1000,1,false),"")</f>
        <v>1123</v>
      </c>
    </row>
    <row r="61">
      <c r="B61" s="112" t="s">
        <v>1460</v>
      </c>
      <c r="C61" s="113" t="s">
        <v>1602</v>
      </c>
      <c r="D61" s="114">
        <f t="shared" si="1"/>
        <v>1211</v>
      </c>
      <c r="E61" s="115">
        <f>IFNA(vlookup(D61,Masters!C$5:C1000,1,false),"")</f>
        <v>1211</v>
      </c>
    </row>
    <row r="62">
      <c r="B62" s="112" t="s">
        <v>1518</v>
      </c>
      <c r="C62" s="113" t="s">
        <v>1603</v>
      </c>
      <c r="D62" s="114">
        <f t="shared" si="1"/>
        <v>1212</v>
      </c>
      <c r="E62" s="115">
        <f>IFNA(vlookup(D62,Masters!C$5:C1000,1,false),"")</f>
        <v>1212</v>
      </c>
    </row>
    <row r="63">
      <c r="B63" s="112" t="s">
        <v>1497</v>
      </c>
      <c r="C63" s="113" t="s">
        <v>1604</v>
      </c>
      <c r="D63" s="114">
        <f t="shared" si="1"/>
        <v>1213</v>
      </c>
      <c r="E63" s="115">
        <f>IFNA(vlookup(D63,Masters!C$5:C1000,1,false),"")</f>
        <v>1213</v>
      </c>
    </row>
    <row r="64">
      <c r="B64" s="109" t="s">
        <v>1498</v>
      </c>
      <c r="C64" s="110" t="s">
        <v>1605</v>
      </c>
      <c r="D64" s="111">
        <f t="shared" si="1"/>
        <v>1214</v>
      </c>
      <c r="E64" s="111">
        <f>IFNA(vlookup(D64,Masters!C$5:C1000,1,false),"")</f>
        <v>1214</v>
      </c>
    </row>
    <row r="65">
      <c r="B65" s="112" t="s">
        <v>1194</v>
      </c>
      <c r="C65" s="113" t="s">
        <v>1606</v>
      </c>
      <c r="D65" s="114">
        <f t="shared" si="1"/>
        <v>1215</v>
      </c>
      <c r="E65" s="115">
        <f>IFNA(vlookup(D65,Masters!C$5:C1000,1,false),"")</f>
        <v>1215</v>
      </c>
    </row>
    <row r="66">
      <c r="B66" s="109" t="s">
        <v>1465</v>
      </c>
      <c r="C66" s="110" t="s">
        <v>1607</v>
      </c>
      <c r="D66" s="111">
        <f t="shared" si="1"/>
        <v>1221</v>
      </c>
      <c r="E66" s="111">
        <f>IFNA(vlookup(D66,Masters!C$5:C1000,1,false),"")</f>
        <v>1221</v>
      </c>
    </row>
    <row r="67">
      <c r="B67" s="109" t="s">
        <v>1240</v>
      </c>
      <c r="C67" s="110" t="s">
        <v>1608</v>
      </c>
      <c r="D67" s="111">
        <f t="shared" si="1"/>
        <v>1222</v>
      </c>
      <c r="E67" s="111">
        <f>IFNA(vlookup(D67,Masters!C$5:C1000,1,false),"")</f>
        <v>1222</v>
      </c>
    </row>
    <row r="68">
      <c r="B68" s="112" t="s">
        <v>1440</v>
      </c>
      <c r="C68" s="113" t="s">
        <v>1609</v>
      </c>
      <c r="D68" s="114">
        <f t="shared" si="1"/>
        <v>1223</v>
      </c>
      <c r="E68" s="115">
        <f>IFNA(vlookup(D68,Masters!C$5:C1000,1,false),"")</f>
        <v>1223</v>
      </c>
    </row>
    <row r="69">
      <c r="B69" s="109" t="s">
        <v>1446</v>
      </c>
      <c r="C69" s="110" t="s">
        <v>1610</v>
      </c>
      <c r="D69" s="111">
        <f t="shared" si="1"/>
        <v>1224</v>
      </c>
      <c r="E69" s="111">
        <f>IFNA(vlookup(D69,Masters!C$5:C1000,1,false),"")</f>
        <v>1224</v>
      </c>
    </row>
    <row r="70">
      <c r="B70" s="109" t="s">
        <v>1408</v>
      </c>
      <c r="C70" s="110" t="s">
        <v>1611</v>
      </c>
      <c r="D70" s="111">
        <f t="shared" si="1"/>
        <v>1225</v>
      </c>
      <c r="E70" s="111">
        <f>IFNA(vlookup(D70,Masters!C$5:C1000,1,false),"")</f>
        <v>1225</v>
      </c>
    </row>
    <row r="71">
      <c r="B71" s="109" t="s">
        <v>1424</v>
      </c>
      <c r="C71" s="110" t="s">
        <v>1612</v>
      </c>
      <c r="D71" s="111">
        <f t="shared" si="1"/>
        <v>1226</v>
      </c>
      <c r="E71" s="111">
        <f>IFNA(vlookup(D71,Masters!C$5:C1000,1,false),"")</f>
        <v>1226</v>
      </c>
    </row>
    <row r="72">
      <c r="B72" s="109" t="s">
        <v>1228</v>
      </c>
      <c r="C72" s="110" t="s">
        <v>1613</v>
      </c>
      <c r="D72" s="111">
        <f t="shared" si="1"/>
        <v>1227</v>
      </c>
      <c r="E72" s="111">
        <f>IFNA(vlookup(D72,Masters!C$5:C1000,1,false),"")</f>
        <v>1227</v>
      </c>
    </row>
    <row r="73">
      <c r="B73" s="112" t="s">
        <v>1239</v>
      </c>
      <c r="C73" s="113" t="s">
        <v>1614</v>
      </c>
      <c r="D73" s="114">
        <f t="shared" si="1"/>
        <v>1228</v>
      </c>
      <c r="E73" s="115">
        <f>IFNA(vlookup(D73,Masters!C$5:C1000,1,false),"")</f>
        <v>1228</v>
      </c>
    </row>
    <row r="74">
      <c r="B74" s="112" t="s">
        <v>1354</v>
      </c>
      <c r="C74" s="113" t="s">
        <v>1615</v>
      </c>
      <c r="D74" s="114">
        <f t="shared" si="1"/>
        <v>1241</v>
      </c>
      <c r="E74" s="115">
        <f>IFNA(vlookup(D74,Masters!C$5:C1000,1,false),"")</f>
        <v>1241</v>
      </c>
    </row>
    <row r="75">
      <c r="B75" s="112" t="s">
        <v>1334</v>
      </c>
      <c r="C75" s="113" t="s">
        <v>1616</v>
      </c>
      <c r="D75" s="114">
        <f t="shared" si="1"/>
        <v>1242</v>
      </c>
      <c r="E75" s="115">
        <f>IFNA(vlookup(D75,Masters!C$5:C1000,1,false),"")</f>
        <v>1242</v>
      </c>
    </row>
    <row r="76">
      <c r="B76" s="112" t="s">
        <v>1340</v>
      </c>
      <c r="C76" s="113" t="s">
        <v>1617</v>
      </c>
      <c r="D76" s="114">
        <f t="shared" si="1"/>
        <v>1243</v>
      </c>
      <c r="E76" s="115">
        <f>IFNA(vlookup(D76,Masters!C$5:C1000,1,false),"")</f>
        <v>1243</v>
      </c>
    </row>
    <row r="77">
      <c r="B77" s="109" t="s">
        <v>1306</v>
      </c>
      <c r="C77" s="110" t="s">
        <v>1618</v>
      </c>
      <c r="D77" s="111">
        <f t="shared" si="1"/>
        <v>1251</v>
      </c>
      <c r="E77" s="111">
        <f>IFNA(vlookup(D77,Masters!C$5:C1000,1,false),"")</f>
        <v>1251</v>
      </c>
    </row>
    <row r="78">
      <c r="B78" s="112" t="s">
        <v>1393</v>
      </c>
      <c r="C78" s="113" t="s">
        <v>1619</v>
      </c>
      <c r="D78" s="114">
        <f t="shared" si="1"/>
        <v>1252</v>
      </c>
      <c r="E78" s="115">
        <f>IFNA(vlookup(D78,Masters!C$5:C1000,1,false),"")</f>
        <v>1252</v>
      </c>
    </row>
    <row r="79">
      <c r="B79" s="112" t="s">
        <v>1410</v>
      </c>
      <c r="C79" s="113" t="s">
        <v>1620</v>
      </c>
      <c r="D79" s="114">
        <f t="shared" si="1"/>
        <v>1253</v>
      </c>
      <c r="E79" s="115">
        <f>IFNA(vlookup(D79,Masters!C$5:C1000,1,false),"")</f>
        <v>1253</v>
      </c>
    </row>
    <row r="80">
      <c r="B80" s="112" t="s">
        <v>1523</v>
      </c>
      <c r="C80" s="113" t="s">
        <v>1621</v>
      </c>
      <c r="D80" s="114">
        <f t="shared" si="1"/>
        <v>1254</v>
      </c>
      <c r="E80" s="115">
        <f>IFNA(vlookup(D80,Masters!C$5:C1000,1,false),"")</f>
        <v>1254</v>
      </c>
    </row>
    <row r="81">
      <c r="B81" s="109" t="s">
        <v>1217</v>
      </c>
      <c r="C81" s="110" t="s">
        <v>1622</v>
      </c>
      <c r="D81" s="111">
        <f t="shared" si="1"/>
        <v>1311</v>
      </c>
      <c r="E81" s="111">
        <f>IFNA(vlookup(D81,Masters!C$5:C1000,1,false),"")</f>
        <v>1311</v>
      </c>
    </row>
    <row r="82">
      <c r="B82" s="109" t="s">
        <v>1255</v>
      </c>
      <c r="C82" s="110" t="s">
        <v>1623</v>
      </c>
      <c r="D82" s="111">
        <f t="shared" si="1"/>
        <v>1312</v>
      </c>
      <c r="E82" s="111">
        <f>IFNA(vlookup(D82,Masters!C$5:C1000,1,false),"")</f>
        <v>1312</v>
      </c>
    </row>
    <row r="83">
      <c r="B83" s="109" t="s">
        <v>1480</v>
      </c>
      <c r="C83" s="110" t="s">
        <v>1624</v>
      </c>
      <c r="D83" s="111">
        <f t="shared" si="1"/>
        <v>1313</v>
      </c>
      <c r="E83" s="111">
        <f>IFNA(vlookup(D83,Masters!C$5:C1000,1,false),"")</f>
        <v>1313</v>
      </c>
    </row>
    <row r="84">
      <c r="B84" s="109" t="s">
        <v>1372</v>
      </c>
      <c r="C84" s="110" t="s">
        <v>1625</v>
      </c>
      <c r="D84" s="111">
        <f t="shared" si="1"/>
        <v>1314</v>
      </c>
      <c r="E84" s="111">
        <f>IFNA(vlookup(D84,Masters!C$5:C1000,1,false),"")</f>
        <v>1314</v>
      </c>
    </row>
    <row r="85">
      <c r="B85" s="112" t="s">
        <v>1233</v>
      </c>
      <c r="C85" s="113" t="s">
        <v>1626</v>
      </c>
      <c r="D85" s="114">
        <f t="shared" si="1"/>
        <v>1315</v>
      </c>
      <c r="E85" s="115">
        <f>IFNA(vlookup(D85,Masters!C$5:C1000,1,false),"")</f>
        <v>1315</v>
      </c>
    </row>
    <row r="86">
      <c r="B86" s="112" t="s">
        <v>1243</v>
      </c>
      <c r="C86" s="113" t="s">
        <v>1627</v>
      </c>
      <c r="D86" s="114">
        <f t="shared" si="1"/>
        <v>1411</v>
      </c>
      <c r="E86" s="115">
        <f>IFNA(vlookup(D86,Masters!C$5:C1000,1,false),"")</f>
        <v>1411</v>
      </c>
    </row>
    <row r="87">
      <c r="B87" s="109" t="s">
        <v>674</v>
      </c>
      <c r="C87" s="110" t="s">
        <v>1628</v>
      </c>
      <c r="D87" s="111">
        <f t="shared" si="1"/>
        <v>1414</v>
      </c>
      <c r="E87" s="111">
        <f>IFNA(vlookup(D87,Masters!C$5:C1000,1,false),"")</f>
        <v>1414</v>
      </c>
    </row>
    <row r="88">
      <c r="B88" s="109" t="s">
        <v>1441</v>
      </c>
      <c r="C88" s="110" t="s">
        <v>1629</v>
      </c>
      <c r="D88" s="111">
        <f t="shared" si="1"/>
        <v>1415</v>
      </c>
      <c r="E88" s="111">
        <f>IFNA(vlookup(D88,Masters!C$5:C1000,1,false),"")</f>
        <v>1415</v>
      </c>
    </row>
    <row r="89">
      <c r="B89" s="109" t="s">
        <v>1227</v>
      </c>
      <c r="C89" s="110" t="s">
        <v>1630</v>
      </c>
      <c r="D89" s="111">
        <f t="shared" si="1"/>
        <v>1416</v>
      </c>
      <c r="E89" s="111">
        <f>IFNA(vlookup(D89,Masters!C$5:C1000,1,false),"")</f>
        <v>1416</v>
      </c>
    </row>
    <row r="90">
      <c r="B90" s="109" t="s">
        <v>1100</v>
      </c>
      <c r="C90" s="110" t="s">
        <v>1631</v>
      </c>
      <c r="D90" s="111">
        <f t="shared" si="1"/>
        <v>1422</v>
      </c>
      <c r="E90" s="111">
        <f>IFNA(vlookup(D90,Masters!C$5:C1000,1,false),"")</f>
        <v>1422</v>
      </c>
    </row>
    <row r="91">
      <c r="B91" s="109" t="s">
        <v>1156</v>
      </c>
      <c r="C91" s="110" t="s">
        <v>1632</v>
      </c>
      <c r="D91" s="111">
        <f t="shared" si="1"/>
        <v>1423</v>
      </c>
      <c r="E91" s="111">
        <f>IFNA(vlookup(D91,Masters!C$5:C1000,1,false),"")</f>
        <v>1423</v>
      </c>
    </row>
    <row r="92">
      <c r="B92" s="109" t="s">
        <v>1210</v>
      </c>
      <c r="C92" s="110" t="s">
        <v>1633</v>
      </c>
      <c r="D92" s="111">
        <f t="shared" si="1"/>
        <v>1431</v>
      </c>
      <c r="E92" s="111">
        <f>IFNA(vlookup(D92,Masters!C$5:C1000,1,false),"")</f>
        <v>1431</v>
      </c>
    </row>
    <row r="93">
      <c r="B93" s="109" t="s">
        <v>1348</v>
      </c>
      <c r="C93" s="110" t="s">
        <v>1634</v>
      </c>
      <c r="D93" s="111">
        <f t="shared" si="1"/>
        <v>1432</v>
      </c>
      <c r="E93" s="111">
        <f>IFNA(vlookup(D93,Masters!C$5:C1000,1,false),"")</f>
        <v>1432</v>
      </c>
    </row>
    <row r="94">
      <c r="B94" s="109" t="s">
        <v>1376</v>
      </c>
      <c r="C94" s="110" t="s">
        <v>1635</v>
      </c>
      <c r="D94" s="111">
        <f t="shared" si="1"/>
        <v>1434</v>
      </c>
      <c r="E94" s="111">
        <f>IFNA(vlookup(D94,Masters!C$5:C1000,1,false),"")</f>
        <v>1434</v>
      </c>
    </row>
    <row r="95">
      <c r="B95" s="109" t="s">
        <v>378</v>
      </c>
      <c r="C95" s="110" t="s">
        <v>1636</v>
      </c>
      <c r="D95" s="111">
        <f t="shared" si="1"/>
        <v>1435</v>
      </c>
      <c r="E95" s="111">
        <f>IFNA(vlookup(D95,Masters!C$5:C1000,1,false),"")</f>
        <v>1435</v>
      </c>
    </row>
    <row r="96">
      <c r="B96" s="112" t="s">
        <v>1336</v>
      </c>
      <c r="C96" s="113" t="s">
        <v>1637</v>
      </c>
      <c r="D96" s="114">
        <f t="shared" si="1"/>
        <v>1451</v>
      </c>
      <c r="E96" s="115">
        <f>IFNA(vlookup(D96,Masters!C$5:C1000,1,false),"")</f>
        <v>1451</v>
      </c>
    </row>
    <row r="97">
      <c r="B97" s="112" t="s">
        <v>1320</v>
      </c>
      <c r="C97" s="113" t="s">
        <v>1638</v>
      </c>
      <c r="D97" s="114">
        <f t="shared" si="1"/>
        <v>1452</v>
      </c>
      <c r="E97" s="115">
        <f>IFNA(vlookup(D97,Masters!C$5:C1000,1,false),"")</f>
        <v>1452</v>
      </c>
    </row>
    <row r="98">
      <c r="B98" s="109" t="s">
        <v>1415</v>
      </c>
      <c r="C98" s="110" t="s">
        <v>1639</v>
      </c>
      <c r="D98" s="111">
        <f t="shared" si="1"/>
        <v>1454</v>
      </c>
      <c r="E98" s="111">
        <f>IFNA(vlookup(D98,Masters!C$5:C1000,1,false),"")</f>
        <v>1454</v>
      </c>
    </row>
    <row r="99">
      <c r="B99" s="112" t="s">
        <v>1192</v>
      </c>
      <c r="C99" s="113" t="s">
        <v>1640</v>
      </c>
      <c r="D99" s="114">
        <f t="shared" si="1"/>
        <v>1511</v>
      </c>
      <c r="E99" s="115">
        <f>IFNA(vlookup(D99,Masters!C$5:C1000,1,false),"")</f>
        <v>1511</v>
      </c>
    </row>
    <row r="100">
      <c r="B100" s="109" t="s">
        <v>1337</v>
      </c>
      <c r="C100" s="110" t="s">
        <v>1641</v>
      </c>
      <c r="D100" s="111">
        <f t="shared" si="1"/>
        <v>1512</v>
      </c>
      <c r="E100" s="111">
        <f>IFNA(vlookup(D100,Masters!C$5:C1000,1,false),"")</f>
        <v>1512</v>
      </c>
    </row>
    <row r="101">
      <c r="B101" s="109" t="s">
        <v>1427</v>
      </c>
      <c r="C101" s="110" t="s">
        <v>1642</v>
      </c>
      <c r="D101" s="111">
        <f t="shared" si="1"/>
        <v>1513</v>
      </c>
      <c r="E101" s="111">
        <f>IFNA(vlookup(D101,Masters!C$5:C1000,1,false),"")</f>
        <v>1513</v>
      </c>
    </row>
    <row r="102">
      <c r="B102" s="109" t="s">
        <v>1413</v>
      </c>
      <c r="C102" s="110" t="s">
        <v>1643</v>
      </c>
      <c r="D102" s="111">
        <f t="shared" si="1"/>
        <v>1521</v>
      </c>
      <c r="E102" s="111">
        <f>IFNA(vlookup(D102,Masters!C$5:C1000,1,false),"")</f>
        <v>1521</v>
      </c>
    </row>
    <row r="103">
      <c r="B103" s="112" t="s">
        <v>1366</v>
      </c>
      <c r="C103" s="113" t="s">
        <v>1644</v>
      </c>
      <c r="D103" s="114">
        <f t="shared" si="1"/>
        <v>1522</v>
      </c>
      <c r="E103" s="115">
        <f>IFNA(vlookup(D103,Masters!C$5:C1000,1,false),"")</f>
        <v>1522</v>
      </c>
    </row>
    <row r="104">
      <c r="B104" s="112" t="s">
        <v>1444</v>
      </c>
      <c r="C104" s="113" t="s">
        <v>1645</v>
      </c>
      <c r="D104" s="114">
        <f t="shared" si="1"/>
        <v>1523</v>
      </c>
      <c r="E104" s="115">
        <f>IFNA(vlookup(D104,Masters!C$5:C1000,1,false),"")</f>
        <v>1523</v>
      </c>
    </row>
    <row r="105">
      <c r="B105" s="112" t="s">
        <v>1258</v>
      </c>
      <c r="C105" s="113" t="s">
        <v>1646</v>
      </c>
      <c r="D105" s="114">
        <f t="shared" si="1"/>
        <v>1524</v>
      </c>
      <c r="E105" s="115">
        <f>IFNA(vlookup(D105,Masters!C$5:C1000,1,false),"")</f>
        <v>1524</v>
      </c>
    </row>
    <row r="106">
      <c r="B106" s="109" t="s">
        <v>393</v>
      </c>
      <c r="C106" s="110" t="s">
        <v>1647</v>
      </c>
      <c r="D106" s="111">
        <f t="shared" si="1"/>
        <v>1525</v>
      </c>
      <c r="E106" s="111">
        <f>IFNA(vlookup(D106,Masters!C$5:C1000,1,false),"")</f>
        <v>1525</v>
      </c>
    </row>
    <row r="107">
      <c r="B107" s="109" t="s">
        <v>1464</v>
      </c>
      <c r="C107" s="110" t="s">
        <v>1648</v>
      </c>
      <c r="D107" s="111">
        <f t="shared" si="1"/>
        <v>1526</v>
      </c>
      <c r="E107" s="111">
        <f>IFNA(vlookup(D107,Masters!C$5:C1000,1,false),"")</f>
        <v>1526</v>
      </c>
    </row>
    <row r="108">
      <c r="B108" s="109" t="s">
        <v>1191</v>
      </c>
      <c r="C108" s="110" t="s">
        <v>1649</v>
      </c>
      <c r="D108" s="111">
        <f t="shared" si="1"/>
        <v>2111</v>
      </c>
      <c r="E108" s="111">
        <f>IFNA(vlookup(D108,Masters!C$5:C1000,1,false),"")</f>
        <v>2111</v>
      </c>
    </row>
    <row r="109">
      <c r="B109" s="109" t="s">
        <v>943</v>
      </c>
      <c r="C109" s="110" t="s">
        <v>1650</v>
      </c>
      <c r="D109" s="111">
        <f t="shared" si="1"/>
        <v>2112</v>
      </c>
      <c r="E109" s="111">
        <f>IFNA(vlookup(D109,Masters!C$5:C1000,1,false),"")</f>
        <v>2112</v>
      </c>
    </row>
    <row r="110">
      <c r="B110" s="112" t="s">
        <v>1250</v>
      </c>
      <c r="C110" s="113" t="s">
        <v>1651</v>
      </c>
      <c r="D110" s="114">
        <f t="shared" si="1"/>
        <v>2113</v>
      </c>
      <c r="E110" s="115">
        <f>IFNA(vlookup(D110,Masters!C$5:C1000,1,false),"")</f>
        <v>2113</v>
      </c>
    </row>
    <row r="111">
      <c r="B111" s="109" t="s">
        <v>1435</v>
      </c>
      <c r="C111" s="110" t="s">
        <v>1652</v>
      </c>
      <c r="D111" s="111">
        <f t="shared" si="1"/>
        <v>2114</v>
      </c>
      <c r="E111" s="111">
        <f>IFNA(vlookup(D111,Masters!C$5:C1000,1,false),"")</f>
        <v>2114</v>
      </c>
    </row>
    <row r="112">
      <c r="B112" s="112" t="s">
        <v>1404</v>
      </c>
      <c r="C112" s="113" t="s">
        <v>1653</v>
      </c>
      <c r="D112" s="114">
        <f t="shared" si="1"/>
        <v>2115</v>
      </c>
      <c r="E112" s="115">
        <f>IFNA(vlookup(D112,Masters!C$5:C1000,1,false),"")</f>
        <v>2115</v>
      </c>
    </row>
    <row r="113">
      <c r="B113" s="109" t="s">
        <v>1215</v>
      </c>
      <c r="C113" s="110" t="s">
        <v>1654</v>
      </c>
      <c r="D113" s="111">
        <f t="shared" si="1"/>
        <v>2121</v>
      </c>
      <c r="E113" s="111">
        <f>IFNA(vlookup(D113,Masters!C$5:C1000,1,false),"")</f>
        <v>2121</v>
      </c>
    </row>
    <row r="114">
      <c r="B114" s="109" t="s">
        <v>1389</v>
      </c>
      <c r="C114" s="110" t="s">
        <v>1655</v>
      </c>
      <c r="D114" s="111">
        <f t="shared" si="1"/>
        <v>2122</v>
      </c>
      <c r="E114" s="111">
        <f>IFNA(vlookup(D114,Masters!C$5:C1000,1,false),"")</f>
        <v>2122</v>
      </c>
    </row>
    <row r="115">
      <c r="B115" s="109" t="s">
        <v>1422</v>
      </c>
      <c r="C115" s="110" t="s">
        <v>1656</v>
      </c>
      <c r="D115" s="111">
        <f t="shared" si="1"/>
        <v>2123</v>
      </c>
      <c r="E115" s="111">
        <f>IFNA(vlookup(D115,Masters!C$5:C1000,1,false),"")</f>
        <v>2123</v>
      </c>
    </row>
    <row r="116">
      <c r="B116" s="109" t="s">
        <v>1505</v>
      </c>
      <c r="C116" s="110" t="s">
        <v>1657</v>
      </c>
      <c r="D116" s="111">
        <f t="shared" si="1"/>
        <v>2131</v>
      </c>
      <c r="E116" s="111">
        <f>IFNA(vlookup(D116,Masters!C$5:C1000,1,false),"")</f>
        <v>2131</v>
      </c>
    </row>
    <row r="117">
      <c r="B117" s="109" t="s">
        <v>1488</v>
      </c>
      <c r="C117" s="110" t="s">
        <v>1658</v>
      </c>
      <c r="D117" s="111">
        <f t="shared" si="1"/>
        <v>2132</v>
      </c>
      <c r="E117" s="111">
        <f>IFNA(vlookup(D117,Masters!C$5:C1000,1,false),"")</f>
        <v>2132</v>
      </c>
    </row>
    <row r="118">
      <c r="B118" s="109" t="s">
        <v>1507</v>
      </c>
      <c r="C118" s="110" t="s">
        <v>1659</v>
      </c>
      <c r="D118" s="111">
        <f t="shared" si="1"/>
        <v>2133</v>
      </c>
      <c r="E118" s="111">
        <f>IFNA(vlookup(D118,Masters!C$5:C1000,1,false),"")</f>
        <v>2133</v>
      </c>
    </row>
    <row r="119">
      <c r="B119" s="109" t="s">
        <v>1471</v>
      </c>
      <c r="C119" s="110" t="s">
        <v>1660</v>
      </c>
      <c r="D119" s="111">
        <f t="shared" si="1"/>
        <v>2134</v>
      </c>
      <c r="E119" s="111">
        <f>IFNA(vlookup(D119,Masters!C$5:C1000,1,false),"")</f>
        <v>2134</v>
      </c>
    </row>
    <row r="120">
      <c r="B120" s="109" t="s">
        <v>1511</v>
      </c>
      <c r="C120" s="110" t="s">
        <v>1661</v>
      </c>
      <c r="D120" s="111">
        <f t="shared" si="1"/>
        <v>2141</v>
      </c>
      <c r="E120" s="111">
        <f>IFNA(vlookup(D120,Masters!C$5:C1000,1,false),"")</f>
        <v>2141</v>
      </c>
    </row>
    <row r="121">
      <c r="B121" s="109" t="s">
        <v>1434</v>
      </c>
      <c r="C121" s="110" t="s">
        <v>1662</v>
      </c>
      <c r="D121" s="111">
        <f t="shared" si="1"/>
        <v>2142</v>
      </c>
      <c r="E121" s="111">
        <f>IFNA(vlookup(D121,Masters!C$5:C1000,1,false),"")</f>
        <v>2142</v>
      </c>
    </row>
    <row r="122">
      <c r="B122" s="109" t="s">
        <v>1436</v>
      </c>
      <c r="C122" s="110" t="s">
        <v>1663</v>
      </c>
      <c r="D122" s="111">
        <f t="shared" si="1"/>
        <v>2143</v>
      </c>
      <c r="E122" s="111">
        <f>IFNA(vlookup(D122,Masters!C$5:C1000,1,false),"")</f>
        <v>2143</v>
      </c>
    </row>
    <row r="123">
      <c r="B123" s="109" t="s">
        <v>1249</v>
      </c>
      <c r="C123" s="110" t="s">
        <v>1664</v>
      </c>
      <c r="D123" s="111">
        <f t="shared" si="1"/>
        <v>2144</v>
      </c>
      <c r="E123" s="111">
        <f>IFNA(vlookup(D123,Masters!C$5:C1000,1,false),"")</f>
        <v>2144</v>
      </c>
    </row>
    <row r="124">
      <c r="B124" s="109" t="s">
        <v>1442</v>
      </c>
      <c r="C124" s="110" t="s">
        <v>1665</v>
      </c>
      <c r="D124" s="111">
        <f t="shared" si="1"/>
        <v>2145</v>
      </c>
      <c r="E124" s="111">
        <f>IFNA(vlookup(D124,Masters!C$5:C1000,1,false),"")</f>
        <v>2145</v>
      </c>
    </row>
    <row r="125">
      <c r="B125" s="109" t="s">
        <v>1520</v>
      </c>
      <c r="C125" s="110" t="s">
        <v>1666</v>
      </c>
      <c r="D125" s="111">
        <f t="shared" si="1"/>
        <v>2146</v>
      </c>
      <c r="E125" s="111">
        <f>IFNA(vlookup(D125,Masters!C$5:C1000,1,false),"")</f>
        <v>2146</v>
      </c>
    </row>
    <row r="126">
      <c r="B126" s="109" t="s">
        <v>1456</v>
      </c>
      <c r="C126" s="110" t="s">
        <v>1667</v>
      </c>
      <c r="D126" s="111">
        <f t="shared" si="1"/>
        <v>2147</v>
      </c>
      <c r="E126" s="111">
        <f>IFNA(vlookup(D126,Masters!C$5:C1000,1,false),"")</f>
        <v>2147</v>
      </c>
    </row>
    <row r="127">
      <c r="B127" s="112" t="s">
        <v>1462</v>
      </c>
      <c r="C127" s="113" t="s">
        <v>1668</v>
      </c>
      <c r="D127" s="114">
        <f t="shared" si="1"/>
        <v>2148</v>
      </c>
      <c r="E127" s="115">
        <f>IFNA(vlookup(D127,Masters!C$5:C1000,1,false),"")</f>
        <v>2148</v>
      </c>
    </row>
    <row r="128">
      <c r="B128" s="109" t="s">
        <v>295</v>
      </c>
      <c r="C128" s="110" t="s">
        <v>1669</v>
      </c>
      <c r="D128" s="111">
        <f t="shared" si="1"/>
        <v>2151</v>
      </c>
      <c r="E128" s="111">
        <f>IFNA(vlookup(D128,Masters!C$5:C1000,1,false),"")</f>
        <v>2151</v>
      </c>
    </row>
    <row r="129">
      <c r="B129" s="109" t="s">
        <v>1122</v>
      </c>
      <c r="C129" s="110" t="s">
        <v>1670</v>
      </c>
      <c r="D129" s="111">
        <f t="shared" si="1"/>
        <v>2152</v>
      </c>
      <c r="E129" s="111">
        <f>IFNA(vlookup(D129,Masters!C$5:C1000,1,false),"")</f>
        <v>2152</v>
      </c>
    </row>
    <row r="130">
      <c r="B130" s="109" t="s">
        <v>1208</v>
      </c>
      <c r="C130" s="110" t="s">
        <v>1671</v>
      </c>
      <c r="D130" s="111">
        <f t="shared" si="1"/>
        <v>2153</v>
      </c>
      <c r="E130" s="111">
        <f>IFNA(vlookup(D130,Masters!C$5:C1000,1,false),"")</f>
        <v>2153</v>
      </c>
    </row>
    <row r="131">
      <c r="B131" s="109" t="s">
        <v>1121</v>
      </c>
      <c r="C131" s="110" t="s">
        <v>1672</v>
      </c>
      <c r="D131" s="111">
        <f t="shared" si="1"/>
        <v>2154</v>
      </c>
      <c r="E131" s="111">
        <f>IFNA(vlookup(D131,Masters!C$5:C1000,1,false),"")</f>
        <v>2154</v>
      </c>
    </row>
    <row r="132">
      <c r="B132" s="109" t="s">
        <v>1501</v>
      </c>
      <c r="C132" s="110" t="s">
        <v>1673</v>
      </c>
      <c r="D132" s="111">
        <f t="shared" si="1"/>
        <v>2161</v>
      </c>
      <c r="E132" s="111">
        <f>IFNA(vlookup(D132,Masters!C$5:C1000,1,false),"")</f>
        <v>2161</v>
      </c>
    </row>
    <row r="133">
      <c r="B133" s="112" t="s">
        <v>1173</v>
      </c>
      <c r="C133" s="113" t="s">
        <v>1674</v>
      </c>
      <c r="D133" s="114">
        <f t="shared" si="1"/>
        <v>2171</v>
      </c>
      <c r="E133" s="115">
        <f>IFNA(vlookup(D133,Masters!C$5:C1000,1,false),"")</f>
        <v>2171</v>
      </c>
    </row>
    <row r="134">
      <c r="B134" s="109" t="s">
        <v>1428</v>
      </c>
      <c r="C134" s="110" t="s">
        <v>1675</v>
      </c>
      <c r="D134" s="111">
        <f t="shared" si="1"/>
        <v>2172</v>
      </c>
      <c r="E134" s="111">
        <f>IFNA(vlookup(D134,Masters!C$5:C1000,1,false),"")</f>
        <v>2172</v>
      </c>
    </row>
    <row r="135">
      <c r="B135" s="112" t="s">
        <v>1473</v>
      </c>
      <c r="C135" s="113" t="s">
        <v>1676</v>
      </c>
      <c r="D135" s="114">
        <f t="shared" si="1"/>
        <v>2173</v>
      </c>
      <c r="E135" s="115">
        <f>IFNA(vlookup(D135,Masters!C$5:C1000,1,false),"")</f>
        <v>2173</v>
      </c>
    </row>
    <row r="136">
      <c r="B136" s="109" t="s">
        <v>1506</v>
      </c>
      <c r="C136" s="110" t="s">
        <v>1677</v>
      </c>
      <c r="D136" s="111">
        <f t="shared" si="1"/>
        <v>2174</v>
      </c>
      <c r="E136" s="111">
        <f>IFNA(vlookup(D136,Masters!C$5:C1000,1,false),"")</f>
        <v>2174</v>
      </c>
    </row>
    <row r="137">
      <c r="B137" s="109" t="s">
        <v>1500</v>
      </c>
      <c r="C137" s="110" t="s">
        <v>1678</v>
      </c>
      <c r="D137" s="111">
        <f t="shared" si="1"/>
        <v>2175</v>
      </c>
      <c r="E137" s="111">
        <f>IFNA(vlookup(D137,Masters!C$5:C1000,1,false),"")</f>
        <v>2175</v>
      </c>
    </row>
    <row r="138">
      <c r="B138" s="109" t="s">
        <v>1294</v>
      </c>
      <c r="C138" s="110" t="s">
        <v>1679</v>
      </c>
      <c r="D138" s="111">
        <f t="shared" si="1"/>
        <v>2211</v>
      </c>
      <c r="E138" s="111">
        <f>IFNA(vlookup(D138,Masters!C$5:C1000,1,false),"")</f>
        <v>2211</v>
      </c>
    </row>
    <row r="139">
      <c r="B139" s="109" t="s">
        <v>1113</v>
      </c>
      <c r="C139" s="110" t="s">
        <v>1680</v>
      </c>
      <c r="D139" s="111">
        <f t="shared" si="1"/>
        <v>2212</v>
      </c>
      <c r="E139" s="111">
        <f>IFNA(vlookup(D139,Masters!C$5:C1000,1,false),"")</f>
        <v>2212</v>
      </c>
    </row>
    <row r="140">
      <c r="B140" s="115"/>
      <c r="C140" s="116" t="s">
        <v>1681</v>
      </c>
      <c r="D140" s="114">
        <f t="shared" si="1"/>
        <v>2214</v>
      </c>
      <c r="E140" s="115" t="str">
        <f>IFNA(vlookup(D140,Masters!C$5:C1000,1,false),"")</f>
        <v/>
      </c>
    </row>
    <row r="141">
      <c r="B141" s="109" t="s">
        <v>122</v>
      </c>
      <c r="C141" s="110" t="s">
        <v>1682</v>
      </c>
      <c r="D141" s="111">
        <f t="shared" si="1"/>
        <v>2221</v>
      </c>
      <c r="E141" s="111">
        <f>IFNA(vlookup(D141,Masters!C$5:C1000,1,false),"")</f>
        <v>2221</v>
      </c>
    </row>
    <row r="142">
      <c r="B142" s="112" t="s">
        <v>1083</v>
      </c>
      <c r="C142" s="113" t="s">
        <v>1683</v>
      </c>
      <c r="D142" s="114">
        <f t="shared" si="1"/>
        <v>2222</v>
      </c>
      <c r="E142" s="115">
        <f>IFNA(vlookup(D142,Masters!C$5:C1000,1,false),"")</f>
        <v>2222</v>
      </c>
    </row>
    <row r="143">
      <c r="B143" s="109" t="s">
        <v>1277</v>
      </c>
      <c r="C143" s="110" t="s">
        <v>1684</v>
      </c>
      <c r="D143" s="111">
        <f t="shared" si="1"/>
        <v>2223</v>
      </c>
      <c r="E143" s="111">
        <f>IFNA(vlookup(D143,Masters!C$5:C1000,1,false),"")</f>
        <v>2223</v>
      </c>
    </row>
    <row r="144">
      <c r="B144" s="109" t="s">
        <v>1322</v>
      </c>
      <c r="C144" s="110" t="s">
        <v>1685</v>
      </c>
      <c r="D144" s="111">
        <f t="shared" si="1"/>
        <v>2224</v>
      </c>
      <c r="E144" s="111">
        <f>IFNA(vlookup(D144,Masters!C$5:C1000,1,false),"")</f>
        <v>2224</v>
      </c>
    </row>
    <row r="145">
      <c r="B145" s="112" t="s">
        <v>1116</v>
      </c>
      <c r="C145" s="113" t="s">
        <v>1686</v>
      </c>
      <c r="D145" s="114">
        <f t="shared" si="1"/>
        <v>2225</v>
      </c>
      <c r="E145" s="115">
        <f>IFNA(vlookup(D145,Masters!C$5:C1000,1,false),"")</f>
        <v>2225</v>
      </c>
    </row>
    <row r="146">
      <c r="B146" s="109" t="s">
        <v>1266</v>
      </c>
      <c r="C146" s="110" t="s">
        <v>1687</v>
      </c>
      <c r="D146" s="111">
        <f t="shared" si="1"/>
        <v>2231</v>
      </c>
      <c r="E146" s="111">
        <f>IFNA(vlookup(D146,Masters!C$5:C1000,1,false),"")</f>
        <v>2231</v>
      </c>
    </row>
    <row r="147">
      <c r="B147" s="109" t="s">
        <v>1133</v>
      </c>
      <c r="C147" s="110" t="s">
        <v>1688</v>
      </c>
      <c r="D147" s="111">
        <f t="shared" si="1"/>
        <v>2232</v>
      </c>
      <c r="E147" s="111">
        <f>IFNA(vlookup(D147,Masters!C$5:C1000,1,false),"")</f>
        <v>2232</v>
      </c>
    </row>
    <row r="148">
      <c r="B148" s="109" t="s">
        <v>1267</v>
      </c>
      <c r="C148" s="110" t="s">
        <v>1689</v>
      </c>
      <c r="D148" s="111">
        <f t="shared" si="1"/>
        <v>2233</v>
      </c>
      <c r="E148" s="111">
        <f>IFNA(vlookup(D148,Masters!C$5:C1000,1,false),"")</f>
        <v>2233</v>
      </c>
    </row>
    <row r="149">
      <c r="B149" s="109" t="s">
        <v>1425</v>
      </c>
      <c r="C149" s="110" t="s">
        <v>1690</v>
      </c>
      <c r="D149" s="111">
        <f t="shared" si="1"/>
        <v>2234</v>
      </c>
      <c r="E149" s="111">
        <f>IFNA(vlookup(D149,Masters!C$5:C1000,1,false),"")</f>
        <v>2234</v>
      </c>
    </row>
    <row r="150">
      <c r="B150" s="109" t="s">
        <v>124</v>
      </c>
      <c r="C150" s="110" t="s">
        <v>1691</v>
      </c>
      <c r="D150" s="111">
        <f t="shared" si="1"/>
        <v>2241</v>
      </c>
      <c r="E150" s="111">
        <f>IFNA(vlookup(D150,Masters!C$5:C1000,1,false),"")</f>
        <v>2241</v>
      </c>
    </row>
    <row r="151">
      <c r="B151" s="109" t="s">
        <v>1272</v>
      </c>
      <c r="C151" s="110" t="s">
        <v>1692</v>
      </c>
      <c r="D151" s="111">
        <f t="shared" si="1"/>
        <v>2242</v>
      </c>
      <c r="E151" s="111">
        <f>IFNA(vlookup(D151,Masters!C$5:C1000,1,false),"")</f>
        <v>2242</v>
      </c>
    </row>
    <row r="152">
      <c r="B152" s="109" t="s">
        <v>1302</v>
      </c>
      <c r="C152" s="110" t="s">
        <v>1693</v>
      </c>
      <c r="D152" s="111">
        <f t="shared" si="1"/>
        <v>2243</v>
      </c>
      <c r="E152" s="111">
        <f>IFNA(vlookup(D152,Masters!C$5:C1000,1,false),"")</f>
        <v>2243</v>
      </c>
    </row>
    <row r="153">
      <c r="B153" s="112" t="s">
        <v>121</v>
      </c>
      <c r="C153" s="113" t="s">
        <v>1694</v>
      </c>
      <c r="D153" s="114">
        <f t="shared" si="1"/>
        <v>2244</v>
      </c>
      <c r="E153" s="115">
        <f>IFNA(vlookup(D153,Masters!C$5:C1000,1,false),"")</f>
        <v>2244</v>
      </c>
    </row>
    <row r="154">
      <c r="B154" s="109" t="s">
        <v>1317</v>
      </c>
      <c r="C154" s="110" t="s">
        <v>1695</v>
      </c>
      <c r="D154" s="111">
        <f t="shared" si="1"/>
        <v>2251</v>
      </c>
      <c r="E154" s="111">
        <f>IFNA(vlookup(D154,Masters!C$5:C1000,1,false),"")</f>
        <v>2251</v>
      </c>
    </row>
    <row r="155">
      <c r="B155" s="109" t="s">
        <v>1119</v>
      </c>
      <c r="C155" s="110" t="s">
        <v>1696</v>
      </c>
      <c r="D155" s="111">
        <f t="shared" si="1"/>
        <v>2252</v>
      </c>
      <c r="E155" s="111">
        <f>IFNA(vlookup(D155,Masters!C$5:C1000,1,false),"")</f>
        <v>2252</v>
      </c>
    </row>
    <row r="156">
      <c r="B156" s="109" t="s">
        <v>114</v>
      </c>
      <c r="C156" s="110" t="s">
        <v>1697</v>
      </c>
      <c r="D156" s="111">
        <f t="shared" si="1"/>
        <v>2253</v>
      </c>
      <c r="E156" s="111">
        <f>IFNA(vlookup(D156,Masters!C$5:C1000,1,false),"")</f>
        <v>2253</v>
      </c>
    </row>
    <row r="157">
      <c r="B157" s="109" t="s">
        <v>1305</v>
      </c>
      <c r="C157" s="110" t="s">
        <v>1698</v>
      </c>
      <c r="D157" s="111">
        <f t="shared" si="1"/>
        <v>2254</v>
      </c>
      <c r="E157" s="111">
        <f>IFNA(vlookup(D157,Masters!C$5:C1000,1,false),"")</f>
        <v>2254</v>
      </c>
    </row>
    <row r="158">
      <c r="B158" s="112" t="s">
        <v>1139</v>
      </c>
      <c r="C158" s="113" t="s">
        <v>1699</v>
      </c>
      <c r="D158" s="114">
        <f t="shared" si="1"/>
        <v>2255</v>
      </c>
      <c r="E158" s="115">
        <f>IFNA(vlookup(D158,Masters!C$5:C1000,1,false),"")</f>
        <v>2255</v>
      </c>
    </row>
    <row r="159">
      <c r="B159" s="112" t="s">
        <v>1342</v>
      </c>
      <c r="C159" s="113" t="s">
        <v>1700</v>
      </c>
      <c r="D159" s="114">
        <f t="shared" si="1"/>
        <v>2261</v>
      </c>
      <c r="E159" s="115">
        <f>IFNA(vlookup(D159,Masters!C$5:C1000,1,false),"")</f>
        <v>2261</v>
      </c>
    </row>
    <row r="160">
      <c r="B160" s="112" t="s">
        <v>1165</v>
      </c>
      <c r="C160" s="113" t="s">
        <v>1701</v>
      </c>
      <c r="D160" s="114">
        <f t="shared" si="1"/>
        <v>2262</v>
      </c>
      <c r="E160" s="115">
        <f>IFNA(vlookup(D160,Masters!C$5:C1000,1,false),"")</f>
        <v>2262</v>
      </c>
    </row>
    <row r="161">
      <c r="B161" s="109" t="s">
        <v>1395</v>
      </c>
      <c r="C161" s="110" t="s">
        <v>1702</v>
      </c>
      <c r="D161" s="111">
        <f t="shared" si="1"/>
        <v>2263</v>
      </c>
      <c r="E161" s="111">
        <f>IFNA(vlookup(D161,Masters!C$5:C1000,1,false),"")</f>
        <v>2263</v>
      </c>
    </row>
    <row r="162">
      <c r="B162" s="109" t="s">
        <v>1384</v>
      </c>
      <c r="C162" s="110" t="s">
        <v>1703</v>
      </c>
      <c r="D162" s="111">
        <f t="shared" si="1"/>
        <v>2264</v>
      </c>
      <c r="E162" s="111">
        <f>IFNA(vlookup(D162,Masters!C$5:C1000,1,false),"")</f>
        <v>2264</v>
      </c>
    </row>
    <row r="163">
      <c r="B163" s="109" t="s">
        <v>1276</v>
      </c>
      <c r="C163" s="110" t="s">
        <v>1704</v>
      </c>
      <c r="D163" s="111">
        <f t="shared" si="1"/>
        <v>2271</v>
      </c>
      <c r="E163" s="111">
        <f>IFNA(vlookup(D163,Masters!C$5:C1000,1,false),"")</f>
        <v>2271</v>
      </c>
    </row>
    <row r="164">
      <c r="B164" s="109" t="s">
        <v>1164</v>
      </c>
      <c r="C164" s="110" t="s">
        <v>1705</v>
      </c>
      <c r="D164" s="111">
        <f t="shared" si="1"/>
        <v>2272</v>
      </c>
      <c r="E164" s="111">
        <f>IFNA(vlookup(D164,Masters!C$5:C1000,1,false),"")</f>
        <v>2272</v>
      </c>
    </row>
    <row r="165">
      <c r="B165" s="109" t="s">
        <v>1324</v>
      </c>
      <c r="C165" s="110" t="s">
        <v>1706</v>
      </c>
      <c r="D165" s="111">
        <f t="shared" si="1"/>
        <v>2273</v>
      </c>
      <c r="E165" s="111">
        <f>IFNA(vlookup(D165,Masters!C$5:C1000,1,false),"")</f>
        <v>2273</v>
      </c>
    </row>
    <row r="166">
      <c r="B166" s="109" t="s">
        <v>1298</v>
      </c>
      <c r="C166" s="110" t="s">
        <v>1707</v>
      </c>
      <c r="D166" s="111">
        <f t="shared" si="1"/>
        <v>2274</v>
      </c>
      <c r="E166" s="111">
        <f>IFNA(vlookup(D166,Masters!C$5:C1000,1,false),"")</f>
        <v>2274</v>
      </c>
    </row>
    <row r="167">
      <c r="B167" s="109" t="s">
        <v>1398</v>
      </c>
      <c r="C167" s="110" t="s">
        <v>1708</v>
      </c>
      <c r="D167" s="111">
        <f t="shared" si="1"/>
        <v>2275</v>
      </c>
      <c r="E167" s="111">
        <f>IFNA(vlookup(D167,Masters!C$5:C1000,1,false),"")</f>
        <v>2275</v>
      </c>
    </row>
    <row r="168">
      <c r="B168" s="112" t="s">
        <v>1295</v>
      </c>
      <c r="C168" s="113" t="s">
        <v>1709</v>
      </c>
      <c r="D168" s="114">
        <f t="shared" si="1"/>
        <v>2281</v>
      </c>
      <c r="E168" s="115">
        <f>IFNA(vlookup(D168,Masters!C$5:C1000,1,false),"")</f>
        <v>2281</v>
      </c>
    </row>
    <row r="169">
      <c r="B169" s="109" t="s">
        <v>1421</v>
      </c>
      <c r="C169" s="110" t="s">
        <v>1710</v>
      </c>
      <c r="D169" s="111">
        <f t="shared" si="1"/>
        <v>2282</v>
      </c>
      <c r="E169" s="111">
        <f>IFNA(vlookup(D169,Masters!C$5:C1000,1,false),"")</f>
        <v>2282</v>
      </c>
    </row>
    <row r="170">
      <c r="B170" s="109" t="s">
        <v>1204</v>
      </c>
      <c r="C170" s="110" t="s">
        <v>1711</v>
      </c>
      <c r="D170" s="111">
        <f t="shared" si="1"/>
        <v>2283</v>
      </c>
      <c r="E170" s="111">
        <f>IFNA(vlookup(D170,Masters!C$5:C1000,1,false),"")</f>
        <v>2283</v>
      </c>
    </row>
    <row r="171">
      <c r="B171" s="112" t="s">
        <v>1169</v>
      </c>
      <c r="C171" s="113" t="s">
        <v>1712</v>
      </c>
      <c r="D171" s="114">
        <f t="shared" si="1"/>
        <v>3011</v>
      </c>
      <c r="E171" s="115">
        <f>IFNA(vlookup(D171,Masters!C$5:C1000,1,false),"")</f>
        <v>3011</v>
      </c>
    </row>
    <row r="172">
      <c r="B172" s="109" t="s">
        <v>1143</v>
      </c>
      <c r="C172" s="110" t="s">
        <v>1713</v>
      </c>
      <c r="D172" s="111">
        <f t="shared" si="1"/>
        <v>3012</v>
      </c>
      <c r="E172" s="111">
        <f>IFNA(vlookup(D172,Masters!C$5:C1000,1,false),"")</f>
        <v>3012</v>
      </c>
    </row>
    <row r="173">
      <c r="B173" s="112" t="s">
        <v>1414</v>
      </c>
      <c r="C173" s="113" t="s">
        <v>1714</v>
      </c>
      <c r="D173" s="114">
        <f t="shared" si="1"/>
        <v>3111</v>
      </c>
      <c r="E173" s="115">
        <f>IFNA(vlookup(D173,Masters!C$5:C1000,1,false),"")</f>
        <v>3111</v>
      </c>
    </row>
    <row r="174">
      <c r="B174" s="109" t="s">
        <v>1430</v>
      </c>
      <c r="C174" s="110" t="s">
        <v>1715</v>
      </c>
      <c r="D174" s="111">
        <f t="shared" si="1"/>
        <v>3112</v>
      </c>
      <c r="E174" s="111">
        <f>IFNA(vlookup(D174,Masters!C$5:C1000,1,false),"")</f>
        <v>3112</v>
      </c>
    </row>
    <row r="175">
      <c r="B175" s="109" t="s">
        <v>603</v>
      </c>
      <c r="C175" s="110" t="s">
        <v>1716</v>
      </c>
      <c r="D175" s="111">
        <f t="shared" si="1"/>
        <v>3113</v>
      </c>
      <c r="E175" s="111">
        <f>IFNA(vlookup(D175,Masters!C$5:C1000,1,false),"")</f>
        <v>3113</v>
      </c>
    </row>
    <row r="176">
      <c r="B176" s="109" t="s">
        <v>285</v>
      </c>
      <c r="C176" s="110" t="s">
        <v>1717</v>
      </c>
      <c r="D176" s="111">
        <f t="shared" si="1"/>
        <v>3114</v>
      </c>
      <c r="E176" s="111">
        <f>IFNA(vlookup(D176,Masters!C$5:C1000,1,false),"")</f>
        <v>3114</v>
      </c>
    </row>
    <row r="177">
      <c r="B177" s="109" t="s">
        <v>504</v>
      </c>
      <c r="C177" s="110" t="s">
        <v>1718</v>
      </c>
      <c r="D177" s="111">
        <f t="shared" si="1"/>
        <v>3121</v>
      </c>
      <c r="E177" s="111">
        <f>IFNA(vlookup(D177,Masters!C$5:C1000,1,false),"")</f>
        <v>3121</v>
      </c>
    </row>
    <row r="178">
      <c r="B178" s="115"/>
      <c r="C178" s="113" t="s">
        <v>1719</v>
      </c>
      <c r="D178" s="114">
        <f t="shared" si="1"/>
        <v>3122</v>
      </c>
      <c r="E178" s="115">
        <f>IFNA(vlookup(D178,Masters!C$5:C1000,1,false),"")</f>
        <v>3122</v>
      </c>
    </row>
    <row r="179">
      <c r="B179" s="112" t="s">
        <v>1308</v>
      </c>
      <c r="C179" s="113" t="s">
        <v>1720</v>
      </c>
      <c r="D179" s="114">
        <f t="shared" si="1"/>
        <v>3124</v>
      </c>
      <c r="E179" s="115">
        <f>IFNA(vlookup(D179,Masters!C$5:C1000,1,false),"")</f>
        <v>3124</v>
      </c>
    </row>
    <row r="180">
      <c r="B180" s="112" t="s">
        <v>1102</v>
      </c>
      <c r="C180" s="113" t="s">
        <v>1721</v>
      </c>
      <c r="D180" s="114">
        <f t="shared" si="1"/>
        <v>3125</v>
      </c>
      <c r="E180" s="115">
        <f>IFNA(vlookup(D180,Masters!C$5:C1000,1,false),"")</f>
        <v>3125</v>
      </c>
    </row>
    <row r="181">
      <c r="B181" s="112" t="s">
        <v>1321</v>
      </c>
      <c r="C181" s="113" t="s">
        <v>1722</v>
      </c>
      <c r="D181" s="114">
        <f t="shared" si="1"/>
        <v>3131</v>
      </c>
      <c r="E181" s="115">
        <f>IFNA(vlookup(D181,Masters!C$5:C1000,1,false),"")</f>
        <v>3131</v>
      </c>
    </row>
    <row r="182">
      <c r="B182" s="109" t="s">
        <v>1234</v>
      </c>
      <c r="C182" s="110" t="s">
        <v>1723</v>
      </c>
      <c r="D182" s="111">
        <f t="shared" si="1"/>
        <v>3132</v>
      </c>
      <c r="E182" s="111">
        <f>IFNA(vlookup(D182,Masters!C$5:C1000,1,false),"")</f>
        <v>3132</v>
      </c>
    </row>
    <row r="183">
      <c r="B183" s="109" t="s">
        <v>1375</v>
      </c>
      <c r="C183" s="110" t="s">
        <v>1724</v>
      </c>
      <c r="D183" s="111">
        <f t="shared" si="1"/>
        <v>3141</v>
      </c>
      <c r="E183" s="111">
        <f>IFNA(vlookup(D183,Masters!C$5:C1000,1,false),"")</f>
        <v>3141</v>
      </c>
    </row>
    <row r="184">
      <c r="B184" s="109" t="s">
        <v>256</v>
      </c>
      <c r="C184" s="110" t="s">
        <v>1725</v>
      </c>
      <c r="D184" s="111">
        <f t="shared" si="1"/>
        <v>3142</v>
      </c>
      <c r="E184" s="111">
        <f>IFNA(vlookup(D184,Masters!C$5:C1000,1,false),"")</f>
        <v>3142</v>
      </c>
    </row>
    <row r="185">
      <c r="B185" s="109" t="s">
        <v>1144</v>
      </c>
      <c r="C185" s="110" t="s">
        <v>1726</v>
      </c>
      <c r="D185" s="111">
        <f t="shared" si="1"/>
        <v>3143</v>
      </c>
      <c r="E185" s="111">
        <f>IFNA(vlookup(D185,Masters!C$5:C1000,1,false),"")</f>
        <v>3143</v>
      </c>
    </row>
    <row r="186">
      <c r="B186" s="109" t="s">
        <v>1396</v>
      </c>
      <c r="C186" s="110" t="s">
        <v>1727</v>
      </c>
      <c r="D186" s="111">
        <f t="shared" si="1"/>
        <v>3144</v>
      </c>
      <c r="E186" s="111">
        <f>IFNA(vlookup(D186,Masters!C$5:C1000,1,false),"")</f>
        <v>3144</v>
      </c>
    </row>
    <row r="187">
      <c r="B187" s="109" t="s">
        <v>1341</v>
      </c>
      <c r="C187" s="110" t="s">
        <v>1728</v>
      </c>
      <c r="D187" s="111">
        <f t="shared" si="1"/>
        <v>3211</v>
      </c>
      <c r="E187" s="111">
        <f>IFNA(vlookup(D187,Masters!C$5:C1000,1,false),"")</f>
        <v>3211</v>
      </c>
    </row>
    <row r="188">
      <c r="B188" s="109" t="s">
        <v>1135</v>
      </c>
      <c r="C188" s="110" t="s">
        <v>1729</v>
      </c>
      <c r="D188" s="111">
        <f t="shared" si="1"/>
        <v>3212</v>
      </c>
      <c r="E188" s="111">
        <f>IFNA(vlookup(D188,Masters!C$5:C1000,1,false),"")</f>
        <v>3212</v>
      </c>
    </row>
    <row r="189">
      <c r="B189" s="112" t="s">
        <v>1315</v>
      </c>
      <c r="C189" s="113" t="s">
        <v>1730</v>
      </c>
      <c r="D189" s="114">
        <f t="shared" si="1"/>
        <v>3213</v>
      </c>
      <c r="E189" s="115">
        <f>IFNA(vlookup(D189,Masters!C$5:C1000,1,false),"")</f>
        <v>3213</v>
      </c>
    </row>
    <row r="190">
      <c r="B190" s="109" t="s">
        <v>1088</v>
      </c>
      <c r="C190" s="110" t="s">
        <v>1731</v>
      </c>
      <c r="D190" s="111">
        <f t="shared" si="1"/>
        <v>3214</v>
      </c>
      <c r="E190" s="111">
        <f>IFNA(vlookup(D190,Masters!C$5:C1000,1,false),"")</f>
        <v>3214</v>
      </c>
    </row>
    <row r="191">
      <c r="B191" s="112" t="s">
        <v>1153</v>
      </c>
      <c r="C191" s="113" t="s">
        <v>1732</v>
      </c>
      <c r="D191" s="114">
        <f t="shared" si="1"/>
        <v>3215</v>
      </c>
      <c r="E191" s="115">
        <f>IFNA(vlookup(D191,Masters!C$5:C1000,1,false),"")</f>
        <v>3215</v>
      </c>
    </row>
    <row r="192">
      <c r="B192" s="109" t="s">
        <v>1136</v>
      </c>
      <c r="C192" s="110" t="s">
        <v>1733</v>
      </c>
      <c r="D192" s="111">
        <f t="shared" si="1"/>
        <v>3216</v>
      </c>
      <c r="E192" s="111">
        <f>IFNA(vlookup(D192,Masters!C$5:C1000,1,false),"")</f>
        <v>3216</v>
      </c>
    </row>
    <row r="193">
      <c r="B193" s="109" t="s">
        <v>116</v>
      </c>
      <c r="C193" s="110" t="s">
        <v>1734</v>
      </c>
      <c r="D193" s="111">
        <f t="shared" si="1"/>
        <v>3217</v>
      </c>
      <c r="E193" s="111">
        <f>IFNA(vlookup(D193,Masters!C$5:C1000,1,false),"")</f>
        <v>3217</v>
      </c>
    </row>
    <row r="194">
      <c r="B194" s="112" t="s">
        <v>1145</v>
      </c>
      <c r="C194" s="113" t="s">
        <v>1735</v>
      </c>
      <c r="D194" s="114">
        <f t="shared" si="1"/>
        <v>3219</v>
      </c>
      <c r="E194" s="115">
        <f>IFNA(vlookup(D194,Masters!C$5:C1000,1,false),"")</f>
        <v>3219</v>
      </c>
    </row>
    <row r="195">
      <c r="B195" s="109" t="s">
        <v>125</v>
      </c>
      <c r="C195" s="110" t="s">
        <v>1736</v>
      </c>
      <c r="D195" s="111">
        <f t="shared" si="1"/>
        <v>3221</v>
      </c>
      <c r="E195" s="111">
        <f>IFNA(vlookup(D195,Masters!C$5:C1000,1,false),"")</f>
        <v>3221</v>
      </c>
    </row>
    <row r="196">
      <c r="B196" s="109" t="s">
        <v>1101</v>
      </c>
      <c r="C196" s="110" t="s">
        <v>1737</v>
      </c>
      <c r="D196" s="111">
        <f t="shared" si="1"/>
        <v>3222</v>
      </c>
      <c r="E196" s="111">
        <f>IFNA(vlookup(D196,Masters!C$5:C1000,1,false),"")</f>
        <v>3222</v>
      </c>
    </row>
    <row r="197">
      <c r="B197" s="112" t="s">
        <v>123</v>
      </c>
      <c r="C197" s="113" t="s">
        <v>1738</v>
      </c>
      <c r="D197" s="114">
        <f t="shared" si="1"/>
        <v>3223</v>
      </c>
      <c r="E197" s="115">
        <f>IFNA(vlookup(D197,Masters!C$5:C1000,1,false),"")</f>
        <v>3223</v>
      </c>
    </row>
    <row r="198">
      <c r="B198" s="109" t="s">
        <v>656</v>
      </c>
      <c r="C198" s="110" t="s">
        <v>1739</v>
      </c>
      <c r="D198" s="111">
        <f t="shared" si="1"/>
        <v>3231</v>
      </c>
      <c r="E198" s="111">
        <f>IFNA(vlookup(D198,Masters!C$5:C1000,1,false),"")</f>
        <v>3231</v>
      </c>
    </row>
    <row r="199">
      <c r="B199" s="112" t="s">
        <v>1163</v>
      </c>
      <c r="C199" s="113" t="s">
        <v>1740</v>
      </c>
      <c r="D199" s="114">
        <f t="shared" si="1"/>
        <v>3232</v>
      </c>
      <c r="E199" s="115">
        <f>IFNA(vlookup(D199,Masters!C$5:C1000,1,false),"")</f>
        <v>3232</v>
      </c>
    </row>
    <row r="200">
      <c r="B200" s="109" t="s">
        <v>1125</v>
      </c>
      <c r="C200" s="110" t="s">
        <v>1741</v>
      </c>
      <c r="D200" s="111">
        <f t="shared" si="1"/>
        <v>3233</v>
      </c>
      <c r="E200" s="111">
        <f>IFNA(vlookup(D200,Masters!C$5:C1000,1,false),"")</f>
        <v>3233</v>
      </c>
    </row>
    <row r="201">
      <c r="B201" s="112" t="s">
        <v>1166</v>
      </c>
      <c r="C201" s="113" t="s">
        <v>1742</v>
      </c>
      <c r="D201" s="114">
        <f t="shared" si="1"/>
        <v>3234</v>
      </c>
      <c r="E201" s="115">
        <f>IFNA(vlookup(D201,Masters!C$5:C1000,1,false),"")</f>
        <v>3234</v>
      </c>
    </row>
    <row r="202">
      <c r="B202" s="109" t="s">
        <v>1339</v>
      </c>
      <c r="C202" s="110" t="s">
        <v>1743</v>
      </c>
      <c r="D202" s="111">
        <f t="shared" si="1"/>
        <v>3236</v>
      </c>
      <c r="E202" s="111">
        <f>IFNA(vlookup(D202,Masters!C$5:C1000,1,false),"")</f>
        <v>3236</v>
      </c>
    </row>
    <row r="203">
      <c r="B203" s="112" t="s">
        <v>1146</v>
      </c>
      <c r="C203" s="113" t="s">
        <v>1744</v>
      </c>
      <c r="D203" s="114">
        <f t="shared" si="1"/>
        <v>3237</v>
      </c>
      <c r="E203" s="115">
        <f>IFNA(vlookup(D203,Masters!C$5:C1000,1,false),"")</f>
        <v>3237</v>
      </c>
    </row>
    <row r="204">
      <c r="B204" s="109" t="s">
        <v>1326</v>
      </c>
      <c r="C204" s="110" t="s">
        <v>1745</v>
      </c>
      <c r="D204" s="111">
        <f t="shared" si="1"/>
        <v>3411</v>
      </c>
      <c r="E204" s="111">
        <f>IFNA(vlookup(D204,Masters!C$5:C1000,1,false),"")</f>
        <v>3411</v>
      </c>
    </row>
    <row r="205">
      <c r="B205" s="109" t="s">
        <v>1401</v>
      </c>
      <c r="C205" s="110" t="s">
        <v>1746</v>
      </c>
      <c r="D205" s="111">
        <f t="shared" si="1"/>
        <v>3413</v>
      </c>
      <c r="E205" s="111">
        <f>IFNA(vlookup(D205,Masters!C$5:C1000,1,false),"")</f>
        <v>3413</v>
      </c>
    </row>
    <row r="206">
      <c r="B206" s="112" t="s">
        <v>1150</v>
      </c>
      <c r="C206" s="113" t="s">
        <v>1747</v>
      </c>
      <c r="D206" s="114">
        <f t="shared" si="1"/>
        <v>3414</v>
      </c>
      <c r="E206" s="115">
        <f>IFNA(vlookup(D206,Masters!C$5:C1000,1,false),"")</f>
        <v>3414</v>
      </c>
    </row>
    <row r="207">
      <c r="B207" s="109" t="s">
        <v>1499</v>
      </c>
      <c r="C207" s="110" t="s">
        <v>1748</v>
      </c>
      <c r="D207" s="111">
        <f t="shared" si="1"/>
        <v>4011</v>
      </c>
      <c r="E207" s="111">
        <f>IFNA(vlookup(D207,Masters!C$5:C1000,1,false),"")</f>
        <v>4011</v>
      </c>
    </row>
    <row r="208">
      <c r="B208" s="112" t="s">
        <v>1406</v>
      </c>
      <c r="C208" s="113" t="s">
        <v>1749</v>
      </c>
      <c r="D208" s="114">
        <f t="shared" si="1"/>
        <v>4012</v>
      </c>
      <c r="E208" s="115">
        <f>IFNA(vlookup(D208,Masters!C$5:C1000,1,false),"")</f>
        <v>4012</v>
      </c>
    </row>
    <row r="209">
      <c r="B209" s="109" t="s">
        <v>1380</v>
      </c>
      <c r="C209" s="110" t="s">
        <v>1750</v>
      </c>
      <c r="D209" s="111">
        <f t="shared" si="1"/>
        <v>4021</v>
      </c>
      <c r="E209" s="111">
        <f>IFNA(vlookup(D209,Masters!C$5:C1000,1,false),"")</f>
        <v>4021</v>
      </c>
    </row>
    <row r="210">
      <c r="B210" s="109" t="s">
        <v>1453</v>
      </c>
      <c r="C210" s="110" t="s">
        <v>1751</v>
      </c>
      <c r="D210" s="111">
        <f t="shared" si="1"/>
        <v>4031</v>
      </c>
      <c r="E210" s="111">
        <f>IFNA(vlookup(D210,Masters!C$5:C1000,1,false),"")</f>
        <v>4031</v>
      </c>
    </row>
    <row r="211">
      <c r="B211" s="109" t="s">
        <v>1237</v>
      </c>
      <c r="C211" s="110" t="s">
        <v>1752</v>
      </c>
      <c r="D211" s="111">
        <f t="shared" si="1"/>
        <v>4032</v>
      </c>
      <c r="E211" s="111">
        <f>IFNA(vlookup(D211,Masters!C$5:C1000,1,false),"")</f>
        <v>4032</v>
      </c>
    </row>
    <row r="212">
      <c r="B212" s="109" t="s">
        <v>1475</v>
      </c>
      <c r="C212" s="110" t="s">
        <v>1753</v>
      </c>
      <c r="D212" s="111">
        <f t="shared" si="1"/>
        <v>4033</v>
      </c>
      <c r="E212" s="111">
        <f>IFNA(vlookup(D212,Masters!C$5:C1000,1,false),"")</f>
        <v>4033</v>
      </c>
    </row>
    <row r="213">
      <c r="B213" s="109" t="s">
        <v>1070</v>
      </c>
      <c r="C213" s="110" t="s">
        <v>1754</v>
      </c>
      <c r="D213" s="111">
        <f t="shared" si="1"/>
        <v>4111</v>
      </c>
      <c r="E213" s="111">
        <f>IFNA(vlookup(D213,Masters!C$5:C1000,1,false),"")</f>
        <v>4111</v>
      </c>
    </row>
    <row r="214">
      <c r="B214" s="109" t="s">
        <v>1512</v>
      </c>
      <c r="C214" s="110" t="s">
        <v>1755</v>
      </c>
      <c r="D214" s="111">
        <f t="shared" si="1"/>
        <v>4112</v>
      </c>
      <c r="E214" s="111">
        <f>IFNA(vlookup(D214,Masters!C$5:C1000,1,false),"")</f>
        <v>4112</v>
      </c>
    </row>
    <row r="215">
      <c r="B215" s="109" t="s">
        <v>1048</v>
      </c>
      <c r="C215" s="110" t="s">
        <v>1756</v>
      </c>
      <c r="D215" s="111">
        <f t="shared" si="1"/>
        <v>4151</v>
      </c>
      <c r="E215" s="111">
        <f>IFNA(vlookup(D215,Masters!C$5:C1000,1,false),"")</f>
        <v>4151</v>
      </c>
    </row>
    <row r="216">
      <c r="B216" s="109" t="s">
        <v>1455</v>
      </c>
      <c r="C216" s="110" t="s">
        <v>1757</v>
      </c>
      <c r="D216" s="111">
        <f t="shared" si="1"/>
        <v>4152</v>
      </c>
      <c r="E216" s="111">
        <f>IFNA(vlookup(D216,Masters!C$5:C1000,1,false),"")</f>
        <v>4152</v>
      </c>
    </row>
    <row r="217">
      <c r="B217" s="109" t="s">
        <v>1477</v>
      </c>
      <c r="C217" s="110" t="s">
        <v>1758</v>
      </c>
      <c r="D217" s="111">
        <f t="shared" si="1"/>
        <v>4153</v>
      </c>
      <c r="E217" s="111">
        <f>IFNA(vlookup(D217,Masters!C$5:C1000,1,false),"")</f>
        <v>4153</v>
      </c>
    </row>
    <row r="218">
      <c r="B218" s="112" t="s">
        <v>1490</v>
      </c>
      <c r="C218" s="113" t="s">
        <v>1759</v>
      </c>
      <c r="D218" s="114">
        <f t="shared" si="1"/>
        <v>4154</v>
      </c>
      <c r="E218" s="115">
        <f>IFNA(vlookup(D218,Masters!C$5:C1000,1,false),"")</f>
        <v>4154</v>
      </c>
    </row>
    <row r="219">
      <c r="B219" s="109" t="s">
        <v>1222</v>
      </c>
      <c r="C219" s="110" t="s">
        <v>1760</v>
      </c>
      <c r="D219" s="111">
        <f t="shared" si="1"/>
        <v>4155</v>
      </c>
      <c r="E219" s="111">
        <f>IFNA(vlookup(D219,Masters!C$5:C1000,1,false),"")</f>
        <v>4155</v>
      </c>
    </row>
    <row r="220">
      <c r="B220" s="109" t="s">
        <v>1476</v>
      </c>
      <c r="C220" s="110" t="s">
        <v>1761</v>
      </c>
      <c r="D220" s="111">
        <f t="shared" si="1"/>
        <v>4156</v>
      </c>
      <c r="E220" s="111">
        <f>IFNA(vlookup(D220,Masters!C$5:C1000,1,false),"")</f>
        <v>4156</v>
      </c>
    </row>
    <row r="221">
      <c r="B221" s="112" t="s">
        <v>1184</v>
      </c>
      <c r="C221" s="113" t="s">
        <v>1762</v>
      </c>
      <c r="D221" s="114">
        <f t="shared" si="1"/>
        <v>4161</v>
      </c>
      <c r="E221" s="115">
        <f>IFNA(vlookup(D221,Masters!C$5:C1000,1,false),"")</f>
        <v>4161</v>
      </c>
    </row>
    <row r="222">
      <c r="B222" s="109" t="s">
        <v>1522</v>
      </c>
      <c r="C222" s="110" t="s">
        <v>1763</v>
      </c>
      <c r="D222" s="111">
        <f t="shared" si="1"/>
        <v>4162</v>
      </c>
      <c r="E222" s="111">
        <f>IFNA(vlookup(D222,Masters!C$5:C1000,1,false),"")</f>
        <v>4162</v>
      </c>
    </row>
    <row r="223">
      <c r="B223" s="109" t="s">
        <v>1470</v>
      </c>
      <c r="C223" s="110" t="s">
        <v>1764</v>
      </c>
      <c r="D223" s="111">
        <f t="shared" si="1"/>
        <v>4163</v>
      </c>
      <c r="E223" s="111">
        <f>IFNA(vlookup(D223,Masters!C$5:C1000,1,false),"")</f>
        <v>4163</v>
      </c>
    </row>
    <row r="224">
      <c r="B224" s="109" t="s">
        <v>1170</v>
      </c>
      <c r="C224" s="110" t="s">
        <v>1765</v>
      </c>
      <c r="D224" s="111">
        <f t="shared" si="1"/>
        <v>4164</v>
      </c>
      <c r="E224" s="111">
        <f>IFNA(vlookup(D224,Masters!C$5:C1000,1,false),"")</f>
        <v>4164</v>
      </c>
    </row>
    <row r="225">
      <c r="B225" s="109" t="s">
        <v>1252</v>
      </c>
      <c r="C225" s="110" t="s">
        <v>1766</v>
      </c>
      <c r="D225" s="111">
        <f t="shared" si="1"/>
        <v>4165</v>
      </c>
      <c r="E225" s="111">
        <f>IFNA(vlookup(D225,Masters!C$5:C1000,1,false),"")</f>
        <v>4165</v>
      </c>
    </row>
    <row r="226">
      <c r="B226" s="109" t="s">
        <v>1236</v>
      </c>
      <c r="C226" s="110" t="s">
        <v>1767</v>
      </c>
      <c r="D226" s="111">
        <f t="shared" si="1"/>
        <v>4166</v>
      </c>
      <c r="E226" s="111">
        <f>IFNA(vlookup(D226,Masters!C$5:C1000,1,false),"")</f>
        <v>4166</v>
      </c>
    </row>
    <row r="227">
      <c r="B227" s="112" t="s">
        <v>1197</v>
      </c>
      <c r="C227" s="113" t="s">
        <v>1768</v>
      </c>
      <c r="D227" s="114">
        <f t="shared" si="1"/>
        <v>4167</v>
      </c>
      <c r="E227" s="115">
        <f>IFNA(vlookup(D227,Masters!C$5:C1000,1,false),"")</f>
        <v>4167</v>
      </c>
    </row>
    <row r="228">
      <c r="B228" s="109" t="s">
        <v>1445</v>
      </c>
      <c r="C228" s="110" t="s">
        <v>1769</v>
      </c>
      <c r="D228" s="111">
        <f t="shared" si="1"/>
        <v>4168</v>
      </c>
      <c r="E228" s="111">
        <f>IFNA(vlookup(D228,Masters!C$5:C1000,1,false),"")</f>
        <v>4168</v>
      </c>
    </row>
    <row r="229">
      <c r="B229" s="109" t="s">
        <v>1504</v>
      </c>
      <c r="C229" s="110" t="s">
        <v>1769</v>
      </c>
      <c r="D229" s="111">
        <f t="shared" si="1"/>
        <v>4168</v>
      </c>
      <c r="E229" s="111">
        <f>IFNA(vlookup(D229,Masters!C$5:C1000,1,false),"")</f>
        <v>4168</v>
      </c>
    </row>
    <row r="230">
      <c r="B230" s="112" t="s">
        <v>1432</v>
      </c>
      <c r="C230" s="113" t="s">
        <v>1770</v>
      </c>
      <c r="D230" s="114">
        <f t="shared" si="1"/>
        <v>4211</v>
      </c>
      <c r="E230" s="115">
        <f>IFNA(vlookup(D230,Masters!C$5:C1000,1,false),"")</f>
        <v>4211</v>
      </c>
    </row>
    <row r="231">
      <c r="B231" s="112" t="s">
        <v>1224</v>
      </c>
      <c r="C231" s="113" t="s">
        <v>1771</v>
      </c>
      <c r="D231" s="114">
        <f t="shared" si="1"/>
        <v>4212</v>
      </c>
      <c r="E231" s="115">
        <f>IFNA(vlookup(D231,Masters!C$5:C1000,1,false),"")</f>
        <v>4212</v>
      </c>
    </row>
    <row r="232">
      <c r="B232" s="109" t="s">
        <v>1235</v>
      </c>
      <c r="C232" s="110" t="s">
        <v>1772</v>
      </c>
      <c r="D232" s="111">
        <f t="shared" si="1"/>
        <v>4214</v>
      </c>
      <c r="E232" s="111">
        <f>IFNA(vlookup(D232,Masters!C$5:C1000,1,false),"")</f>
        <v>4214</v>
      </c>
    </row>
    <row r="233">
      <c r="B233" s="112" t="s">
        <v>1332</v>
      </c>
      <c r="C233" s="113" t="s">
        <v>1773</v>
      </c>
      <c r="D233" s="114">
        <f t="shared" si="1"/>
        <v>4215</v>
      </c>
      <c r="E233" s="115">
        <f>IFNA(vlookup(D233,Masters!C$5:C1000,1,false),"")</f>
        <v>4215</v>
      </c>
    </row>
    <row r="234">
      <c r="B234" s="112" t="s">
        <v>1285</v>
      </c>
      <c r="C234" s="113" t="s">
        <v>1774</v>
      </c>
      <c r="D234" s="114">
        <f t="shared" si="1"/>
        <v>4216</v>
      </c>
      <c r="E234" s="115">
        <f>IFNA(vlookup(D234,Masters!C$5:C1000,1,false),"")</f>
        <v>4216</v>
      </c>
    </row>
    <row r="235">
      <c r="B235" s="109" t="s">
        <v>1494</v>
      </c>
      <c r="C235" s="110" t="s">
        <v>1775</v>
      </c>
      <c r="D235" s="111">
        <f t="shared" si="1"/>
        <v>4217</v>
      </c>
      <c r="E235" s="111">
        <f>IFNA(vlookup(D235,Masters!C$5:C1000,1,false),"")</f>
        <v>4217</v>
      </c>
    </row>
    <row r="236">
      <c r="B236" s="109" t="s">
        <v>1352</v>
      </c>
      <c r="C236" s="110" t="s">
        <v>1776</v>
      </c>
      <c r="D236" s="111">
        <f t="shared" si="1"/>
        <v>4311</v>
      </c>
      <c r="E236" s="111">
        <f>IFNA(vlookup(D236,Masters!C$5:C1000,1,false),"")</f>
        <v>4311</v>
      </c>
    </row>
    <row r="237">
      <c r="B237" s="109" t="s">
        <v>612</v>
      </c>
      <c r="C237" s="110" t="s">
        <v>1777</v>
      </c>
      <c r="D237" s="111">
        <f t="shared" si="1"/>
        <v>4312</v>
      </c>
      <c r="E237" s="111">
        <f>IFNA(vlookup(D237,Masters!C$5:C1000,1,false),"")</f>
        <v>4312</v>
      </c>
    </row>
    <row r="238">
      <c r="B238" s="112" t="s">
        <v>1309</v>
      </c>
      <c r="C238" s="113" t="s">
        <v>1778</v>
      </c>
      <c r="D238" s="114">
        <f t="shared" si="1"/>
        <v>4313</v>
      </c>
      <c r="E238" s="115">
        <f>IFNA(vlookup(D238,Masters!C$5:C1000,1,false),"")</f>
        <v>4313</v>
      </c>
    </row>
    <row r="239">
      <c r="B239" s="112" t="s">
        <v>1214</v>
      </c>
      <c r="C239" s="113" t="s">
        <v>1779</v>
      </c>
      <c r="D239" s="114">
        <f t="shared" si="1"/>
        <v>4411</v>
      </c>
      <c r="E239" s="115">
        <f>IFNA(vlookup(D239,Masters!C$5:C1000,1,false),"")</f>
        <v>4411</v>
      </c>
    </row>
    <row r="240">
      <c r="B240" s="109" t="s">
        <v>1225</v>
      </c>
      <c r="C240" s="110" t="s">
        <v>1780</v>
      </c>
      <c r="D240" s="111">
        <f t="shared" si="1"/>
        <v>4412</v>
      </c>
      <c r="E240" s="111">
        <f>IFNA(vlookup(D240,Masters!C$5:C1000,1,false),"")</f>
        <v>4412</v>
      </c>
    </row>
    <row r="241">
      <c r="B241" s="109" t="s">
        <v>112</v>
      </c>
      <c r="C241" s="110" t="s">
        <v>1781</v>
      </c>
      <c r="D241" s="111">
        <f t="shared" si="1"/>
        <v>4413</v>
      </c>
      <c r="E241" s="111">
        <f>IFNA(vlookup(D241,Masters!C$5:C1000,1,false),"")</f>
        <v>4413</v>
      </c>
    </row>
    <row r="242">
      <c r="B242" s="109" t="s">
        <v>1198</v>
      </c>
      <c r="C242" s="110" t="s">
        <v>1782</v>
      </c>
      <c r="D242" s="111">
        <f t="shared" si="1"/>
        <v>4421</v>
      </c>
      <c r="E242" s="111">
        <f>IFNA(vlookup(D242,Masters!C$5:C1000,1,false),"")</f>
        <v>4421</v>
      </c>
    </row>
    <row r="243">
      <c r="B243" s="109" t="s">
        <v>1387</v>
      </c>
      <c r="C243" s="110" t="s">
        <v>1783</v>
      </c>
      <c r="D243" s="111">
        <f t="shared" si="1"/>
        <v>4422</v>
      </c>
      <c r="E243" s="111">
        <f>IFNA(vlookup(D243,Masters!C$5:C1000,1,false),"")</f>
        <v>4422</v>
      </c>
    </row>
    <row r="244">
      <c r="B244" s="112" t="s">
        <v>1218</v>
      </c>
      <c r="C244" s="113" t="s">
        <v>1784</v>
      </c>
      <c r="D244" s="114">
        <f t="shared" si="1"/>
        <v>4423</v>
      </c>
      <c r="E244" s="115">
        <f>IFNA(vlookup(D244,Masters!C$5:C1000,1,false),"")</f>
        <v>4423</v>
      </c>
    </row>
    <row r="245">
      <c r="B245" s="109" t="s">
        <v>859</v>
      </c>
      <c r="C245" s="110" t="s">
        <v>1785</v>
      </c>
      <c r="D245" s="111">
        <f t="shared" si="1"/>
        <v>5111</v>
      </c>
      <c r="E245" s="111">
        <f>IFNA(vlookup(D245,Masters!C$5:C1000,1,false),"")</f>
        <v>5111</v>
      </c>
    </row>
    <row r="246">
      <c r="B246" s="109" t="s">
        <v>1092</v>
      </c>
      <c r="C246" s="110" t="s">
        <v>1786</v>
      </c>
      <c r="D246" s="111">
        <f t="shared" si="1"/>
        <v>5112</v>
      </c>
      <c r="E246" s="111">
        <f>IFNA(vlookup(D246,Masters!C$5:C1000,1,false),"")</f>
        <v>5112</v>
      </c>
    </row>
    <row r="247">
      <c r="B247" s="109" t="s">
        <v>365</v>
      </c>
      <c r="C247" s="110" t="s">
        <v>1787</v>
      </c>
      <c r="D247" s="111">
        <f t="shared" si="1"/>
        <v>5113</v>
      </c>
      <c r="E247" s="111">
        <f>IFNA(vlookup(D247,Masters!C$5:C1000,1,false),"")</f>
        <v>5113</v>
      </c>
    </row>
    <row r="248">
      <c r="B248" s="112" t="s">
        <v>1229</v>
      </c>
      <c r="C248" s="113" t="s">
        <v>1788</v>
      </c>
      <c r="D248" s="114">
        <f t="shared" si="1"/>
        <v>5121</v>
      </c>
      <c r="E248" s="115">
        <f>IFNA(vlookup(D248,Masters!C$5:C1000,1,false),"")</f>
        <v>5121</v>
      </c>
    </row>
    <row r="249">
      <c r="B249" s="109" t="s">
        <v>396</v>
      </c>
      <c r="C249" s="110" t="s">
        <v>1789</v>
      </c>
      <c r="D249" s="111">
        <f t="shared" si="1"/>
        <v>5122</v>
      </c>
      <c r="E249" s="111">
        <f>IFNA(vlookup(D249,Masters!C$5:C1000,1,false),"")</f>
        <v>5122</v>
      </c>
    </row>
    <row r="250">
      <c r="B250" s="109" t="s">
        <v>972</v>
      </c>
      <c r="C250" s="110" t="s">
        <v>1790</v>
      </c>
      <c r="D250" s="111">
        <f t="shared" si="1"/>
        <v>5123</v>
      </c>
      <c r="E250" s="111">
        <f>IFNA(vlookup(D250,Masters!C$5:C1000,1,false),"")</f>
        <v>5123</v>
      </c>
    </row>
    <row r="251">
      <c r="B251" s="109" t="s">
        <v>1257</v>
      </c>
      <c r="C251" s="110" t="s">
        <v>1791</v>
      </c>
      <c r="D251" s="111">
        <f t="shared" si="1"/>
        <v>5125</v>
      </c>
      <c r="E251" s="111">
        <f>IFNA(vlookup(D251,Masters!C$5:C1000,1,false),"")</f>
        <v>5125</v>
      </c>
    </row>
    <row r="252">
      <c r="B252" s="109" t="s">
        <v>1318</v>
      </c>
      <c r="C252" s="110" t="s">
        <v>1792</v>
      </c>
      <c r="D252" s="111">
        <f t="shared" si="1"/>
        <v>5131</v>
      </c>
      <c r="E252" s="111">
        <f>IFNA(vlookup(D252,Masters!C$5:C1000,1,false),"")</f>
        <v>5131</v>
      </c>
    </row>
    <row r="253">
      <c r="B253" s="109" t="s">
        <v>1090</v>
      </c>
      <c r="C253" s="110" t="s">
        <v>1793</v>
      </c>
      <c r="D253" s="111">
        <f t="shared" si="1"/>
        <v>5132</v>
      </c>
      <c r="E253" s="111">
        <f>IFNA(vlookup(D253,Masters!C$5:C1000,1,false),"")</f>
        <v>5132</v>
      </c>
    </row>
    <row r="254">
      <c r="B254" s="109" t="s">
        <v>1142</v>
      </c>
      <c r="C254" s="110" t="s">
        <v>1794</v>
      </c>
      <c r="D254" s="111">
        <f t="shared" si="1"/>
        <v>5133</v>
      </c>
      <c r="E254" s="111">
        <f>IFNA(vlookup(D254,Masters!C$5:C1000,1,false),"")</f>
        <v>5133</v>
      </c>
    </row>
    <row r="255">
      <c r="B255" s="109" t="s">
        <v>438</v>
      </c>
      <c r="C255" s="110" t="s">
        <v>1795</v>
      </c>
      <c r="D255" s="111">
        <f t="shared" si="1"/>
        <v>5134</v>
      </c>
      <c r="E255" s="111">
        <f>IFNA(vlookup(D255,Masters!C$5:C1000,1,false),"")</f>
        <v>5134</v>
      </c>
    </row>
    <row r="256">
      <c r="B256" s="109" t="s">
        <v>1370</v>
      </c>
      <c r="C256" s="110" t="s">
        <v>1796</v>
      </c>
      <c r="D256" s="111">
        <f t="shared" si="1"/>
        <v>5135</v>
      </c>
      <c r="E256" s="111">
        <f>IFNA(vlookup(D256,Masters!C$5:C1000,1,false),"")</f>
        <v>5135</v>
      </c>
    </row>
    <row r="257">
      <c r="B257" s="109" t="s">
        <v>1290</v>
      </c>
      <c r="C257" s="110" t="s">
        <v>1797</v>
      </c>
      <c r="D257" s="111">
        <f t="shared" si="1"/>
        <v>5136</v>
      </c>
      <c r="E257" s="111">
        <f>IFNA(vlookup(D257,Masters!C$5:C1000,1,false),"")</f>
        <v>5136</v>
      </c>
    </row>
    <row r="258">
      <c r="B258" s="112" t="s">
        <v>1212</v>
      </c>
      <c r="C258" s="113" t="s">
        <v>1798</v>
      </c>
      <c r="D258" s="114">
        <f t="shared" si="1"/>
        <v>5211</v>
      </c>
      <c r="E258" s="115">
        <f>IFNA(vlookup(D258,Masters!C$5:C1000,1,false),"")</f>
        <v>5211</v>
      </c>
    </row>
    <row r="259">
      <c r="B259" s="112" t="s">
        <v>1091</v>
      </c>
      <c r="C259" s="113" t="s">
        <v>1799</v>
      </c>
      <c r="D259" s="114">
        <f t="shared" si="1"/>
        <v>5212</v>
      </c>
      <c r="E259" s="115">
        <f>IFNA(vlookup(D259,Masters!C$5:C1000,1,false),"")</f>
        <v>5212</v>
      </c>
    </row>
    <row r="260">
      <c r="B260" s="109" t="s">
        <v>255</v>
      </c>
      <c r="C260" s="110" t="s">
        <v>1800</v>
      </c>
      <c r="D260" s="111">
        <f t="shared" si="1"/>
        <v>5221</v>
      </c>
      <c r="E260" s="111">
        <f>IFNA(vlookup(D260,Masters!C$5:C1000,1,false),"")</f>
        <v>5221</v>
      </c>
    </row>
    <row r="261">
      <c r="B261" s="109" t="s">
        <v>1299</v>
      </c>
      <c r="C261" s="110" t="s">
        <v>1801</v>
      </c>
      <c r="D261" s="111">
        <f t="shared" si="1"/>
        <v>5222</v>
      </c>
      <c r="E261" s="111">
        <f>IFNA(vlookup(D261,Masters!C$5:C1000,1,false),"")</f>
        <v>5222</v>
      </c>
    </row>
    <row r="262">
      <c r="B262" s="109" t="s">
        <v>1301</v>
      </c>
      <c r="C262" s="110" t="s">
        <v>1802</v>
      </c>
      <c r="D262" s="111">
        <f t="shared" si="1"/>
        <v>5223</v>
      </c>
      <c r="E262" s="111">
        <f>IFNA(vlookup(D262,Masters!C$5:C1000,1,false),"")</f>
        <v>5223</v>
      </c>
    </row>
    <row r="263">
      <c r="B263" s="109" t="s">
        <v>1292</v>
      </c>
      <c r="C263" s="110" t="s">
        <v>1803</v>
      </c>
      <c r="D263" s="111">
        <f t="shared" si="1"/>
        <v>5224</v>
      </c>
      <c r="E263" s="111">
        <f>IFNA(vlookup(D263,Masters!C$5:C1000,1,false),"")</f>
        <v>5224</v>
      </c>
    </row>
    <row r="264">
      <c r="B264" s="109" t="s">
        <v>1080</v>
      </c>
      <c r="C264" s="110" t="s">
        <v>1804</v>
      </c>
      <c r="D264" s="111">
        <f t="shared" si="1"/>
        <v>5225</v>
      </c>
      <c r="E264" s="111">
        <f>IFNA(vlookup(D264,Masters!C$5:C1000,1,false),"")</f>
        <v>5225</v>
      </c>
    </row>
    <row r="265">
      <c r="B265" s="112" t="s">
        <v>120</v>
      </c>
      <c r="C265" s="113" t="s">
        <v>1805</v>
      </c>
      <c r="D265" s="114">
        <f t="shared" si="1"/>
        <v>5226</v>
      </c>
      <c r="E265" s="115">
        <f>IFNA(vlookup(D265,Masters!C$5:C1000,1,false),"")</f>
        <v>5226</v>
      </c>
    </row>
    <row r="266">
      <c r="B266" s="112" t="s">
        <v>1108</v>
      </c>
      <c r="C266" s="113" t="s">
        <v>1806</v>
      </c>
      <c r="D266" s="114">
        <f t="shared" si="1"/>
        <v>5227</v>
      </c>
      <c r="E266" s="115">
        <f>IFNA(vlookup(D266,Masters!C$5:C1000,1,false),"")</f>
        <v>5227</v>
      </c>
    </row>
    <row r="267">
      <c r="B267" s="109" t="s">
        <v>1468</v>
      </c>
      <c r="C267" s="110" t="s">
        <v>1807</v>
      </c>
      <c r="D267" s="111">
        <f t="shared" si="1"/>
        <v>5231</v>
      </c>
      <c r="E267" s="111">
        <f>IFNA(vlookup(D267,Masters!C$5:C1000,1,false),"")</f>
        <v>5231</v>
      </c>
    </row>
    <row r="268">
      <c r="B268" s="112" t="s">
        <v>1086</v>
      </c>
      <c r="C268" s="113" t="s">
        <v>1808</v>
      </c>
      <c r="D268" s="114">
        <f t="shared" si="1"/>
        <v>5232</v>
      </c>
      <c r="E268" s="115">
        <f>IFNA(vlookup(D268,Masters!C$5:C1000,1,false),"")</f>
        <v>5232</v>
      </c>
    </row>
    <row r="269">
      <c r="B269" s="109" t="s">
        <v>1278</v>
      </c>
      <c r="C269" s="110" t="s">
        <v>1809</v>
      </c>
      <c r="D269" s="111">
        <f t="shared" si="1"/>
        <v>5241</v>
      </c>
      <c r="E269" s="111">
        <f>IFNA(vlookup(D269,Masters!C$5:C1000,1,false),"")</f>
        <v>5241</v>
      </c>
    </row>
    <row r="270">
      <c r="B270" s="109" t="s">
        <v>1303</v>
      </c>
      <c r="C270" s="110" t="s">
        <v>1810</v>
      </c>
      <c r="D270" s="111">
        <f t="shared" si="1"/>
        <v>5242</v>
      </c>
      <c r="E270" s="111">
        <f>IFNA(vlookup(D270,Masters!C$5:C1000,1,false),"")</f>
        <v>5242</v>
      </c>
    </row>
    <row r="271">
      <c r="B271" s="112" t="s">
        <v>1275</v>
      </c>
      <c r="C271" s="113" t="s">
        <v>1811</v>
      </c>
      <c r="D271" s="114">
        <f t="shared" si="1"/>
        <v>5243</v>
      </c>
      <c r="E271" s="115">
        <f>IFNA(vlookup(D271,Masters!C$5:C1000,1,false),"")</f>
        <v>5243</v>
      </c>
    </row>
    <row r="272">
      <c r="B272" s="112" t="s">
        <v>1265</v>
      </c>
      <c r="C272" s="113" t="s">
        <v>1812</v>
      </c>
      <c r="D272" s="114">
        <f t="shared" si="1"/>
        <v>5244</v>
      </c>
      <c r="E272" s="115">
        <f>IFNA(vlookup(D272,Masters!C$5:C1000,1,false),"")</f>
        <v>5244</v>
      </c>
    </row>
    <row r="273">
      <c r="B273" s="112" t="s">
        <v>1310</v>
      </c>
      <c r="C273" s="113" t="s">
        <v>1813</v>
      </c>
      <c r="D273" s="114">
        <f t="shared" si="1"/>
        <v>5245</v>
      </c>
      <c r="E273" s="115">
        <f>IFNA(vlookup(D273,Masters!C$5:C1000,1,false),"")</f>
        <v>5245</v>
      </c>
    </row>
    <row r="274">
      <c r="B274" s="109" t="s">
        <v>440</v>
      </c>
      <c r="C274" s="110" t="s">
        <v>1814</v>
      </c>
      <c r="D274" s="111">
        <f t="shared" si="1"/>
        <v>5251</v>
      </c>
      <c r="E274" s="111">
        <f>IFNA(vlookup(D274,Masters!C$5:C1000,1,false),"")</f>
        <v>5251</v>
      </c>
    </row>
    <row r="275">
      <c r="B275" s="109" t="s">
        <v>507</v>
      </c>
      <c r="C275" s="110" t="s">
        <v>1815</v>
      </c>
      <c r="D275" s="111">
        <f t="shared" si="1"/>
        <v>5252</v>
      </c>
      <c r="E275" s="111">
        <f>IFNA(vlookup(D275,Masters!C$5:C1000,1,false),"")</f>
        <v>5252</v>
      </c>
    </row>
    <row r="276">
      <c r="B276" s="109" t="s">
        <v>1356</v>
      </c>
      <c r="C276" s="110" t="s">
        <v>1816</v>
      </c>
      <c r="D276" s="111">
        <f t="shared" si="1"/>
        <v>5253</v>
      </c>
      <c r="E276" s="111">
        <f>IFNA(vlookup(D276,Masters!C$5:C1000,1,false),"")</f>
        <v>5253</v>
      </c>
    </row>
    <row r="277">
      <c r="B277" s="112" t="s">
        <v>1311</v>
      </c>
      <c r="C277" s="113" t="s">
        <v>1817</v>
      </c>
      <c r="D277" s="114">
        <f t="shared" si="1"/>
        <v>5254</v>
      </c>
      <c r="E277" s="115">
        <f>IFNA(vlookup(D277,Masters!C$5:C1000,1,false),"")</f>
        <v>5254</v>
      </c>
    </row>
    <row r="278">
      <c r="B278" s="112" t="s">
        <v>1451</v>
      </c>
      <c r="C278" s="113" t="s">
        <v>1818</v>
      </c>
      <c r="D278" s="114">
        <f t="shared" si="1"/>
        <v>6211</v>
      </c>
      <c r="E278" s="115">
        <f>IFNA(vlookup(D278,Masters!C$5:C1000,1,false),"")</f>
        <v>6211</v>
      </c>
    </row>
    <row r="279">
      <c r="B279" s="109" t="s">
        <v>1251</v>
      </c>
      <c r="C279" s="110" t="s">
        <v>1819</v>
      </c>
      <c r="D279" s="111">
        <f t="shared" si="1"/>
        <v>6221</v>
      </c>
      <c r="E279" s="111">
        <f>IFNA(vlookup(D279,Masters!C$5:C1000,1,false),"")</f>
        <v>6221</v>
      </c>
    </row>
    <row r="280">
      <c r="B280" s="109" t="s">
        <v>1411</v>
      </c>
      <c r="C280" s="110" t="s">
        <v>1820</v>
      </c>
      <c r="D280" s="111">
        <f t="shared" si="1"/>
        <v>6222</v>
      </c>
      <c r="E280" s="111">
        <f>IFNA(vlookup(D280,Masters!C$5:C1000,1,false),"")</f>
        <v>6222</v>
      </c>
    </row>
    <row r="281">
      <c r="B281" s="109" t="s">
        <v>1256</v>
      </c>
      <c r="C281" s="110" t="s">
        <v>1821</v>
      </c>
      <c r="D281" s="111">
        <f t="shared" si="1"/>
        <v>6231</v>
      </c>
      <c r="E281" s="111">
        <f>IFNA(vlookup(D281,Masters!C$5:C1000,1,false),"")</f>
        <v>6231</v>
      </c>
    </row>
    <row r="282">
      <c r="B282" s="109" t="s">
        <v>1447</v>
      </c>
      <c r="C282" s="110" t="s">
        <v>1822</v>
      </c>
      <c r="D282" s="111">
        <f t="shared" si="1"/>
        <v>6232</v>
      </c>
      <c r="E282" s="111">
        <f>IFNA(vlookup(D282,Masters!C$5:C1000,1,false),"")</f>
        <v>6232</v>
      </c>
    </row>
    <row r="283">
      <c r="B283" s="112" t="s">
        <v>1484</v>
      </c>
      <c r="C283" s="113" t="s">
        <v>1823</v>
      </c>
      <c r="D283" s="114">
        <f t="shared" si="1"/>
        <v>6235</v>
      </c>
      <c r="E283" s="115">
        <f>IFNA(vlookup(D283,Masters!C$5:C1000,1,false),"")</f>
        <v>6235</v>
      </c>
    </row>
    <row r="284">
      <c r="B284" s="109" t="s">
        <v>1247</v>
      </c>
      <c r="C284" s="110" t="s">
        <v>1824</v>
      </c>
      <c r="D284" s="111">
        <f t="shared" si="1"/>
        <v>6311</v>
      </c>
      <c r="E284" s="111">
        <f>IFNA(vlookup(D284,Masters!C$5:C1000,1,false),"")</f>
        <v>6311</v>
      </c>
    </row>
    <row r="285">
      <c r="B285" s="109" t="s">
        <v>1242</v>
      </c>
      <c r="C285" s="110" t="s">
        <v>1825</v>
      </c>
      <c r="D285" s="111">
        <f t="shared" si="1"/>
        <v>6312</v>
      </c>
      <c r="E285" s="111">
        <f>IFNA(vlookup(D285,Masters!C$5:C1000,1,false),"")</f>
        <v>6312</v>
      </c>
    </row>
    <row r="286">
      <c r="B286" s="112" t="s">
        <v>1187</v>
      </c>
      <c r="C286" s="113" t="s">
        <v>1826</v>
      </c>
      <c r="D286" s="114">
        <f t="shared" si="1"/>
        <v>6313</v>
      </c>
      <c r="E286" s="115">
        <f>IFNA(vlookup(D286,Masters!C$5:C1000,1,false),"")</f>
        <v>6313</v>
      </c>
    </row>
    <row r="287">
      <c r="B287" s="112" t="s">
        <v>1230</v>
      </c>
      <c r="C287" s="113" t="s">
        <v>1827</v>
      </c>
      <c r="D287" s="114">
        <f t="shared" si="1"/>
        <v>6314</v>
      </c>
      <c r="E287" s="115">
        <f>IFNA(vlookup(D287,Masters!C$5:C1000,1,false),"")</f>
        <v>6314</v>
      </c>
    </row>
    <row r="288">
      <c r="B288" s="109" t="s">
        <v>1223</v>
      </c>
      <c r="C288" s="110" t="s">
        <v>1828</v>
      </c>
      <c r="D288" s="111">
        <f t="shared" si="1"/>
        <v>6315</v>
      </c>
      <c r="E288" s="111">
        <f>IFNA(vlookup(D288,Masters!C$5:C1000,1,false),"")</f>
        <v>6315</v>
      </c>
    </row>
    <row r="289">
      <c r="B289" s="112" t="s">
        <v>1438</v>
      </c>
      <c r="C289" s="113" t="s">
        <v>1829</v>
      </c>
      <c r="D289" s="114">
        <f t="shared" si="1"/>
        <v>6316</v>
      </c>
      <c r="E289" s="115">
        <f>IFNA(vlookup(D289,Masters!C$5:C1000,1,false),"")</f>
        <v>6316</v>
      </c>
    </row>
    <row r="290">
      <c r="B290" s="112" t="s">
        <v>1241</v>
      </c>
      <c r="C290" s="113" t="s">
        <v>1830</v>
      </c>
      <c r="D290" s="114">
        <f t="shared" si="1"/>
        <v>6321</v>
      </c>
      <c r="E290" s="115">
        <f>IFNA(vlookup(D290,Masters!C$5:C1000,1,false),"")</f>
        <v>6321</v>
      </c>
    </row>
    <row r="291">
      <c r="B291" s="109" t="s">
        <v>725</v>
      </c>
      <c r="C291" s="110" t="s">
        <v>1831</v>
      </c>
      <c r="D291" s="111">
        <f t="shared" si="1"/>
        <v>6322</v>
      </c>
      <c r="E291" s="111">
        <f>IFNA(vlookup(D291,Masters!C$5:C1000,1,false),"")</f>
        <v>6322</v>
      </c>
    </row>
    <row r="292">
      <c r="B292" s="112" t="s">
        <v>1296</v>
      </c>
      <c r="C292" s="113" t="s">
        <v>1832</v>
      </c>
      <c r="D292" s="114">
        <f t="shared" si="1"/>
        <v>6331</v>
      </c>
      <c r="E292" s="115">
        <f>IFNA(vlookup(D292,Masters!C$5:C1000,1,false),"")</f>
        <v>6331</v>
      </c>
    </row>
    <row r="293">
      <c r="B293" s="109" t="s">
        <v>160</v>
      </c>
      <c r="C293" s="110" t="s">
        <v>1833</v>
      </c>
      <c r="D293" s="111">
        <f t="shared" si="1"/>
        <v>6332</v>
      </c>
      <c r="E293" s="111">
        <f>IFNA(vlookup(D293,Masters!C$5:C1000,1,false),"")</f>
        <v>6332</v>
      </c>
    </row>
    <row r="294">
      <c r="B294" s="109" t="s">
        <v>1081</v>
      </c>
      <c r="C294" s="110" t="s">
        <v>1834</v>
      </c>
      <c r="D294" s="111">
        <f t="shared" si="1"/>
        <v>6341</v>
      </c>
      <c r="E294" s="111">
        <f>IFNA(vlookup(D294,Masters!C$5:C1000,1,false),"")</f>
        <v>6341</v>
      </c>
    </row>
    <row r="295">
      <c r="B295" s="109" t="s">
        <v>1104</v>
      </c>
      <c r="C295" s="110" t="s">
        <v>1835</v>
      </c>
      <c r="D295" s="111">
        <f t="shared" si="1"/>
        <v>6342</v>
      </c>
      <c r="E295" s="111">
        <f>IFNA(vlookup(D295,Masters!C$5:C1000,1,false),"")</f>
        <v>6342</v>
      </c>
    </row>
    <row r="296">
      <c r="B296" s="109" t="s">
        <v>1157</v>
      </c>
      <c r="C296" s="110" t="s">
        <v>1836</v>
      </c>
      <c r="D296" s="111">
        <f t="shared" si="1"/>
        <v>6343</v>
      </c>
      <c r="E296" s="111">
        <f>IFNA(vlookup(D296,Masters!C$5:C1000,1,false),"")</f>
        <v>6343</v>
      </c>
    </row>
    <row r="297">
      <c r="B297" s="109" t="s">
        <v>1162</v>
      </c>
      <c r="C297" s="110" t="s">
        <v>1837</v>
      </c>
      <c r="D297" s="111">
        <f t="shared" si="1"/>
        <v>6344</v>
      </c>
      <c r="E297" s="111">
        <f>IFNA(vlookup(D297,Masters!C$5:C1000,1,false),"")</f>
        <v>6344</v>
      </c>
    </row>
    <row r="298">
      <c r="B298" s="109" t="s">
        <v>564</v>
      </c>
      <c r="C298" s="110" t="s">
        <v>1838</v>
      </c>
      <c r="D298" s="111">
        <f t="shared" si="1"/>
        <v>6345</v>
      </c>
      <c r="E298" s="111">
        <f>IFNA(vlookup(D298,Masters!C$5:C1000,1,false),"")</f>
        <v>6345</v>
      </c>
    </row>
    <row r="299">
      <c r="B299" s="109" t="s">
        <v>1279</v>
      </c>
      <c r="C299" s="110" t="s">
        <v>1839</v>
      </c>
      <c r="D299" s="111">
        <f t="shared" si="1"/>
        <v>6346</v>
      </c>
      <c r="E299" s="111">
        <f>IFNA(vlookup(D299,Masters!C$5:C1000,1,false),"")</f>
        <v>6346</v>
      </c>
    </row>
    <row r="300">
      <c r="B300" s="112" t="s">
        <v>1452</v>
      </c>
      <c r="C300" s="113" t="s">
        <v>1840</v>
      </c>
      <c r="D300" s="114">
        <f t="shared" si="1"/>
        <v>6411</v>
      </c>
      <c r="E300" s="115">
        <f>IFNA(vlookup(D300,Masters!C$5:C1000,1,false),"")</f>
        <v>6411</v>
      </c>
    </row>
    <row r="301">
      <c r="B301" s="112" t="s">
        <v>1450</v>
      </c>
      <c r="C301" s="113" t="s">
        <v>1841</v>
      </c>
      <c r="D301" s="114">
        <f t="shared" si="1"/>
        <v>6421</v>
      </c>
      <c r="E301" s="115">
        <f>IFNA(vlookup(D301,Masters!C$5:C1000,1,false),"")</f>
        <v>6421</v>
      </c>
    </row>
    <row r="302">
      <c r="B302" s="112" t="s">
        <v>1842</v>
      </c>
      <c r="C302" s="113" t="s">
        <v>1843</v>
      </c>
      <c r="D302" s="114">
        <f t="shared" si="1"/>
        <v>6511</v>
      </c>
      <c r="E302" s="115">
        <f>IFNA(vlookup(D302,Masters!C$5:C1000,1,false),"")</f>
        <v>6511</v>
      </c>
    </row>
    <row r="303">
      <c r="B303" s="109" t="s">
        <v>828</v>
      </c>
      <c r="C303" s="110" t="s">
        <v>1844</v>
      </c>
      <c r="D303" s="111">
        <f t="shared" si="1"/>
        <v>6512</v>
      </c>
      <c r="E303" s="111">
        <f>IFNA(vlookup(D303,Masters!C$5:C1000,1,false),"")</f>
        <v>6512</v>
      </c>
    </row>
    <row r="304">
      <c r="B304" s="109" t="s">
        <v>1245</v>
      </c>
      <c r="C304" s="110" t="s">
        <v>1845</v>
      </c>
      <c r="D304" s="111">
        <f t="shared" si="1"/>
        <v>6513</v>
      </c>
      <c r="E304" s="111">
        <f>IFNA(vlookup(D304,Masters!C$5:C1000,1,false),"")</f>
        <v>6513</v>
      </c>
    </row>
    <row r="305">
      <c r="B305" s="109" t="s">
        <v>1207</v>
      </c>
      <c r="C305" s="110" t="s">
        <v>1846</v>
      </c>
      <c r="D305" s="111">
        <f t="shared" si="1"/>
        <v>6521</v>
      </c>
      <c r="E305" s="111">
        <f>IFNA(vlookup(D305,Masters!C$5:C1000,1,false),"")</f>
        <v>6521</v>
      </c>
    </row>
    <row r="306">
      <c r="B306" s="109" t="s">
        <v>1199</v>
      </c>
      <c r="C306" s="110" t="s">
        <v>1847</v>
      </c>
      <c r="D306" s="111">
        <f t="shared" si="1"/>
        <v>6522</v>
      </c>
      <c r="E306" s="111">
        <f>IFNA(vlookup(D306,Masters!C$5:C1000,1,false),"")</f>
        <v>6522</v>
      </c>
    </row>
    <row r="307">
      <c r="B307" s="112" t="s">
        <v>1467</v>
      </c>
      <c r="C307" s="113" t="s">
        <v>1848</v>
      </c>
      <c r="D307" s="114">
        <f t="shared" si="1"/>
        <v>6523</v>
      </c>
      <c r="E307" s="115">
        <f>IFNA(vlookup(D307,Masters!C$5:C1000,1,false),"")</f>
        <v>6523</v>
      </c>
    </row>
    <row r="308">
      <c r="B308" s="112" t="s">
        <v>1220</v>
      </c>
      <c r="C308" s="113" t="s">
        <v>1849</v>
      </c>
      <c r="D308" s="114">
        <f t="shared" si="1"/>
        <v>6524</v>
      </c>
      <c r="E308" s="115">
        <f>IFNA(vlookup(D308,Masters!C$5:C1000,1,false),"")</f>
        <v>6524</v>
      </c>
    </row>
    <row r="309">
      <c r="B309" s="109" t="s">
        <v>1253</v>
      </c>
      <c r="C309" s="110" t="s">
        <v>1850</v>
      </c>
      <c r="D309" s="111">
        <f t="shared" si="1"/>
        <v>6525</v>
      </c>
      <c r="E309" s="111">
        <f>IFNA(vlookup(D309,Masters!C$5:C1000,1,false),"")</f>
        <v>6525</v>
      </c>
    </row>
    <row r="310">
      <c r="B310" s="109" t="s">
        <v>1463</v>
      </c>
      <c r="C310" s="110" t="s">
        <v>1851</v>
      </c>
      <c r="D310" s="111">
        <f t="shared" si="1"/>
        <v>6531</v>
      </c>
      <c r="E310" s="111">
        <f>IFNA(vlookup(D310,Masters!C$5:C1000,1,false),"")</f>
        <v>6531</v>
      </c>
    </row>
    <row r="311">
      <c r="B311" s="109" t="s">
        <v>1147</v>
      </c>
      <c r="C311" s="110" t="s">
        <v>1852</v>
      </c>
      <c r="D311" s="111">
        <f t="shared" si="1"/>
        <v>6532</v>
      </c>
      <c r="E311" s="111">
        <f>IFNA(vlookup(D311,Masters!C$5:C1000,1,false),"")</f>
        <v>6532</v>
      </c>
    </row>
    <row r="312">
      <c r="B312" s="112" t="s">
        <v>1248</v>
      </c>
      <c r="C312" s="113" t="s">
        <v>1853</v>
      </c>
      <c r="D312" s="114">
        <f t="shared" si="1"/>
        <v>6533</v>
      </c>
      <c r="E312" s="115">
        <f>IFNA(vlookup(D312,Masters!C$5:C1000,1,false),"")</f>
        <v>6533</v>
      </c>
    </row>
    <row r="313">
      <c r="B313" s="112" t="s">
        <v>1195</v>
      </c>
      <c r="C313" s="113" t="s">
        <v>1854</v>
      </c>
      <c r="D313" s="114">
        <f t="shared" si="1"/>
        <v>6541</v>
      </c>
      <c r="E313" s="115">
        <f>IFNA(vlookup(D313,Masters!C$5:C1000,1,false),"")</f>
        <v>6541</v>
      </c>
    </row>
    <row r="314">
      <c r="B314" s="112" t="s">
        <v>1232</v>
      </c>
      <c r="C314" s="113" t="s">
        <v>1855</v>
      </c>
      <c r="D314" s="114">
        <f t="shared" si="1"/>
        <v>6551</v>
      </c>
      <c r="E314" s="115">
        <f>IFNA(vlookup(D314,Masters!C$5:C1000,1,false),"")</f>
        <v>6551</v>
      </c>
    </row>
    <row r="315">
      <c r="B315" s="112" t="s">
        <v>1231</v>
      </c>
      <c r="C315" s="113" t="s">
        <v>1856</v>
      </c>
      <c r="D315" s="114">
        <f t="shared" si="1"/>
        <v>6552</v>
      </c>
      <c r="E315" s="115">
        <f>IFNA(vlookup(D315,Masters!C$5:C1000,1,false),"")</f>
        <v>6552</v>
      </c>
    </row>
    <row r="316">
      <c r="B316" s="112" t="s">
        <v>1171</v>
      </c>
      <c r="C316" s="113" t="s">
        <v>1857</v>
      </c>
      <c r="D316" s="114">
        <f t="shared" si="1"/>
        <v>6561</v>
      </c>
      <c r="E316" s="115">
        <f>IFNA(vlookup(D316,Masters!C$5:C1000,1,false),"")</f>
        <v>6561</v>
      </c>
    </row>
    <row r="317">
      <c r="B317" s="109" t="s">
        <v>1107</v>
      </c>
      <c r="C317" s="110" t="s">
        <v>1858</v>
      </c>
      <c r="D317" s="111">
        <f t="shared" si="1"/>
        <v>6562</v>
      </c>
      <c r="E317" s="111">
        <f>IFNA(vlookup(D317,Masters!C$5:C1000,1,false),"")</f>
        <v>6562</v>
      </c>
    </row>
    <row r="318">
      <c r="B318" s="109" t="s">
        <v>1353</v>
      </c>
      <c r="C318" s="110" t="s">
        <v>1859</v>
      </c>
      <c r="D318" s="111">
        <f t="shared" si="1"/>
        <v>6563</v>
      </c>
      <c r="E318" s="111">
        <f>IFNA(vlookup(D318,Masters!C$5:C1000,1,false),"")</f>
        <v>6563</v>
      </c>
    </row>
    <row r="319">
      <c r="B319" s="112" t="s">
        <v>1219</v>
      </c>
      <c r="C319" s="113" t="s">
        <v>1860</v>
      </c>
      <c r="D319" s="114">
        <f t="shared" si="1"/>
        <v>6564</v>
      </c>
      <c r="E319" s="115">
        <f>IFNA(vlookup(D319,Masters!C$5:C1000,1,false),"")</f>
        <v>6564</v>
      </c>
    </row>
    <row r="320">
      <c r="B320" s="109" t="s">
        <v>727</v>
      </c>
      <c r="C320" s="110" t="s">
        <v>1861</v>
      </c>
      <c r="D320" s="111">
        <f t="shared" si="1"/>
        <v>6611</v>
      </c>
      <c r="E320" s="111">
        <f>IFNA(vlookup(D320,Masters!C$5:C1000,1,false),"")</f>
        <v>6611</v>
      </c>
    </row>
    <row r="321">
      <c r="B321" s="112" t="s">
        <v>1180</v>
      </c>
      <c r="C321" s="113" t="s">
        <v>1862</v>
      </c>
      <c r="D321" s="114">
        <f t="shared" si="1"/>
        <v>6621</v>
      </c>
      <c r="E321" s="115">
        <f>IFNA(vlookup(D321,Masters!C$5:C1000,1,false),"")</f>
        <v>6621</v>
      </c>
    </row>
    <row r="322">
      <c r="B322" s="112" t="s">
        <v>1397</v>
      </c>
      <c r="C322" s="113" t="s">
        <v>1863</v>
      </c>
      <c r="D322" s="114">
        <f t="shared" si="1"/>
        <v>6622</v>
      </c>
      <c r="E322" s="115">
        <f>IFNA(vlookup(D322,Masters!C$5:C1000,1,false),"")</f>
        <v>6622</v>
      </c>
    </row>
    <row r="323">
      <c r="B323" s="112" t="s">
        <v>1458</v>
      </c>
      <c r="C323" s="113" t="s">
        <v>1864</v>
      </c>
      <c r="D323" s="114">
        <f t="shared" si="1"/>
        <v>6623</v>
      </c>
      <c r="E323" s="115">
        <f>IFNA(vlookup(D323,Masters!C$5:C1000,1,false),"")</f>
        <v>6623</v>
      </c>
    </row>
    <row r="324">
      <c r="B324" s="109" t="s">
        <v>1246</v>
      </c>
      <c r="C324" s="110" t="s">
        <v>1865</v>
      </c>
      <c r="D324" s="111">
        <f t="shared" si="1"/>
        <v>6711</v>
      </c>
      <c r="E324" s="111">
        <f>IFNA(vlookup(D324,Masters!C$5:C1000,1,false),"")</f>
        <v>6711</v>
      </c>
    </row>
    <row r="325">
      <c r="B325" s="112" t="s">
        <v>1454</v>
      </c>
      <c r="C325" s="113" t="s">
        <v>1866</v>
      </c>
      <c r="D325" s="114">
        <f t="shared" si="1"/>
        <v>6721</v>
      </c>
      <c r="E325" s="115">
        <f>IFNA(vlookup(D325,Masters!C$5:C1000,1,false),"")</f>
        <v>6721</v>
      </c>
    </row>
    <row r="326">
      <c r="B326" s="109" t="s">
        <v>1319</v>
      </c>
      <c r="C326" s="110" t="s">
        <v>1867</v>
      </c>
      <c r="D326" s="111">
        <f t="shared" si="1"/>
        <v>6722</v>
      </c>
      <c r="E326" s="111">
        <f>IFNA(vlookup(D326,Masters!C$5:C1000,1,false),"")</f>
        <v>6722</v>
      </c>
    </row>
    <row r="327">
      <c r="B327" s="109" t="s">
        <v>1483</v>
      </c>
      <c r="C327" s="110" t="s">
        <v>1868</v>
      </c>
      <c r="D327" s="111">
        <f t="shared" si="1"/>
        <v>6731</v>
      </c>
      <c r="E327" s="111">
        <f>IFNA(vlookup(D327,Masters!C$5:C1000,1,false),"")</f>
        <v>6731</v>
      </c>
    </row>
    <row r="328">
      <c r="B328" s="112" t="s">
        <v>1221</v>
      </c>
      <c r="C328" s="113" t="s">
        <v>1869</v>
      </c>
      <c r="D328" s="114">
        <f t="shared" si="1"/>
        <v>6732</v>
      </c>
      <c r="E328" s="115">
        <f>IFNA(vlookup(D328,Masters!C$5:C1000,1,false),"")</f>
        <v>6732</v>
      </c>
    </row>
    <row r="329">
      <c r="B329" s="109" t="s">
        <v>1175</v>
      </c>
      <c r="C329" s="110" t="s">
        <v>1870</v>
      </c>
      <c r="D329" s="111">
        <f t="shared" si="1"/>
        <v>6733</v>
      </c>
      <c r="E329" s="111">
        <f>IFNA(vlookup(D329,Masters!C$5:C1000,1,false),"")</f>
        <v>6733</v>
      </c>
    </row>
    <row r="330">
      <c r="B330" s="112" t="s">
        <v>1259</v>
      </c>
      <c r="C330" s="113" t="s">
        <v>1871</v>
      </c>
      <c r="D330" s="114">
        <f t="shared" si="1"/>
        <v>6741</v>
      </c>
      <c r="E330" s="115">
        <f>IFNA(vlookup(D330,Masters!C$5:C1000,1,false),"")</f>
        <v>6741</v>
      </c>
    </row>
    <row r="331">
      <c r="B331" s="112" t="s">
        <v>1431</v>
      </c>
      <c r="C331" s="113" t="s">
        <v>1872</v>
      </c>
      <c r="D331" s="114">
        <f t="shared" si="1"/>
        <v>6742</v>
      </c>
      <c r="E331" s="115">
        <f>IFNA(vlookup(D331,Masters!C$5:C1000,1,false),"")</f>
        <v>6742</v>
      </c>
    </row>
    <row r="332">
      <c r="B332" s="112" t="s">
        <v>1097</v>
      </c>
      <c r="C332" s="113" t="s">
        <v>1873</v>
      </c>
      <c r="D332" s="114">
        <f t="shared" si="1"/>
        <v>7201</v>
      </c>
      <c r="E332" s="115">
        <f>IFNA(vlookup(D332,Masters!C$5:C1000,1,false),"")</f>
        <v>7201</v>
      </c>
    </row>
    <row r="333">
      <c r="B333" s="109" t="s">
        <v>1094</v>
      </c>
      <c r="C333" s="110" t="s">
        <v>1874</v>
      </c>
      <c r="D333" s="111">
        <f t="shared" si="1"/>
        <v>7202</v>
      </c>
      <c r="E333" s="111">
        <f>IFNA(vlookup(D333,Masters!C$5:C1000,1,false),"")</f>
        <v>7202</v>
      </c>
    </row>
    <row r="334">
      <c r="B334" s="109" t="s">
        <v>1099</v>
      </c>
      <c r="C334" s="110" t="s">
        <v>1875</v>
      </c>
      <c r="D334" s="111">
        <f t="shared" si="1"/>
        <v>7203</v>
      </c>
      <c r="E334" s="111">
        <f>IFNA(vlookup(D334,Masters!C$5:C1000,1,false),"")</f>
        <v>7203</v>
      </c>
    </row>
    <row r="335">
      <c r="B335" s="109" t="s">
        <v>1093</v>
      </c>
      <c r="C335" s="110" t="s">
        <v>1876</v>
      </c>
      <c r="D335" s="111">
        <f t="shared" si="1"/>
        <v>7204</v>
      </c>
      <c r="E335" s="111">
        <f>IFNA(vlookup(D335,Masters!C$5:C1000,1,false),"")</f>
        <v>7204</v>
      </c>
    </row>
    <row r="336">
      <c r="B336" s="109" t="s">
        <v>1098</v>
      </c>
      <c r="C336" s="110" t="s">
        <v>1877</v>
      </c>
      <c r="D336" s="111">
        <f t="shared" si="1"/>
        <v>7205</v>
      </c>
      <c r="E336" s="111">
        <f>IFNA(vlookup(D336,Masters!C$5:C1000,1,false),"")</f>
        <v>7205</v>
      </c>
    </row>
    <row r="337">
      <c r="B337" s="109" t="s">
        <v>1130</v>
      </c>
      <c r="C337" s="110" t="s">
        <v>1878</v>
      </c>
      <c r="D337" s="111">
        <f t="shared" si="1"/>
        <v>7231</v>
      </c>
      <c r="E337" s="111">
        <f>IFNA(vlookup(D337,Masters!C$5:C1000,1,false),"")</f>
        <v>7231</v>
      </c>
    </row>
    <row r="338">
      <c r="B338" s="109" t="s">
        <v>1138</v>
      </c>
      <c r="C338" s="110" t="s">
        <v>1879</v>
      </c>
      <c r="D338" s="111">
        <f t="shared" si="1"/>
        <v>7232</v>
      </c>
      <c r="E338" s="111">
        <f>IFNA(vlookup(D338,Masters!C$5:C1000,1,false),"")</f>
        <v>7232</v>
      </c>
    </row>
    <row r="339">
      <c r="B339" s="109" t="s">
        <v>1269</v>
      </c>
      <c r="C339" s="110" t="s">
        <v>1880</v>
      </c>
      <c r="D339" s="111">
        <f t="shared" si="1"/>
        <v>7233</v>
      </c>
      <c r="E339" s="111">
        <f>IFNA(vlookup(D339,Masters!C$5:C1000,1,false),"")</f>
        <v>7233</v>
      </c>
    </row>
    <row r="340">
      <c r="B340" s="109" t="s">
        <v>453</v>
      </c>
      <c r="C340" s="110" t="s">
        <v>1881</v>
      </c>
      <c r="D340" s="111">
        <f t="shared" si="1"/>
        <v>7234</v>
      </c>
      <c r="E340" s="111">
        <f>IFNA(vlookup(D340,Masters!C$5:C1000,1,false),"")</f>
        <v>7234</v>
      </c>
    </row>
    <row r="341">
      <c r="B341" s="109" t="s">
        <v>1316</v>
      </c>
      <c r="C341" s="110" t="s">
        <v>1882</v>
      </c>
      <c r="D341" s="111">
        <f t="shared" si="1"/>
        <v>7235</v>
      </c>
      <c r="E341" s="111">
        <f>IFNA(vlookup(D341,Masters!C$5:C1000,1,false),"")</f>
        <v>7235</v>
      </c>
    </row>
    <row r="342">
      <c r="B342" s="109" t="s">
        <v>540</v>
      </c>
      <c r="C342" s="110" t="s">
        <v>1883</v>
      </c>
      <c r="D342" s="111">
        <f t="shared" si="1"/>
        <v>7236</v>
      </c>
      <c r="E342" s="111">
        <f>IFNA(vlookup(D342,Masters!C$5:C1000,1,false),"")</f>
        <v>7236</v>
      </c>
    </row>
    <row r="343">
      <c r="B343" s="109" t="s">
        <v>1079</v>
      </c>
      <c r="C343" s="110" t="s">
        <v>1884</v>
      </c>
      <c r="D343" s="111">
        <f t="shared" si="1"/>
        <v>7237</v>
      </c>
      <c r="E343" s="111">
        <f>IFNA(vlookup(D343,Masters!C$5:C1000,1,false),"")</f>
        <v>7237</v>
      </c>
    </row>
    <row r="344">
      <c r="B344" s="109" t="s">
        <v>1106</v>
      </c>
      <c r="C344" s="110" t="s">
        <v>1885</v>
      </c>
      <c r="D344" s="111">
        <f t="shared" si="1"/>
        <v>7241</v>
      </c>
      <c r="E344" s="111">
        <f>IFNA(vlookup(D344,Masters!C$5:C1000,1,false),"")</f>
        <v>7241</v>
      </c>
    </row>
    <row r="345">
      <c r="B345" s="109" t="s">
        <v>1120</v>
      </c>
      <c r="C345" s="110" t="s">
        <v>1886</v>
      </c>
      <c r="D345" s="111">
        <f t="shared" si="1"/>
        <v>7242</v>
      </c>
      <c r="E345" s="111">
        <f>IFNA(vlookup(D345,Masters!C$5:C1000,1,false),"")</f>
        <v>7242</v>
      </c>
    </row>
    <row r="346">
      <c r="B346" s="109" t="s">
        <v>1151</v>
      </c>
      <c r="C346" s="110" t="s">
        <v>1887</v>
      </c>
      <c r="D346" s="111">
        <f t="shared" si="1"/>
        <v>7243</v>
      </c>
      <c r="E346" s="111">
        <f>IFNA(vlookup(D346,Masters!C$5:C1000,1,false),"")</f>
        <v>7243</v>
      </c>
    </row>
    <row r="347">
      <c r="B347" s="109" t="s">
        <v>1271</v>
      </c>
      <c r="C347" s="110" t="s">
        <v>1888</v>
      </c>
      <c r="D347" s="111">
        <f t="shared" si="1"/>
        <v>7244</v>
      </c>
      <c r="E347" s="111">
        <f>IFNA(vlookup(D347,Masters!C$5:C1000,1,false),"")</f>
        <v>7244</v>
      </c>
    </row>
    <row r="348">
      <c r="B348" s="109" t="s">
        <v>1160</v>
      </c>
      <c r="C348" s="110" t="s">
        <v>1889</v>
      </c>
      <c r="D348" s="111">
        <f t="shared" si="1"/>
        <v>7245</v>
      </c>
      <c r="E348" s="111">
        <f>IFNA(vlookup(D348,Masters!C$5:C1000,1,false),"")</f>
        <v>7245</v>
      </c>
    </row>
    <row r="349">
      <c r="B349" s="112" t="s">
        <v>1314</v>
      </c>
      <c r="C349" s="113" t="s">
        <v>1890</v>
      </c>
      <c r="D349" s="114">
        <f t="shared" si="1"/>
        <v>7246</v>
      </c>
      <c r="E349" s="115">
        <f>IFNA(vlookup(D349,Masters!C$5:C1000,1,false),"")</f>
        <v>7246</v>
      </c>
    </row>
    <row r="350">
      <c r="B350" s="112" t="s">
        <v>1087</v>
      </c>
      <c r="C350" s="113" t="s">
        <v>1891</v>
      </c>
      <c r="D350" s="114">
        <f t="shared" si="1"/>
        <v>7247</v>
      </c>
      <c r="E350" s="115">
        <f>IFNA(vlookup(D350,Masters!C$5:C1000,1,false),"")</f>
        <v>7247</v>
      </c>
    </row>
    <row r="351">
      <c r="B351" s="109" t="s">
        <v>549</v>
      </c>
      <c r="C351" s="110" t="s">
        <v>1892</v>
      </c>
      <c r="D351" s="111">
        <f t="shared" si="1"/>
        <v>7251</v>
      </c>
      <c r="E351" s="111">
        <f>IFNA(vlookup(D351,Masters!C$5:C1000,1,false),"")</f>
        <v>7251</v>
      </c>
    </row>
    <row r="352">
      <c r="B352" s="109" t="s">
        <v>1158</v>
      </c>
      <c r="C352" s="110" t="s">
        <v>1893</v>
      </c>
      <c r="D352" s="111">
        <f t="shared" si="1"/>
        <v>7252</v>
      </c>
      <c r="E352" s="111">
        <f>IFNA(vlookup(D352,Masters!C$5:C1000,1,false),"")</f>
        <v>7252</v>
      </c>
    </row>
    <row r="353">
      <c r="B353" s="109" t="s">
        <v>1300</v>
      </c>
      <c r="C353" s="110" t="s">
        <v>1894</v>
      </c>
      <c r="D353" s="111">
        <f t="shared" si="1"/>
        <v>7253</v>
      </c>
      <c r="E353" s="111">
        <f>IFNA(vlookup(D353,Masters!C$5:C1000,1,false),"")</f>
        <v>7253</v>
      </c>
    </row>
    <row r="354">
      <c r="B354" s="109" t="s">
        <v>173</v>
      </c>
      <c r="C354" s="110" t="s">
        <v>1895</v>
      </c>
      <c r="D354" s="111">
        <f t="shared" si="1"/>
        <v>7271</v>
      </c>
      <c r="E354" s="111">
        <f>IFNA(vlookup(D354,Masters!C$5:C1000,1,false),"")</f>
        <v>7271</v>
      </c>
    </row>
    <row r="355">
      <c r="B355" s="109" t="s">
        <v>456</v>
      </c>
      <c r="C355" s="110" t="s">
        <v>1896</v>
      </c>
      <c r="D355" s="111">
        <f t="shared" si="1"/>
        <v>7272</v>
      </c>
      <c r="E355" s="111">
        <f>IFNA(vlookup(D355,Masters!C$5:C1000,1,false),"")</f>
        <v>7272</v>
      </c>
    </row>
    <row r="356">
      <c r="B356" s="109" t="s">
        <v>583</v>
      </c>
      <c r="C356" s="110" t="s">
        <v>1897</v>
      </c>
      <c r="D356" s="111">
        <f t="shared" si="1"/>
        <v>7281</v>
      </c>
      <c r="E356" s="111">
        <f>IFNA(vlookup(D356,Masters!C$5:C1000,1,false),"")</f>
        <v>7281</v>
      </c>
    </row>
    <row r="357">
      <c r="B357" s="109" t="s">
        <v>1385</v>
      </c>
      <c r="C357" s="110" t="s">
        <v>1898</v>
      </c>
      <c r="D357" s="111">
        <f t="shared" si="1"/>
        <v>7282</v>
      </c>
      <c r="E357" s="111">
        <f>IFNA(vlookup(D357,Masters!C$5:C1000,1,false),"")</f>
        <v>7282</v>
      </c>
    </row>
    <row r="358">
      <c r="B358" s="109" t="s">
        <v>700</v>
      </c>
      <c r="C358" s="110" t="s">
        <v>1899</v>
      </c>
      <c r="D358" s="111">
        <f t="shared" si="1"/>
        <v>7283</v>
      </c>
      <c r="E358" s="111">
        <f>IFNA(vlookup(D358,Masters!C$5:C1000,1,false),"")</f>
        <v>7283</v>
      </c>
    </row>
    <row r="359">
      <c r="B359" s="109" t="s">
        <v>1126</v>
      </c>
      <c r="C359" s="110" t="s">
        <v>1900</v>
      </c>
      <c r="D359" s="111">
        <f t="shared" si="1"/>
        <v>7284</v>
      </c>
      <c r="E359" s="111">
        <f>IFNA(vlookup(D359,Masters!C$5:C1000,1,false),"")</f>
        <v>7284</v>
      </c>
    </row>
    <row r="360">
      <c r="B360" s="109" t="s">
        <v>1167</v>
      </c>
      <c r="C360" s="110" t="s">
        <v>1901</v>
      </c>
      <c r="D360" s="111">
        <f t="shared" si="1"/>
        <v>7291</v>
      </c>
      <c r="E360" s="111">
        <f>IFNA(vlookup(D360,Masters!C$5:C1000,1,false),"")</f>
        <v>7291</v>
      </c>
    </row>
    <row r="361">
      <c r="B361" s="109" t="s">
        <v>217</v>
      </c>
      <c r="C361" s="110" t="s">
        <v>1902</v>
      </c>
      <c r="D361" s="111">
        <f t="shared" si="1"/>
        <v>7292</v>
      </c>
      <c r="E361" s="111">
        <f>IFNA(vlookup(D361,Masters!C$5:C1000,1,false),"")</f>
        <v>7292</v>
      </c>
    </row>
    <row r="362">
      <c r="B362" s="109" t="s">
        <v>752</v>
      </c>
      <c r="C362" s="110" t="s">
        <v>1903</v>
      </c>
      <c r="D362" s="111">
        <f t="shared" si="1"/>
        <v>7293</v>
      </c>
      <c r="E362" s="111">
        <f>IFNA(vlookup(D362,Masters!C$5:C1000,1,false),"")</f>
        <v>7293</v>
      </c>
    </row>
    <row r="363">
      <c r="B363" s="109" t="s">
        <v>1347</v>
      </c>
      <c r="C363" s="110" t="s">
        <v>1904</v>
      </c>
      <c r="D363" s="111">
        <f t="shared" si="1"/>
        <v>7294</v>
      </c>
      <c r="E363" s="111">
        <f>IFNA(vlookup(D363,Masters!C$5:C1000,1,false),"")</f>
        <v>7294</v>
      </c>
    </row>
    <row r="364">
      <c r="B364" s="109" t="s">
        <v>1112</v>
      </c>
      <c r="C364" s="110" t="s">
        <v>1905</v>
      </c>
      <c r="D364" s="111">
        <f t="shared" si="1"/>
        <v>7295</v>
      </c>
      <c r="E364" s="111">
        <f>IFNA(vlookup(D364,Masters!C$5:C1000,1,false),"")</f>
        <v>7295</v>
      </c>
    </row>
    <row r="365">
      <c r="B365" s="109" t="s">
        <v>1096</v>
      </c>
      <c r="C365" s="110" t="s">
        <v>1906</v>
      </c>
      <c r="D365" s="111">
        <f t="shared" si="1"/>
        <v>7301</v>
      </c>
      <c r="E365" s="111">
        <f>IFNA(vlookup(D365,Masters!C$5:C1000,1,false),"")</f>
        <v>7301</v>
      </c>
    </row>
    <row r="366">
      <c r="B366" s="112" t="s">
        <v>1095</v>
      </c>
      <c r="C366" s="113" t="s">
        <v>1907</v>
      </c>
      <c r="D366" s="114">
        <f t="shared" si="1"/>
        <v>7302</v>
      </c>
      <c r="E366" s="115">
        <f>IFNA(vlookup(D366,Masters!C$5:C1000,1,false),"")</f>
        <v>7302</v>
      </c>
    </row>
    <row r="367">
      <c r="B367" s="109" t="s">
        <v>1287</v>
      </c>
      <c r="C367" s="110" t="s">
        <v>1908</v>
      </c>
      <c r="D367" s="111">
        <f t="shared" si="1"/>
        <v>7303</v>
      </c>
      <c r="E367" s="111">
        <f>IFNA(vlookup(D367,Masters!C$5:C1000,1,false),"")</f>
        <v>7303</v>
      </c>
    </row>
    <row r="368">
      <c r="B368" s="109" t="s">
        <v>1159</v>
      </c>
      <c r="C368" s="110" t="s">
        <v>1909</v>
      </c>
      <c r="D368" s="111">
        <f t="shared" si="1"/>
        <v>7304</v>
      </c>
      <c r="E368" s="111">
        <f>IFNA(vlookup(D368,Masters!C$5:C1000,1,false),"")</f>
        <v>7304</v>
      </c>
    </row>
    <row r="369">
      <c r="B369" s="109" t="s">
        <v>1363</v>
      </c>
      <c r="C369" s="110" t="s">
        <v>1910</v>
      </c>
      <c r="D369" s="111">
        <f t="shared" si="1"/>
        <v>7305</v>
      </c>
      <c r="E369" s="111">
        <f>IFNA(vlookup(D369,Masters!C$5:C1000,1,false),"")</f>
        <v>7305</v>
      </c>
    </row>
    <row r="370">
      <c r="B370" s="112" t="s">
        <v>1270</v>
      </c>
      <c r="C370" s="113" t="s">
        <v>1911</v>
      </c>
      <c r="D370" s="114">
        <f t="shared" si="1"/>
        <v>7311</v>
      </c>
      <c r="E370" s="115">
        <f>IFNA(vlookup(D370,Masters!C$5:C1000,1,false),"")</f>
        <v>7311</v>
      </c>
    </row>
    <row r="371">
      <c r="B371" s="109" t="s">
        <v>1280</v>
      </c>
      <c r="C371" s="110" t="s">
        <v>1912</v>
      </c>
      <c r="D371" s="111">
        <f t="shared" si="1"/>
        <v>7312</v>
      </c>
      <c r="E371" s="111">
        <f>IFNA(vlookup(D371,Masters!C$5:C1000,1,false),"")</f>
        <v>7312</v>
      </c>
    </row>
    <row r="372">
      <c r="B372" s="109" t="s">
        <v>1154</v>
      </c>
      <c r="C372" s="110" t="s">
        <v>1913</v>
      </c>
      <c r="D372" s="111">
        <f t="shared" si="1"/>
        <v>7313</v>
      </c>
      <c r="E372" s="111">
        <f>IFNA(vlookup(D372,Masters!C$5:C1000,1,false),"")</f>
        <v>7313</v>
      </c>
    </row>
    <row r="373">
      <c r="B373" s="109" t="s">
        <v>1288</v>
      </c>
      <c r="C373" s="110" t="s">
        <v>1914</v>
      </c>
      <c r="D373" s="111">
        <f t="shared" si="1"/>
        <v>7314</v>
      </c>
      <c r="E373" s="111">
        <f>IFNA(vlookup(D373,Masters!C$5:C1000,1,false),"")</f>
        <v>7314</v>
      </c>
    </row>
    <row r="374">
      <c r="B374" s="109" t="s">
        <v>118</v>
      </c>
      <c r="C374" s="110" t="s">
        <v>1915</v>
      </c>
      <c r="D374" s="111">
        <f t="shared" si="1"/>
        <v>7315</v>
      </c>
      <c r="E374" s="111">
        <f>IFNA(vlookup(D374,Masters!C$5:C1000,1,false),"")</f>
        <v>7315</v>
      </c>
    </row>
    <row r="375">
      <c r="B375" s="109" t="s">
        <v>1128</v>
      </c>
      <c r="C375" s="110" t="s">
        <v>1916</v>
      </c>
      <c r="D375" s="111">
        <f t="shared" si="1"/>
        <v>7316</v>
      </c>
      <c r="E375" s="111">
        <f>IFNA(vlookup(D375,Masters!C$5:C1000,1,false),"")</f>
        <v>7316</v>
      </c>
    </row>
    <row r="376">
      <c r="B376" s="109" t="s">
        <v>1304</v>
      </c>
      <c r="C376" s="110" t="s">
        <v>1917</v>
      </c>
      <c r="D376" s="111">
        <f t="shared" si="1"/>
        <v>7318</v>
      </c>
      <c r="E376" s="111">
        <f>IFNA(vlookup(D376,Masters!C$5:C1000,1,false),"")</f>
        <v>7318</v>
      </c>
    </row>
    <row r="377">
      <c r="B377" s="109" t="s">
        <v>1291</v>
      </c>
      <c r="C377" s="110" t="s">
        <v>1918</v>
      </c>
      <c r="D377" s="111">
        <f t="shared" si="1"/>
        <v>7321</v>
      </c>
      <c r="E377" s="111">
        <f>IFNA(vlookup(D377,Masters!C$5:C1000,1,false),"")</f>
        <v>7321</v>
      </c>
    </row>
    <row r="378">
      <c r="B378" s="109" t="s">
        <v>1281</v>
      </c>
      <c r="C378" s="110" t="s">
        <v>1919</v>
      </c>
      <c r="D378" s="111">
        <f t="shared" si="1"/>
        <v>7322</v>
      </c>
      <c r="E378" s="111">
        <f>IFNA(vlookup(D378,Masters!C$5:C1000,1,false),"")</f>
        <v>7322</v>
      </c>
    </row>
    <row r="379">
      <c r="B379" s="109" t="s">
        <v>1282</v>
      </c>
      <c r="C379" s="110" t="s">
        <v>1920</v>
      </c>
      <c r="D379" s="111">
        <f t="shared" si="1"/>
        <v>7331</v>
      </c>
      <c r="E379" s="111">
        <f>IFNA(vlookup(D379,Masters!C$5:C1000,1,false),"")</f>
        <v>7331</v>
      </c>
    </row>
    <row r="380">
      <c r="B380" s="112" t="s">
        <v>1132</v>
      </c>
      <c r="C380" s="113" t="s">
        <v>1921</v>
      </c>
      <c r="D380" s="114">
        <f t="shared" si="1"/>
        <v>7332</v>
      </c>
      <c r="E380" s="115">
        <f>IFNA(vlookup(D380,Masters!C$5:C1000,1,false),"")</f>
        <v>7332</v>
      </c>
    </row>
    <row r="381">
      <c r="B381" s="109" t="s">
        <v>1274</v>
      </c>
      <c r="C381" s="110" t="s">
        <v>1922</v>
      </c>
      <c r="D381" s="111">
        <f t="shared" si="1"/>
        <v>7333</v>
      </c>
      <c r="E381" s="111">
        <f>IFNA(vlookup(D381,Masters!C$5:C1000,1,false),"")</f>
        <v>7333</v>
      </c>
    </row>
    <row r="382">
      <c r="B382" s="112" t="s">
        <v>1141</v>
      </c>
      <c r="C382" s="113" t="s">
        <v>1923</v>
      </c>
      <c r="D382" s="114">
        <f t="shared" si="1"/>
        <v>7334</v>
      </c>
      <c r="E382" s="115">
        <f>IFNA(vlookup(D382,Masters!C$5:C1000,1,false),"")</f>
        <v>7334</v>
      </c>
    </row>
    <row r="383">
      <c r="B383" s="112" t="s">
        <v>1345</v>
      </c>
      <c r="C383" s="113" t="s">
        <v>1924</v>
      </c>
      <c r="D383" s="114">
        <f t="shared" si="1"/>
        <v>7335</v>
      </c>
      <c r="E383" s="115">
        <f>IFNA(vlookup(D383,Masters!C$5:C1000,1,false),"")</f>
        <v>7335</v>
      </c>
    </row>
    <row r="384">
      <c r="B384" s="109" t="s">
        <v>1374</v>
      </c>
      <c r="C384" s="110" t="s">
        <v>1925</v>
      </c>
      <c r="D384" s="111">
        <f t="shared" si="1"/>
        <v>7361</v>
      </c>
      <c r="E384" s="111">
        <f>IFNA(vlookup(D384,Masters!C$5:C1000,1,false),"")</f>
        <v>7361</v>
      </c>
    </row>
    <row r="385">
      <c r="B385" s="109" t="s">
        <v>1196</v>
      </c>
      <c r="C385" s="110" t="s">
        <v>1926</v>
      </c>
      <c r="D385" s="111">
        <f t="shared" si="1"/>
        <v>7362</v>
      </c>
      <c r="E385" s="111">
        <f>IFNA(vlookup(D385,Masters!C$5:C1000,1,false),"")</f>
        <v>7362</v>
      </c>
    </row>
    <row r="386">
      <c r="B386" s="109" t="s">
        <v>1328</v>
      </c>
      <c r="C386" s="110" t="s">
        <v>1927</v>
      </c>
      <c r="D386" s="111">
        <f t="shared" si="1"/>
        <v>7371</v>
      </c>
      <c r="E386" s="111">
        <f>IFNA(vlookup(D386,Masters!C$5:C1000,1,false),"")</f>
        <v>7371</v>
      </c>
    </row>
    <row r="387">
      <c r="B387" s="109" t="s">
        <v>1110</v>
      </c>
      <c r="C387" s="110" t="s">
        <v>1928</v>
      </c>
      <c r="D387" s="111">
        <f t="shared" si="1"/>
        <v>7372</v>
      </c>
      <c r="E387" s="111">
        <f>IFNA(vlookup(D387,Masters!C$5:C1000,1,false),"")</f>
        <v>7372</v>
      </c>
    </row>
    <row r="388">
      <c r="B388" s="109" t="s">
        <v>1368</v>
      </c>
      <c r="C388" s="110" t="s">
        <v>1929</v>
      </c>
      <c r="D388" s="111">
        <f t="shared" si="1"/>
        <v>7373</v>
      </c>
      <c r="E388" s="111">
        <f>IFNA(vlookup(D388,Masters!C$5:C1000,1,false),"")</f>
        <v>7373</v>
      </c>
    </row>
    <row r="389">
      <c r="B389" s="109" t="s">
        <v>1283</v>
      </c>
      <c r="C389" s="110" t="s">
        <v>1930</v>
      </c>
      <c r="D389" s="111">
        <f t="shared" si="1"/>
        <v>7381</v>
      </c>
      <c r="E389" s="111">
        <f>IFNA(vlookup(D389,Masters!C$5:C1000,1,false),"")</f>
        <v>7381</v>
      </c>
    </row>
    <row r="390">
      <c r="B390" s="112" t="s">
        <v>1089</v>
      </c>
      <c r="C390" s="113" t="s">
        <v>1931</v>
      </c>
      <c r="D390" s="114">
        <f t="shared" si="1"/>
        <v>7384</v>
      </c>
      <c r="E390" s="115">
        <f>IFNA(vlookup(D390,Masters!C$5:C1000,1,false),"")</f>
        <v>7384</v>
      </c>
    </row>
    <row r="391">
      <c r="B391" s="109" t="s">
        <v>1313</v>
      </c>
      <c r="C391" s="110" t="s">
        <v>1932</v>
      </c>
      <c r="D391" s="111">
        <f t="shared" si="1"/>
        <v>7441</v>
      </c>
      <c r="E391" s="111">
        <f>IFNA(vlookup(D391,Masters!C$5:C1000,1,false),"")</f>
        <v>7441</v>
      </c>
    </row>
    <row r="392">
      <c r="B392" s="109" t="s">
        <v>1115</v>
      </c>
      <c r="C392" s="110" t="s">
        <v>1933</v>
      </c>
      <c r="D392" s="111">
        <f t="shared" si="1"/>
        <v>7442</v>
      </c>
      <c r="E392" s="111">
        <f>IFNA(vlookup(D392,Masters!C$5:C1000,1,false),"")</f>
        <v>7442</v>
      </c>
    </row>
    <row r="393">
      <c r="B393" s="109" t="s">
        <v>1405</v>
      </c>
      <c r="C393" s="110" t="s">
        <v>1934</v>
      </c>
      <c r="D393" s="111">
        <f t="shared" si="1"/>
        <v>7444</v>
      </c>
      <c r="E393" s="111">
        <f>IFNA(vlookup(D393,Masters!C$5:C1000,1,false),"")</f>
        <v>7444</v>
      </c>
    </row>
    <row r="394">
      <c r="B394" s="109" t="s">
        <v>1284</v>
      </c>
      <c r="C394" s="110" t="s">
        <v>1935</v>
      </c>
      <c r="D394" s="111">
        <f t="shared" si="1"/>
        <v>7445</v>
      </c>
      <c r="E394" s="111">
        <f>IFNA(vlookup(D394,Masters!C$5:C1000,1,false),"")</f>
        <v>7445</v>
      </c>
    </row>
    <row r="395">
      <c r="B395" s="109" t="s">
        <v>1129</v>
      </c>
      <c r="C395" s="110" t="s">
        <v>1936</v>
      </c>
      <c r="D395" s="111">
        <f t="shared" si="1"/>
        <v>7451</v>
      </c>
      <c r="E395" s="111">
        <f>IFNA(vlookup(D395,Masters!C$5:C1000,1,false),"")</f>
        <v>7451</v>
      </c>
    </row>
    <row r="396">
      <c r="B396" s="112" t="s">
        <v>1399</v>
      </c>
      <c r="C396" s="113" t="s">
        <v>1937</v>
      </c>
      <c r="D396" s="114">
        <f t="shared" si="1"/>
        <v>7452</v>
      </c>
      <c r="E396" s="115">
        <f>IFNA(vlookup(D396,Masters!C$5:C1000,1,false),"")</f>
        <v>7452</v>
      </c>
    </row>
    <row r="397">
      <c r="B397" s="112" t="s">
        <v>1127</v>
      </c>
      <c r="C397" s="113" t="s">
        <v>1938</v>
      </c>
      <c r="D397" s="114">
        <f t="shared" si="1"/>
        <v>7511</v>
      </c>
      <c r="E397" s="115">
        <f>IFNA(vlookup(D397,Masters!C$5:C1000,1,false),"")</f>
        <v>7511</v>
      </c>
    </row>
    <row r="398">
      <c r="B398" s="112" t="s">
        <v>1103</v>
      </c>
      <c r="C398" s="113" t="s">
        <v>1939</v>
      </c>
      <c r="D398" s="114">
        <f t="shared" si="1"/>
        <v>7512</v>
      </c>
      <c r="E398" s="115">
        <f>IFNA(vlookup(D398,Masters!C$5:C1000,1,false),"")</f>
        <v>7512</v>
      </c>
    </row>
    <row r="399">
      <c r="B399" s="109" t="s">
        <v>1323</v>
      </c>
      <c r="C399" s="110" t="s">
        <v>1940</v>
      </c>
      <c r="D399" s="111">
        <f t="shared" si="1"/>
        <v>7513</v>
      </c>
      <c r="E399" s="111">
        <f>IFNA(vlookup(D399,Masters!C$5:C1000,1,false),"")</f>
        <v>7513</v>
      </c>
    </row>
    <row r="400">
      <c r="B400" s="109" t="s">
        <v>1329</v>
      </c>
      <c r="C400" s="110" t="s">
        <v>1941</v>
      </c>
      <c r="D400" s="111">
        <f t="shared" si="1"/>
        <v>7514</v>
      </c>
      <c r="E400" s="111">
        <f>IFNA(vlookup(D400,Masters!C$5:C1000,1,false),"")</f>
        <v>7514</v>
      </c>
    </row>
    <row r="401">
      <c r="B401" s="109" t="s">
        <v>1331</v>
      </c>
      <c r="C401" s="110" t="s">
        <v>1942</v>
      </c>
      <c r="D401" s="111">
        <f t="shared" si="1"/>
        <v>7521</v>
      </c>
      <c r="E401" s="111">
        <f>IFNA(vlookup(D401,Masters!C$5:C1000,1,false),"")</f>
        <v>7521</v>
      </c>
    </row>
    <row r="402">
      <c r="B402" s="109" t="s">
        <v>1357</v>
      </c>
      <c r="C402" s="110" t="s">
        <v>1943</v>
      </c>
      <c r="D402" s="111">
        <f t="shared" si="1"/>
        <v>7522</v>
      </c>
      <c r="E402" s="111">
        <f>IFNA(vlookup(D402,Masters!C$5:C1000,1,false),"")</f>
        <v>7522</v>
      </c>
    </row>
    <row r="403">
      <c r="B403" s="112" t="s">
        <v>1412</v>
      </c>
      <c r="C403" s="113" t="s">
        <v>1944</v>
      </c>
      <c r="D403" s="114">
        <f t="shared" si="1"/>
        <v>7531</v>
      </c>
      <c r="E403" s="115">
        <f>IFNA(vlookup(D403,Masters!C$5:C1000,1,false),"")</f>
        <v>7531</v>
      </c>
    </row>
    <row r="404">
      <c r="B404" s="112" t="s">
        <v>1388</v>
      </c>
      <c r="C404" s="113" t="s">
        <v>1945</v>
      </c>
      <c r="D404" s="114">
        <f t="shared" si="1"/>
        <v>7532</v>
      </c>
      <c r="E404" s="115">
        <f>IFNA(vlookup(D404,Masters!C$5:C1000,1,false),"")</f>
        <v>7532</v>
      </c>
    </row>
    <row r="405">
      <c r="B405" s="109" t="s">
        <v>1216</v>
      </c>
      <c r="C405" s="110" t="s">
        <v>1946</v>
      </c>
      <c r="D405" s="111">
        <f t="shared" si="1"/>
        <v>7533</v>
      </c>
      <c r="E405" s="111">
        <f>IFNA(vlookup(D405,Masters!C$5:C1000,1,false),"")</f>
        <v>7533</v>
      </c>
    </row>
    <row r="406">
      <c r="B406" s="109" t="s">
        <v>1377</v>
      </c>
      <c r="C406" s="110" t="s">
        <v>1947</v>
      </c>
      <c r="D406" s="111">
        <f t="shared" si="1"/>
        <v>7534</v>
      </c>
      <c r="E406" s="111">
        <f>IFNA(vlookup(D406,Masters!C$5:C1000,1,false),"")</f>
        <v>7534</v>
      </c>
    </row>
    <row r="407">
      <c r="B407" s="109" t="s">
        <v>1213</v>
      </c>
      <c r="C407" s="110" t="s">
        <v>1948</v>
      </c>
      <c r="D407" s="111">
        <f t="shared" si="1"/>
        <v>7535</v>
      </c>
      <c r="E407" s="111">
        <f>IFNA(vlookup(D407,Masters!C$5:C1000,1,false),"")</f>
        <v>7535</v>
      </c>
    </row>
    <row r="408">
      <c r="B408" s="109" t="s">
        <v>1474</v>
      </c>
      <c r="C408" s="110" t="s">
        <v>1949</v>
      </c>
      <c r="D408" s="111">
        <f t="shared" si="1"/>
        <v>7611</v>
      </c>
      <c r="E408" s="111">
        <f>IFNA(vlookup(D408,Masters!C$5:C1000,1,false),"")</f>
        <v>7611</v>
      </c>
    </row>
    <row r="409">
      <c r="B409" s="109" t="s">
        <v>1403</v>
      </c>
      <c r="C409" s="110" t="s">
        <v>1950</v>
      </c>
      <c r="D409" s="111">
        <f t="shared" si="1"/>
        <v>7612</v>
      </c>
      <c r="E409" s="111">
        <f>IFNA(vlookup(D409,Masters!C$5:C1000,1,false),"")</f>
        <v>7612</v>
      </c>
    </row>
    <row r="410">
      <c r="B410" s="109" t="s">
        <v>1516</v>
      </c>
      <c r="C410" s="110" t="s">
        <v>1951</v>
      </c>
      <c r="D410" s="111">
        <f t="shared" si="1"/>
        <v>7621</v>
      </c>
      <c r="E410" s="111">
        <f>IFNA(vlookup(D410,Masters!C$5:C1000,1,false),"")</f>
        <v>7621</v>
      </c>
    </row>
    <row r="411">
      <c r="B411" s="109" t="s">
        <v>1515</v>
      </c>
      <c r="C411" s="110" t="s">
        <v>1952</v>
      </c>
      <c r="D411" s="111">
        <f t="shared" si="1"/>
        <v>7622</v>
      </c>
      <c r="E411" s="111">
        <f>IFNA(vlookup(D411,Masters!C$5:C1000,1,false),"")</f>
        <v>7622</v>
      </c>
    </row>
    <row r="412">
      <c r="B412" s="109" t="s">
        <v>1202</v>
      </c>
      <c r="C412" s="110" t="s">
        <v>1953</v>
      </c>
      <c r="D412" s="111">
        <f t="shared" si="1"/>
        <v>8211</v>
      </c>
      <c r="E412" s="111">
        <f>IFNA(vlookup(D412,Masters!C$5:C1000,1,false),"")</f>
        <v>8211</v>
      </c>
    </row>
    <row r="413">
      <c r="B413" s="109" t="s">
        <v>1416</v>
      </c>
      <c r="C413" s="110" t="s">
        <v>1954</v>
      </c>
      <c r="D413" s="111">
        <f t="shared" si="1"/>
        <v>8221</v>
      </c>
      <c r="E413" s="111">
        <f>IFNA(vlookup(D413,Masters!C$5:C1000,1,false),"")</f>
        <v>8221</v>
      </c>
    </row>
    <row r="414">
      <c r="B414" s="109" t="s">
        <v>1417</v>
      </c>
      <c r="C414" s="110" t="s">
        <v>1955</v>
      </c>
      <c r="D414" s="111">
        <f t="shared" si="1"/>
        <v>8222</v>
      </c>
      <c r="E414" s="111">
        <f>IFNA(vlookup(D414,Masters!C$5:C1000,1,false),"")</f>
        <v>8222</v>
      </c>
    </row>
    <row r="415">
      <c r="B415" s="109" t="s">
        <v>1293</v>
      </c>
      <c r="C415" s="110" t="s">
        <v>1956</v>
      </c>
      <c r="D415" s="111">
        <f t="shared" si="1"/>
        <v>8231</v>
      </c>
      <c r="E415" s="111">
        <f>IFNA(vlookup(D415,Masters!C$5:C1000,1,false),"")</f>
        <v>8231</v>
      </c>
    </row>
    <row r="416">
      <c r="B416" s="112" t="s">
        <v>1343</v>
      </c>
      <c r="C416" s="113" t="s">
        <v>1957</v>
      </c>
      <c r="D416" s="114">
        <f t="shared" si="1"/>
        <v>8232</v>
      </c>
      <c r="E416" s="115">
        <f>IFNA(vlookup(D416,Masters!C$5:C1000,1,false),"")</f>
        <v>8232</v>
      </c>
    </row>
    <row r="417">
      <c r="B417" s="112" t="s">
        <v>1383</v>
      </c>
      <c r="C417" s="113" t="s">
        <v>1958</v>
      </c>
      <c r="D417" s="114">
        <f t="shared" si="1"/>
        <v>8241</v>
      </c>
      <c r="E417" s="115">
        <f>IFNA(vlookup(D417,Masters!C$5:C1000,1,false),"")</f>
        <v>8241</v>
      </c>
    </row>
    <row r="418">
      <c r="B418" s="109" t="s">
        <v>1307</v>
      </c>
      <c r="C418" s="110" t="s">
        <v>1959</v>
      </c>
      <c r="D418" s="111">
        <f t="shared" si="1"/>
        <v>8252</v>
      </c>
      <c r="E418" s="111">
        <f>IFNA(vlookup(D418,Masters!C$5:C1000,1,false),"")</f>
        <v>8252</v>
      </c>
    </row>
    <row r="419">
      <c r="B419" s="112" t="s">
        <v>1333</v>
      </c>
      <c r="C419" s="113" t="s">
        <v>1960</v>
      </c>
      <c r="D419" s="114">
        <f t="shared" si="1"/>
        <v>8255</v>
      </c>
      <c r="E419" s="115">
        <f>IFNA(vlookup(D419,Masters!C$5:C1000,1,false),"")</f>
        <v>8255</v>
      </c>
    </row>
    <row r="420">
      <c r="B420" s="109" t="s">
        <v>1109</v>
      </c>
      <c r="C420" s="110" t="s">
        <v>1961</v>
      </c>
      <c r="D420" s="111">
        <f t="shared" si="1"/>
        <v>8261</v>
      </c>
      <c r="E420" s="111">
        <f>IFNA(vlookup(D420,Masters!C$5:C1000,1,false),"")</f>
        <v>8261</v>
      </c>
    </row>
    <row r="421">
      <c r="B421" s="112" t="s">
        <v>1391</v>
      </c>
      <c r="C421" s="113" t="s">
        <v>1962</v>
      </c>
      <c r="D421" s="114">
        <f t="shared" si="1"/>
        <v>8262</v>
      </c>
      <c r="E421" s="115">
        <f>IFNA(vlookup(D421,Masters!C$5:C1000,1,false),"")</f>
        <v>8262</v>
      </c>
    </row>
    <row r="422">
      <c r="B422" s="109" t="s">
        <v>1369</v>
      </c>
      <c r="C422" s="110" t="s">
        <v>1963</v>
      </c>
      <c r="D422" s="111">
        <f t="shared" si="1"/>
        <v>8411</v>
      </c>
      <c r="E422" s="111">
        <f>IFNA(vlookup(D422,Masters!C$5:C1000,1,false),"")</f>
        <v>8411</v>
      </c>
    </row>
    <row r="423">
      <c r="B423" s="112" t="s">
        <v>1344</v>
      </c>
      <c r="C423" s="113" t="s">
        <v>1964</v>
      </c>
      <c r="D423" s="114">
        <f t="shared" si="1"/>
        <v>8412</v>
      </c>
      <c r="E423" s="115">
        <f>IFNA(vlookup(D423,Masters!C$5:C1000,1,false),"")</f>
        <v>8412</v>
      </c>
    </row>
    <row r="424">
      <c r="B424" s="112" t="s">
        <v>1423</v>
      </c>
      <c r="C424" s="113" t="s">
        <v>1965</v>
      </c>
      <c r="D424" s="114">
        <f t="shared" si="1"/>
        <v>8421</v>
      </c>
      <c r="E424" s="115">
        <f>IFNA(vlookup(D424,Masters!C$5:C1000,1,false),"")</f>
        <v>8421</v>
      </c>
    </row>
    <row r="425">
      <c r="B425" s="109" t="s">
        <v>1358</v>
      </c>
      <c r="C425" s="110" t="s">
        <v>1966</v>
      </c>
      <c r="D425" s="111">
        <f t="shared" si="1"/>
        <v>8422</v>
      </c>
      <c r="E425" s="111">
        <f>IFNA(vlookup(D425,Masters!C$5:C1000,1,false),"")</f>
        <v>8422</v>
      </c>
    </row>
    <row r="426">
      <c r="B426" s="109" t="s">
        <v>1394</v>
      </c>
      <c r="C426" s="110" t="s">
        <v>1967</v>
      </c>
      <c r="D426" s="111">
        <f t="shared" si="1"/>
        <v>8431</v>
      </c>
      <c r="E426" s="111">
        <f>IFNA(vlookup(D426,Masters!C$5:C1000,1,false),"")</f>
        <v>8431</v>
      </c>
    </row>
    <row r="427">
      <c r="B427" s="109" t="s">
        <v>1183</v>
      </c>
      <c r="C427" s="110" t="s">
        <v>1968</v>
      </c>
      <c r="D427" s="111">
        <f t="shared" si="1"/>
        <v>8432</v>
      </c>
      <c r="E427" s="111">
        <f>IFNA(vlookup(D427,Masters!C$5:C1000,1,false),"")</f>
        <v>8432</v>
      </c>
    </row>
    <row r="428">
      <c r="B428" s="109" t="s">
        <v>1390</v>
      </c>
      <c r="C428" s="110" t="s">
        <v>1969</v>
      </c>
      <c r="D428" s="111">
        <f t="shared" si="1"/>
        <v>8441</v>
      </c>
      <c r="E428" s="111">
        <f>IFNA(vlookup(D428,Masters!C$5:C1000,1,false),"")</f>
        <v>8441</v>
      </c>
    </row>
    <row r="429">
      <c r="B429" s="109" t="s">
        <v>1254</v>
      </c>
      <c r="C429" s="110" t="s">
        <v>1970</v>
      </c>
      <c r="D429" s="111">
        <f t="shared" si="1"/>
        <v>8442</v>
      </c>
      <c r="E429" s="111">
        <f>IFNA(vlookup(D429,Masters!C$5:C1000,1,false),"")</f>
        <v>8442</v>
      </c>
    </row>
    <row r="430">
      <c r="B430" s="109" t="s">
        <v>1168</v>
      </c>
      <c r="C430" s="110" t="s">
        <v>1971</v>
      </c>
      <c r="D430" s="111">
        <f t="shared" si="1"/>
        <v>8611</v>
      </c>
      <c r="E430" s="111">
        <f>IFNA(vlookup(D430,Masters!C$5:C1000,1,false),"")</f>
        <v>8611</v>
      </c>
    </row>
    <row r="431">
      <c r="B431" s="109" t="s">
        <v>1123</v>
      </c>
      <c r="C431" s="110" t="s">
        <v>1972</v>
      </c>
      <c r="D431" s="111">
        <f t="shared" si="1"/>
        <v>8612</v>
      </c>
      <c r="E431" s="111">
        <f>IFNA(vlookup(D431,Masters!C$5:C1000,1,false),"")</f>
        <v>8612</v>
      </c>
    </row>
    <row r="432">
      <c r="B432" s="112" t="s">
        <v>1181</v>
      </c>
      <c r="C432" s="113" t="s">
        <v>1973</v>
      </c>
      <c r="D432" s="114">
        <f t="shared" si="1"/>
        <v>8613</v>
      </c>
      <c r="E432" s="115">
        <f>IFNA(vlookup(D432,Masters!C$5:C1000,1,false),"")</f>
        <v>8613</v>
      </c>
    </row>
    <row r="433">
      <c r="B433" s="109" t="s">
        <v>1489</v>
      </c>
      <c r="C433" s="110" t="s">
        <v>1974</v>
      </c>
      <c r="D433" s="111">
        <f t="shared" si="1"/>
        <v>8614</v>
      </c>
      <c r="E433" s="111">
        <f>IFNA(vlookup(D433,Masters!C$5:C1000,1,false),"")</f>
        <v>8614</v>
      </c>
    </row>
    <row r="434">
      <c r="B434" s="109" t="s">
        <v>1185</v>
      </c>
      <c r="C434" s="110" t="s">
        <v>1975</v>
      </c>
      <c r="D434" s="111">
        <f t="shared" si="1"/>
        <v>8615</v>
      </c>
      <c r="E434" s="111">
        <f>IFNA(vlookup(D434,Masters!C$5:C1000,1,false),"")</f>
        <v>8615</v>
      </c>
    </row>
    <row r="435">
      <c r="B435" s="109" t="s">
        <v>1485</v>
      </c>
      <c r="C435" s="110" t="s">
        <v>1976</v>
      </c>
      <c r="D435" s="111">
        <f t="shared" si="1"/>
        <v>8616</v>
      </c>
      <c r="E435" s="111">
        <f>IFNA(vlookup(D435,Masters!C$5:C1000,1,false),"")</f>
        <v>8616</v>
      </c>
    </row>
    <row r="436">
      <c r="B436" s="109" t="s">
        <v>1362</v>
      </c>
      <c r="C436" s="110" t="s">
        <v>1977</v>
      </c>
      <c r="D436" s="111">
        <f t="shared" si="1"/>
        <v>9211</v>
      </c>
      <c r="E436" s="111">
        <f>IFNA(vlookup(D436,Masters!C$5:C1000,1,false),"")</f>
        <v>9211</v>
      </c>
    </row>
    <row r="437">
      <c r="B437" s="109" t="s">
        <v>1365</v>
      </c>
      <c r="C437" s="110" t="s">
        <v>1978</v>
      </c>
      <c r="D437" s="111">
        <f t="shared" si="1"/>
        <v>9212</v>
      </c>
      <c r="E437" s="111">
        <f>IFNA(vlookup(D437,Masters!C$5:C1000,1,false),"")</f>
        <v>9212</v>
      </c>
    </row>
    <row r="438">
      <c r="B438" s="112" t="s">
        <v>1459</v>
      </c>
      <c r="C438" s="113" t="s">
        <v>1979</v>
      </c>
      <c r="D438" s="114">
        <f t="shared" si="1"/>
        <v>9213</v>
      </c>
      <c r="E438" s="115">
        <f>IFNA(vlookup(D438,Masters!C$5:C1000,1,false),"")</f>
        <v>9213</v>
      </c>
    </row>
    <row r="439">
      <c r="B439" s="109" t="s">
        <v>1419</v>
      </c>
      <c r="C439" s="110" t="s">
        <v>1980</v>
      </c>
      <c r="D439" s="111">
        <f t="shared" si="1"/>
        <v>9214</v>
      </c>
      <c r="E439" s="111">
        <f>IFNA(vlookup(D439,Masters!C$5:C1000,1,false),"")</f>
        <v>9214</v>
      </c>
    </row>
    <row r="440">
      <c r="B440" s="109" t="s">
        <v>1361</v>
      </c>
      <c r="C440" s="110" t="s">
        <v>1981</v>
      </c>
      <c r="D440" s="111">
        <f t="shared" si="1"/>
        <v>9215</v>
      </c>
      <c r="E440" s="111">
        <f>IFNA(vlookup(D440,Masters!C$5:C1000,1,false),"")</f>
        <v>9215</v>
      </c>
    </row>
    <row r="441">
      <c r="B441" s="112" t="s">
        <v>1200</v>
      </c>
      <c r="C441" s="113" t="s">
        <v>1982</v>
      </c>
      <c r="D441" s="114">
        <f t="shared" si="1"/>
        <v>9217</v>
      </c>
      <c r="E441" s="115">
        <f>IFNA(vlookup(D441,Masters!C$5:C1000,1,false),"")</f>
        <v>9217</v>
      </c>
    </row>
    <row r="442">
      <c r="B442" s="109" t="s">
        <v>1203</v>
      </c>
      <c r="C442" s="110" t="s">
        <v>1983</v>
      </c>
      <c r="D442" s="111">
        <f t="shared" si="1"/>
        <v>9221</v>
      </c>
      <c r="E442" s="111">
        <f>IFNA(vlookup(D442,Masters!C$5:C1000,1,false),"")</f>
        <v>9221</v>
      </c>
    </row>
    <row r="443">
      <c r="B443" s="109" t="s">
        <v>1360</v>
      </c>
      <c r="C443" s="110" t="s">
        <v>1984</v>
      </c>
      <c r="D443" s="111">
        <f t="shared" si="1"/>
        <v>9222</v>
      </c>
      <c r="E443" s="111">
        <f>IFNA(vlookup(D443,Masters!C$5:C1000,1,false),"")</f>
        <v>9222</v>
      </c>
    </row>
    <row r="444">
      <c r="B444" s="109" t="s">
        <v>1359</v>
      </c>
      <c r="C444" s="110" t="s">
        <v>1985</v>
      </c>
      <c r="D444" s="111">
        <f t="shared" si="1"/>
        <v>9223</v>
      </c>
      <c r="E444" s="111">
        <f>IFNA(vlookup(D444,Masters!C$5:C1000,1,false),"")</f>
        <v>9223</v>
      </c>
    </row>
    <row r="445">
      <c r="B445" s="109" t="s">
        <v>1201</v>
      </c>
      <c r="C445" s="110" t="s">
        <v>1986</v>
      </c>
      <c r="D445" s="111">
        <f t="shared" si="1"/>
        <v>9224</v>
      </c>
      <c r="E445" s="111">
        <f>IFNA(vlookup(D445,Masters!C$5:C1000,1,false),"")</f>
        <v>9224</v>
      </c>
    </row>
    <row r="446">
      <c r="B446" s="109" t="s">
        <v>1418</v>
      </c>
      <c r="C446" s="110" t="s">
        <v>1987</v>
      </c>
      <c r="D446" s="111">
        <f t="shared" si="1"/>
        <v>9226</v>
      </c>
      <c r="E446" s="111">
        <f>IFNA(vlookup(D446,Masters!C$5:C1000,1,false),"")</f>
        <v>9226</v>
      </c>
    </row>
    <row r="447">
      <c r="B447" s="109" t="s">
        <v>1364</v>
      </c>
      <c r="C447" s="110" t="s">
        <v>1988</v>
      </c>
      <c r="D447" s="111">
        <f t="shared" si="1"/>
        <v>9227</v>
      </c>
      <c r="E447" s="111">
        <f>IFNA(vlookup(D447,Masters!C$5:C1000,1,false),"")</f>
        <v>9227</v>
      </c>
    </row>
    <row r="448">
      <c r="B448" s="109" t="s">
        <v>1379</v>
      </c>
      <c r="C448" s="110" t="s">
        <v>1989</v>
      </c>
      <c r="D448" s="111">
        <f t="shared" si="1"/>
        <v>9231</v>
      </c>
      <c r="E448" s="111">
        <f>IFNA(vlookup(D448,Masters!C$5:C1000,1,false),"")</f>
        <v>9231</v>
      </c>
    </row>
    <row r="449">
      <c r="B449" s="109" t="s">
        <v>1350</v>
      </c>
      <c r="C449" s="110" t="s">
        <v>1990</v>
      </c>
      <c r="D449" s="111">
        <f t="shared" si="1"/>
        <v>9232</v>
      </c>
      <c r="E449" s="111">
        <f>IFNA(vlookup(D449,Masters!C$5:C1000,1,false),"")</f>
        <v>9232</v>
      </c>
    </row>
    <row r="450">
      <c r="B450" s="109" t="s">
        <v>1402</v>
      </c>
      <c r="C450" s="110" t="s">
        <v>1991</v>
      </c>
      <c r="D450" s="111">
        <f t="shared" si="1"/>
        <v>9235</v>
      </c>
      <c r="E450" s="111">
        <f>IFNA(vlookup(D450,Masters!C$5:C1000,1,false),"")</f>
        <v>9235</v>
      </c>
    </row>
    <row r="451">
      <c r="B451" s="109" t="s">
        <v>1193</v>
      </c>
      <c r="C451" s="110" t="s">
        <v>1992</v>
      </c>
      <c r="D451" s="111">
        <f t="shared" si="1"/>
        <v>9241</v>
      </c>
      <c r="E451" s="111">
        <f>IFNA(vlookup(D451,Masters!C$5:C1000,1,false),"")</f>
        <v>9241</v>
      </c>
    </row>
    <row r="452">
      <c r="B452" s="112" t="s">
        <v>1367</v>
      </c>
      <c r="C452" s="113" t="s">
        <v>1993</v>
      </c>
      <c r="D452" s="114">
        <f t="shared" si="1"/>
        <v>9243</v>
      </c>
      <c r="E452" s="115">
        <f>IFNA(vlookup(D452,Masters!C$5:C1000,1,false),"")</f>
        <v>9243</v>
      </c>
    </row>
    <row r="453">
      <c r="B453" s="109" t="s">
        <v>1338</v>
      </c>
      <c r="C453" s="110" t="s">
        <v>1994</v>
      </c>
      <c r="D453" s="111">
        <f t="shared" si="1"/>
        <v>9411</v>
      </c>
      <c r="E453" s="111">
        <f>IFNA(vlookup(D453,Masters!C$5:C1000,1,false),"")</f>
        <v>9411</v>
      </c>
    </row>
    <row r="454">
      <c r="B454" s="112" t="s">
        <v>1137</v>
      </c>
      <c r="C454" s="113" t="s">
        <v>1995</v>
      </c>
      <c r="D454" s="114">
        <f t="shared" si="1"/>
        <v>9412</v>
      </c>
      <c r="E454" s="115">
        <f>IFNA(vlookup(D454,Masters!C$5:C1000,1,false),"")</f>
        <v>9412</v>
      </c>
    </row>
    <row r="455">
      <c r="B455" s="109" t="s">
        <v>1117</v>
      </c>
      <c r="C455" s="110" t="s">
        <v>1996</v>
      </c>
      <c r="D455" s="111">
        <f t="shared" si="1"/>
        <v>9413</v>
      </c>
      <c r="E455" s="111">
        <f>IFNA(vlookup(D455,Masters!C$5:C1000,1,false),"")</f>
        <v>9413</v>
      </c>
    </row>
    <row r="456">
      <c r="B456" s="112" t="s">
        <v>1297</v>
      </c>
      <c r="C456" s="113" t="s">
        <v>1997</v>
      </c>
      <c r="D456" s="114">
        <f t="shared" si="1"/>
        <v>9414</v>
      </c>
      <c r="E456" s="115">
        <f>IFNA(vlookup(D456,Masters!C$5:C1000,1,false),"")</f>
        <v>9414</v>
      </c>
    </row>
    <row r="457">
      <c r="B457" s="109" t="s">
        <v>1335</v>
      </c>
      <c r="C457" s="110" t="s">
        <v>1998</v>
      </c>
      <c r="D457" s="111">
        <f t="shared" si="1"/>
        <v>9415</v>
      </c>
      <c r="E457" s="111">
        <f>IFNA(vlookup(D457,Masters!C$5:C1000,1,false),"")</f>
        <v>9415</v>
      </c>
    </row>
    <row r="458">
      <c r="B458" s="109" t="s">
        <v>1312</v>
      </c>
      <c r="C458" s="110" t="s">
        <v>1999</v>
      </c>
      <c r="D458" s="111">
        <f t="shared" si="1"/>
        <v>9416</v>
      </c>
      <c r="E458" s="111">
        <f>IFNA(vlookup(D458,Masters!C$5:C1000,1,false),"")</f>
        <v>9416</v>
      </c>
    </row>
    <row r="459">
      <c r="B459" s="109" t="s">
        <v>1131</v>
      </c>
      <c r="C459" s="110" t="s">
        <v>2000</v>
      </c>
      <c r="D459" s="111">
        <f t="shared" si="1"/>
        <v>9417</v>
      </c>
      <c r="E459" s="111">
        <f>IFNA(vlookup(D459,Masters!C$5:C1000,1,false),"")</f>
        <v>9417</v>
      </c>
    </row>
    <row r="460">
      <c r="B460" s="109" t="s">
        <v>1186</v>
      </c>
      <c r="C460" s="110" t="s">
        <v>2001</v>
      </c>
      <c r="D460" s="111">
        <f t="shared" si="1"/>
        <v>9418</v>
      </c>
      <c r="E460" s="111">
        <f>IFNA(vlookup(D460,Masters!C$5:C1000,1,false),"")</f>
        <v>9418</v>
      </c>
    </row>
    <row r="461">
      <c r="B461" s="109" t="s">
        <v>1325</v>
      </c>
      <c r="C461" s="110" t="s">
        <v>2002</v>
      </c>
      <c r="D461" s="111">
        <f t="shared" si="1"/>
        <v>9421</v>
      </c>
      <c r="E461" s="111">
        <f>IFNA(vlookup(D461,Masters!C$5:C1000,1,false),"")</f>
        <v>9421</v>
      </c>
    </row>
    <row r="462">
      <c r="B462" s="112" t="s">
        <v>1105</v>
      </c>
      <c r="C462" s="113" t="s">
        <v>2003</v>
      </c>
      <c r="D462" s="114">
        <f t="shared" si="1"/>
        <v>9422</v>
      </c>
      <c r="E462" s="115">
        <f>IFNA(vlookup(D462,Masters!C$5:C1000,1,false),"")</f>
        <v>9422</v>
      </c>
    </row>
    <row r="463">
      <c r="B463" s="109" t="s">
        <v>1378</v>
      </c>
      <c r="C463" s="110" t="s">
        <v>2004</v>
      </c>
      <c r="D463" s="111">
        <f t="shared" si="1"/>
        <v>9423</v>
      </c>
      <c r="E463" s="111">
        <f>IFNA(vlookup(D463,Masters!C$5:C1000,1,false),"")</f>
        <v>9423</v>
      </c>
    </row>
    <row r="464">
      <c r="B464" s="109" t="s">
        <v>1155</v>
      </c>
      <c r="C464" s="110" t="s">
        <v>2005</v>
      </c>
      <c r="D464" s="111">
        <f t="shared" si="1"/>
        <v>9431</v>
      </c>
      <c r="E464" s="111">
        <f>IFNA(vlookup(D464,Masters!C$5:C1000,1,false),"")</f>
        <v>9431</v>
      </c>
    </row>
    <row r="465">
      <c r="B465" s="109" t="s">
        <v>1409</v>
      </c>
      <c r="C465" s="110" t="s">
        <v>2006</v>
      </c>
      <c r="D465" s="111">
        <f t="shared" si="1"/>
        <v>9432</v>
      </c>
      <c r="E465" s="111">
        <f>IFNA(vlookup(D465,Masters!C$5:C1000,1,false),"")</f>
        <v>9432</v>
      </c>
    </row>
    <row r="466">
      <c r="B466" s="109" t="s">
        <v>1149</v>
      </c>
      <c r="C466" s="110" t="s">
        <v>2007</v>
      </c>
      <c r="D466" s="111">
        <f t="shared" si="1"/>
        <v>9433</v>
      </c>
      <c r="E466" s="111">
        <f>IFNA(vlookup(D466,Masters!C$5:C1000,1,false),"")</f>
        <v>9433</v>
      </c>
    </row>
    <row r="467">
      <c r="B467" s="109" t="s">
        <v>1349</v>
      </c>
      <c r="C467" s="110" t="s">
        <v>2008</v>
      </c>
      <c r="D467" s="111">
        <f t="shared" si="1"/>
        <v>9434</v>
      </c>
      <c r="E467" s="111">
        <f>IFNA(vlookup(D467,Masters!C$5:C1000,1,false),"")</f>
        <v>9434</v>
      </c>
    </row>
    <row r="468">
      <c r="B468" s="109" t="s">
        <v>1351</v>
      </c>
      <c r="C468" s="110" t="s">
        <v>2009</v>
      </c>
      <c r="D468" s="111">
        <f t="shared" si="1"/>
        <v>9435</v>
      </c>
      <c r="E468" s="111">
        <f>IFNA(vlookup(D468,Masters!C$5:C1000,1,false),"")</f>
        <v>9435</v>
      </c>
    </row>
    <row r="469">
      <c r="B469" s="109" t="s">
        <v>1189</v>
      </c>
      <c r="C469" s="110" t="s">
        <v>2010</v>
      </c>
      <c r="D469" s="111">
        <f t="shared" si="1"/>
        <v>9436</v>
      </c>
      <c r="E469" s="111">
        <f>IFNA(vlookup(D469,Masters!C$5:C1000,1,false),"")</f>
        <v>9436</v>
      </c>
    </row>
    <row r="470">
      <c r="B470" s="109" t="s">
        <v>1371</v>
      </c>
      <c r="C470" s="110" t="s">
        <v>2011</v>
      </c>
      <c r="D470" s="111">
        <f t="shared" si="1"/>
        <v>9437</v>
      </c>
      <c r="E470" s="111">
        <f>IFNA(vlookup(D470,Masters!C$5:C1000,1,false),"")</f>
        <v>9437</v>
      </c>
    </row>
    <row r="471">
      <c r="B471" s="112" t="s">
        <v>1205</v>
      </c>
      <c r="C471" s="113" t="s">
        <v>2012</v>
      </c>
      <c r="D471" s="114">
        <f t="shared" si="1"/>
        <v>9441</v>
      </c>
      <c r="E471" s="115">
        <f>IFNA(vlookup(D471,Masters!C$5:C1000,1,false),"")</f>
        <v>9441</v>
      </c>
    </row>
    <row r="472">
      <c r="B472" s="109" t="s">
        <v>1268</v>
      </c>
      <c r="C472" s="110" t="s">
        <v>2013</v>
      </c>
      <c r="D472" s="111">
        <f t="shared" si="1"/>
        <v>9442</v>
      </c>
      <c r="E472" s="111">
        <f>IFNA(vlookup(D472,Masters!C$5:C1000,1,false),"")</f>
        <v>9442</v>
      </c>
    </row>
    <row r="473">
      <c r="B473" s="109" t="s">
        <v>1330</v>
      </c>
      <c r="C473" s="110" t="s">
        <v>2014</v>
      </c>
      <c r="D473" s="111">
        <f t="shared" si="1"/>
        <v>9445</v>
      </c>
      <c r="E473" s="111">
        <f>IFNA(vlookup(D473,Masters!C$5:C1000,1,false),"")</f>
        <v>9445</v>
      </c>
    </row>
    <row r="474">
      <c r="B474" s="109" t="s">
        <v>1161</v>
      </c>
      <c r="C474" s="110" t="s">
        <v>2015</v>
      </c>
      <c r="D474" s="111">
        <f t="shared" si="1"/>
        <v>9446</v>
      </c>
      <c r="E474" s="111">
        <f>IFNA(vlookup(D474,Masters!C$5:C1000,1,false),"")</f>
        <v>9446</v>
      </c>
    </row>
    <row r="475">
      <c r="B475" s="112" t="s">
        <v>1124</v>
      </c>
      <c r="C475" s="113" t="s">
        <v>2016</v>
      </c>
      <c r="D475" s="114">
        <f t="shared" si="1"/>
        <v>9447</v>
      </c>
      <c r="E475" s="115">
        <f>IFNA(vlookup(D475,Masters!C$5:C1000,1,false),"")</f>
        <v>9447</v>
      </c>
    </row>
    <row r="476">
      <c r="B476" s="112" t="s">
        <v>1134</v>
      </c>
      <c r="C476" s="113" t="s">
        <v>2017</v>
      </c>
      <c r="D476" s="114">
        <f t="shared" si="1"/>
        <v>9461</v>
      </c>
      <c r="E476" s="115">
        <f>IFNA(vlookup(D476,Masters!C$5:C1000,1,false),"")</f>
        <v>9461</v>
      </c>
    </row>
    <row r="477">
      <c r="B477" s="109" t="s">
        <v>1172</v>
      </c>
      <c r="C477" s="110" t="s">
        <v>2018</v>
      </c>
      <c r="D477" s="111">
        <f t="shared" si="1"/>
        <v>9462</v>
      </c>
      <c r="E477" s="111">
        <f>IFNA(vlookup(D477,Masters!C$5:C1000,1,false),"")</f>
        <v>9462</v>
      </c>
    </row>
    <row r="478">
      <c r="B478" s="112" t="s">
        <v>1244</v>
      </c>
      <c r="C478" s="113" t="s">
        <v>2019</v>
      </c>
      <c r="D478" s="114">
        <f t="shared" si="1"/>
        <v>9463</v>
      </c>
      <c r="E478" s="115">
        <f>IFNA(vlookup(D478,Masters!C$5:C1000,1,false),"")</f>
        <v>9463</v>
      </c>
    </row>
    <row r="479">
      <c r="B479" s="112" t="s">
        <v>1420</v>
      </c>
      <c r="C479" s="113" t="s">
        <v>2020</v>
      </c>
      <c r="D479" s="114">
        <f t="shared" si="1"/>
        <v>9465</v>
      </c>
      <c r="E479" s="115">
        <f>IFNA(vlookup(D479,Masters!C$5:C1000,1,false),"")</f>
        <v>9465</v>
      </c>
    </row>
    <row r="480">
      <c r="B480" s="112" t="s">
        <v>1355</v>
      </c>
      <c r="C480" s="113" t="s">
        <v>2021</v>
      </c>
      <c r="D480" s="114">
        <f t="shared" si="1"/>
        <v>9471</v>
      </c>
      <c r="E480" s="115">
        <f>IFNA(vlookup(D480,Masters!C$5:C1000,1,false),"")</f>
        <v>9471</v>
      </c>
    </row>
    <row r="481">
      <c r="B481" s="112" t="s">
        <v>1152</v>
      </c>
      <c r="C481" s="113" t="s">
        <v>2022</v>
      </c>
      <c r="D481" s="114">
        <f t="shared" si="1"/>
        <v>9472</v>
      </c>
      <c r="E481" s="115">
        <f>IFNA(vlookup(D481,Masters!C$5:C1000,1,false),"")</f>
        <v>9472</v>
      </c>
    </row>
    <row r="482">
      <c r="B482" s="109" t="s">
        <v>1082</v>
      </c>
      <c r="C482" s="110" t="s">
        <v>2023</v>
      </c>
      <c r="D482" s="111">
        <f t="shared" si="1"/>
        <v>9473</v>
      </c>
      <c r="E482" s="111">
        <f>IFNA(vlookup(D482,Masters!C$5:C1000,1,false),"")</f>
        <v>9473</v>
      </c>
    </row>
    <row r="483">
      <c r="B483" s="109" t="s">
        <v>1286</v>
      </c>
      <c r="C483" s="110" t="s">
        <v>2024</v>
      </c>
      <c r="D483" s="111">
        <f t="shared" si="1"/>
        <v>9474</v>
      </c>
      <c r="E483" s="111">
        <f>IFNA(vlookup(D483,Masters!C$5:C1000,1,false),"")</f>
        <v>9474</v>
      </c>
    </row>
    <row r="484">
      <c r="B484" s="109" t="s">
        <v>1289</v>
      </c>
      <c r="C484" s="110" t="s">
        <v>2025</v>
      </c>
      <c r="D484" s="111">
        <f t="shared" si="1"/>
        <v>9521</v>
      </c>
      <c r="E484" s="111">
        <f>IFNA(vlookup(D484,Masters!C$5:C1000,1,false),"")</f>
        <v>9521</v>
      </c>
    </row>
    <row r="485">
      <c r="B485" s="109" t="s">
        <v>1400</v>
      </c>
      <c r="C485" s="110" t="s">
        <v>2026</v>
      </c>
      <c r="D485" s="111">
        <f t="shared" si="1"/>
        <v>9522</v>
      </c>
      <c r="E485" s="111">
        <f>IFNA(vlookup(D485,Masters!C$5:C1000,1,false),"")</f>
        <v>9522</v>
      </c>
    </row>
    <row r="486">
      <c r="B486" s="109" t="s">
        <v>1273</v>
      </c>
      <c r="C486" s="110" t="s">
        <v>2027</v>
      </c>
      <c r="D486" s="111">
        <f t="shared" si="1"/>
        <v>9523</v>
      </c>
      <c r="E486" s="111">
        <f>IFNA(vlookup(D486,Masters!C$5:C1000,1,false),"")</f>
        <v>9523</v>
      </c>
    </row>
    <row r="487">
      <c r="B487" s="112" t="s">
        <v>1084</v>
      </c>
      <c r="C487" s="113" t="s">
        <v>2028</v>
      </c>
      <c r="D487" s="114">
        <f t="shared" si="1"/>
        <v>9524</v>
      </c>
      <c r="E487" s="115">
        <f>IFNA(vlookup(D487,Masters!C$5:C1000,1,false),"")</f>
        <v>9524</v>
      </c>
    </row>
    <row r="488">
      <c r="B488" s="109" t="s">
        <v>1174</v>
      </c>
      <c r="C488" s="110" t="s">
        <v>2029</v>
      </c>
      <c r="D488" s="111">
        <f t="shared" si="1"/>
        <v>9525</v>
      </c>
      <c r="E488" s="111">
        <f>IFNA(vlookup(D488,Masters!C$5:C1000,1,false),"")</f>
        <v>9525</v>
      </c>
    </row>
    <row r="489">
      <c r="B489" s="109" t="s">
        <v>1140</v>
      </c>
      <c r="C489" s="110" t="s">
        <v>2030</v>
      </c>
      <c r="D489" s="111">
        <f t="shared" si="1"/>
        <v>9526</v>
      </c>
      <c r="E489" s="111">
        <f>IFNA(vlookup(D489,Masters!C$5:C1000,1,false),"")</f>
        <v>9526</v>
      </c>
    </row>
    <row r="490">
      <c r="B490" s="112" t="s">
        <v>1177</v>
      </c>
      <c r="C490" s="113" t="s">
        <v>2031</v>
      </c>
      <c r="D490" s="114">
        <f t="shared" si="1"/>
        <v>9527</v>
      </c>
      <c r="E490" s="115">
        <f>IFNA(vlookup(D490,Masters!C$5:C1000,1,false),"")</f>
        <v>9527</v>
      </c>
    </row>
    <row r="491">
      <c r="B491" s="109" t="s">
        <v>1085</v>
      </c>
      <c r="C491" s="117" t="s">
        <v>2032</v>
      </c>
      <c r="D491" s="111">
        <f t="shared" si="1"/>
        <v>9531</v>
      </c>
      <c r="E491" s="111">
        <f>IFNA(vlookup(D491,Masters!C$5:C1000,1,false),"")</f>
        <v>9531</v>
      </c>
    </row>
    <row r="492">
      <c r="B492" s="109" t="s">
        <v>1114</v>
      </c>
      <c r="C492" s="110" t="s">
        <v>2033</v>
      </c>
      <c r="D492" s="111">
        <f t="shared" si="1"/>
        <v>9532</v>
      </c>
      <c r="E492" s="111">
        <f>IFNA(vlookup(D492,Masters!C$5:C1000,1,false),"")</f>
        <v>9532</v>
      </c>
    </row>
    <row r="493">
      <c r="B493" s="109" t="s">
        <v>1188</v>
      </c>
      <c r="C493" s="110" t="s">
        <v>2034</v>
      </c>
      <c r="D493" s="111">
        <f t="shared" si="1"/>
        <v>9533</v>
      </c>
      <c r="E493" s="111">
        <f>IFNA(vlookup(D493,Masters!C$5:C1000,1,false),"")</f>
        <v>9533</v>
      </c>
    </row>
    <row r="494">
      <c r="B494" s="109" t="s">
        <v>1392</v>
      </c>
      <c r="C494" s="110" t="s">
        <v>2035</v>
      </c>
      <c r="D494" s="111">
        <f t="shared" si="1"/>
        <v>9534</v>
      </c>
      <c r="E494" s="111">
        <f>IFNA(vlookup(D494,Masters!C$5:C1000,1,false),"")</f>
        <v>9534</v>
      </c>
    </row>
    <row r="495">
      <c r="B495" s="112" t="s">
        <v>1407</v>
      </c>
      <c r="C495" s="113" t="s">
        <v>2036</v>
      </c>
      <c r="D495" s="114">
        <f t="shared" si="1"/>
        <v>9535</v>
      </c>
      <c r="E495" s="115">
        <f>IFNA(vlookup(D495,Masters!C$5:C1000,1,false),"")</f>
        <v>9535</v>
      </c>
    </row>
    <row r="496">
      <c r="B496" s="112" t="s">
        <v>1148</v>
      </c>
      <c r="C496" s="113" t="s">
        <v>2037</v>
      </c>
      <c r="D496" s="114">
        <f t="shared" si="1"/>
        <v>9536</v>
      </c>
      <c r="E496" s="115">
        <f>IFNA(vlookup(D496,Masters!C$5:C1000,1,false),"")</f>
        <v>9536</v>
      </c>
    </row>
    <row r="497">
      <c r="B497" s="112" t="s">
        <v>1346</v>
      </c>
      <c r="C497" s="113" t="s">
        <v>2038</v>
      </c>
      <c r="D497" s="114">
        <f t="shared" si="1"/>
        <v>9537</v>
      </c>
      <c r="E497" s="115">
        <f>IFNA(vlookup(D497,Masters!C$5:C1000,1,false),"")</f>
        <v>9537</v>
      </c>
    </row>
    <row r="498">
      <c r="B498" s="109" t="s">
        <v>1263</v>
      </c>
      <c r="C498" s="110" t="s">
        <v>2039</v>
      </c>
      <c r="D498" s="111">
        <f t="shared" si="1"/>
        <v>9611</v>
      </c>
      <c r="E498" s="111">
        <f>IFNA(vlookup(D498,Masters!C$5:C1000,1,false),"")</f>
        <v>9611</v>
      </c>
    </row>
    <row r="499">
      <c r="B499" s="109" t="s">
        <v>1262</v>
      </c>
      <c r="C499" s="110" t="s">
        <v>2040</v>
      </c>
      <c r="D499" s="111">
        <f t="shared" si="1"/>
        <v>9612</v>
      </c>
      <c r="E499" s="111">
        <f>IFNA(vlookup(D499,Masters!C$5:C1000,1,false),"")</f>
        <v>9612</v>
      </c>
    </row>
    <row r="500">
      <c r="B500" s="109" t="s">
        <v>1176</v>
      </c>
      <c r="C500" s="110" t="s">
        <v>2041</v>
      </c>
      <c r="D500" s="111">
        <f t="shared" si="1"/>
        <v>9613</v>
      </c>
      <c r="E500" s="111">
        <f>IFNA(vlookup(D500,Masters!C$5:C1000,1,false),"")</f>
        <v>9613</v>
      </c>
    </row>
    <row r="501">
      <c r="B501" s="109" t="s">
        <v>1482</v>
      </c>
      <c r="C501" s="110" t="s">
        <v>2042</v>
      </c>
      <c r="D501" s="111">
        <f t="shared" si="1"/>
        <v>9614</v>
      </c>
      <c r="E501" s="111">
        <f>IFNA(vlookup(D501,Masters!C$5:C1000,1,false),"")</f>
        <v>9614</v>
      </c>
    </row>
    <row r="502">
      <c r="B502" s="109" t="s">
        <v>1481</v>
      </c>
      <c r="C502" s="110" t="s">
        <v>2043</v>
      </c>
      <c r="D502" s="111">
        <f t="shared" si="1"/>
        <v>9615</v>
      </c>
      <c r="E502" s="111">
        <f>IFNA(vlookup(D502,Masters!C$5:C1000,1,false),"")</f>
        <v>9615</v>
      </c>
    </row>
    <row r="503">
      <c r="B503" s="109" t="s">
        <v>1264</v>
      </c>
      <c r="C503" s="110" t="s">
        <v>2044</v>
      </c>
      <c r="D503" s="111">
        <f t="shared" si="1"/>
        <v>9616</v>
      </c>
      <c r="E503" s="111">
        <f>IFNA(vlookup(D503,Masters!C$5:C1000,1,false),"")</f>
        <v>9616</v>
      </c>
    </row>
    <row r="504">
      <c r="B504" s="112" t="s">
        <v>1261</v>
      </c>
      <c r="C504" s="113" t="s">
        <v>2045</v>
      </c>
      <c r="D504" s="114">
        <f t="shared" si="1"/>
        <v>9617</v>
      </c>
      <c r="E504" s="115">
        <f>IFNA(vlookup(D504,Masters!C$5:C1000,1,false),"")</f>
        <v>9617</v>
      </c>
    </row>
    <row r="505">
      <c r="B505" s="112" t="s">
        <v>1260</v>
      </c>
      <c r="C505" s="113" t="s">
        <v>2046</v>
      </c>
      <c r="D505" s="114">
        <f t="shared" si="1"/>
        <v>9618</v>
      </c>
      <c r="E505" s="115">
        <f>IFNA(vlookup(D505,Masters!C$5:C1000,1,false),"")</f>
        <v>9618</v>
      </c>
    </row>
    <row r="506">
      <c r="B506" s="109" t="s">
        <v>1437</v>
      </c>
      <c r="C506" s="110" t="s">
        <v>2047</v>
      </c>
      <c r="D506" s="111">
        <f t="shared" si="1"/>
        <v>9619</v>
      </c>
      <c r="E506" s="111">
        <f>IFNA(vlookup(D506,Masters!C$5:C1000,1,false),"")</f>
        <v>9619</v>
      </c>
    </row>
    <row r="507">
      <c r="B507" s="118"/>
      <c r="C507" s="119"/>
      <c r="D507" s="118"/>
      <c r="E507" s="118"/>
    </row>
    <row r="508">
      <c r="B508" s="118"/>
      <c r="C508" s="119"/>
      <c r="D508" s="118"/>
      <c r="E508" s="118"/>
    </row>
    <row r="509">
      <c r="B509" s="118"/>
      <c r="C509" s="119"/>
      <c r="D509" s="118"/>
      <c r="E509" s="118"/>
    </row>
    <row r="510">
      <c r="B510" s="118"/>
      <c r="C510" s="119"/>
      <c r="D510" s="118"/>
      <c r="E510" s="118"/>
    </row>
    <row r="511">
      <c r="B511" s="118"/>
      <c r="C511" s="119"/>
      <c r="D511" s="118"/>
      <c r="E511" s="118"/>
    </row>
    <row r="512">
      <c r="B512" s="118"/>
      <c r="C512" s="119"/>
      <c r="D512" s="118"/>
      <c r="E512" s="118"/>
    </row>
    <row r="513">
      <c r="B513" s="118"/>
      <c r="C513" s="119"/>
      <c r="D513" s="118"/>
      <c r="E513" s="118"/>
    </row>
    <row r="514">
      <c r="B514" s="118"/>
      <c r="C514" s="119"/>
      <c r="D514" s="118"/>
      <c r="E514" s="118"/>
    </row>
    <row r="515">
      <c r="B515" s="118"/>
      <c r="C515" s="119"/>
      <c r="D515" s="118"/>
      <c r="E515" s="118"/>
    </row>
    <row r="516">
      <c r="B516" s="118"/>
      <c r="C516" s="119"/>
      <c r="D516" s="118"/>
      <c r="E516" s="118"/>
    </row>
    <row r="517">
      <c r="B517" s="118"/>
      <c r="C517" s="119"/>
      <c r="D517" s="118"/>
      <c r="E517" s="118"/>
    </row>
    <row r="518">
      <c r="B518" s="118"/>
      <c r="C518" s="119"/>
      <c r="D518" s="118"/>
      <c r="E518" s="118"/>
    </row>
    <row r="519">
      <c r="B519" s="118"/>
      <c r="C519" s="119"/>
      <c r="D519" s="118"/>
      <c r="E519" s="118"/>
    </row>
    <row r="520">
      <c r="B520" s="118"/>
      <c r="C520" s="119"/>
      <c r="D520" s="118"/>
      <c r="E520" s="118"/>
    </row>
    <row r="521">
      <c r="B521" s="118"/>
      <c r="C521" s="119"/>
      <c r="D521" s="118"/>
      <c r="E521" s="118"/>
    </row>
    <row r="522">
      <c r="B522" s="118"/>
      <c r="C522" s="119"/>
      <c r="D522" s="118"/>
      <c r="E522" s="118"/>
    </row>
    <row r="523">
      <c r="B523" s="118"/>
      <c r="C523" s="119"/>
      <c r="D523" s="118"/>
      <c r="E523" s="118"/>
    </row>
    <row r="524">
      <c r="B524" s="118"/>
      <c r="C524" s="119"/>
      <c r="D524" s="118"/>
      <c r="E524" s="118"/>
    </row>
    <row r="525">
      <c r="B525" s="118"/>
      <c r="C525" s="119"/>
      <c r="D525" s="118"/>
      <c r="E525" s="118"/>
    </row>
    <row r="526">
      <c r="B526" s="118"/>
      <c r="C526" s="119"/>
      <c r="D526" s="118"/>
      <c r="E526" s="118"/>
    </row>
    <row r="527">
      <c r="B527" s="118"/>
      <c r="C527" s="119"/>
      <c r="D527" s="118"/>
      <c r="E527" s="118"/>
    </row>
    <row r="528">
      <c r="B528" s="118"/>
      <c r="C528" s="119"/>
      <c r="D528" s="118"/>
      <c r="E528" s="118"/>
    </row>
    <row r="529">
      <c r="B529" s="118"/>
      <c r="C529" s="119"/>
      <c r="D529" s="118"/>
      <c r="E529" s="118"/>
    </row>
    <row r="530">
      <c r="B530" s="118"/>
      <c r="C530" s="119"/>
      <c r="D530" s="118"/>
      <c r="E530" s="118"/>
    </row>
    <row r="531">
      <c r="B531" s="118"/>
      <c r="C531" s="119"/>
      <c r="D531" s="118"/>
      <c r="E531" s="118"/>
    </row>
  </sheetData>
  <drawing r:id="rId1"/>
</worksheet>
</file>