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env canada" sheetId="2" r:id="rId5"/>
    <sheet state="visible" name="bender" sheetId="3" r:id="rId6"/>
  </sheets>
  <definedNames/>
  <calcPr/>
</workbook>
</file>

<file path=xl/sharedStrings.xml><?xml version="1.0" encoding="utf-8"?>
<sst xmlns="http://schemas.openxmlformats.org/spreadsheetml/2006/main" count="113" uniqueCount="78">
  <si>
    <t>Storage</t>
  </si>
  <si>
    <t>MB per year</t>
  </si>
  <si>
    <t>GB per year</t>
  </si>
  <si>
    <t>Quota</t>
  </si>
  <si>
    <t>GB</t>
  </si>
  <si>
    <t>Run out of space (current usage)</t>
  </si>
  <si>
    <t>Years</t>
  </si>
  <si>
    <t>Bender (current)</t>
  </si>
  <si>
    <t>Quota with HA</t>
  </si>
  <si>
    <t>Run out of space (projected usage)</t>
  </si>
  <si>
    <t>Bender (projected)</t>
  </si>
  <si>
    <t>HA ratio</t>
  </si>
  <si>
    <t>Run out of space (projected, optimized)</t>
  </si>
  <si>
    <t>Env Canada (current)</t>
  </si>
  <si>
    <t>Env Canada (projected)</t>
  </si>
  <si>
    <t>Backup</t>
  </si>
  <si>
    <t>Env Canada (projected, optimized)</t>
  </si>
  <si>
    <t>Total, current</t>
  </si>
  <si>
    <t>Run out of spcae (projected, optimized)</t>
  </si>
  <si>
    <t>Total, projected</t>
  </si>
  <si>
    <t>Total, projected, optimized</t>
  </si>
  <si>
    <t>Storage needs</t>
  </si>
  <si>
    <t>Type</t>
  </si>
  <si>
    <t>Current</t>
  </si>
  <si>
    <t>Projected</t>
  </si>
  <si>
    <t>Projected Optimized</t>
  </si>
  <si>
    <t>Compression factor</t>
  </si>
  <si>
    <t>Backup Quota</t>
  </si>
  <si>
    <t>Daily backups</t>
  </si>
  <si>
    <t>Weekly backups</t>
  </si>
  <si>
    <t>Monthly backups</t>
  </si>
  <si>
    <t>Total</t>
  </si>
  <si>
    <t>Model runs:</t>
  </si>
  <si>
    <t>table</t>
  </si>
  <si>
    <t>current size in bytes (0 if n/a)</t>
  </si>
  <si>
    <t>alembic_version</t>
  </si>
  <si>
    <t>model_run_grid_subset_predictions</t>
  </si>
  <si>
    <t>size of each reading column is about 44 bytes</t>
  </si>
  <si>
    <t>prediction_model_grid_subsets</t>
  </si>
  <si>
    <t>prediction_model_runs</t>
  </si>
  <si>
    <t>prediction_models</t>
  </si>
  <si>
    <t>processed_model_run_files</t>
  </si>
  <si>
    <t>spatial_ref_sys</t>
  </si>
  <si>
    <t>total</t>
  </si>
  <si>
    <t>bytes per model run</t>
  </si>
  <si>
    <t>mb per model run</t>
  </si>
  <si>
    <t>model</t>
  </si>
  <si>
    <t>runs per day</t>
  </si>
  <si>
    <t>gdps</t>
  </si>
  <si>
    <t>hrdps</t>
  </si>
  <si>
    <t>each additional variable adds per model run, about:</t>
  </si>
  <si>
    <t>using select sum(pg_column_size(model_run_grid_subset_predictions.rh_tgl_2)) from model_run_grid_subset_predictions; divided by model runs</t>
  </si>
  <si>
    <t>we're adding N more variables</t>
  </si>
  <si>
    <t>so we'll be increasing to, per run</t>
  </si>
  <si>
    <t>or in mb</t>
  </si>
  <si>
    <t>Summary</t>
  </si>
  <si>
    <t>Current MB per model run</t>
  </si>
  <si>
    <t>Projected MB per model run</t>
  </si>
  <si>
    <t>Projected model runs per day</t>
  </si>
  <si>
    <t>Projected MB per day</t>
  </si>
  <si>
    <t>MB</t>
  </si>
  <si>
    <t>At current rate, in a year</t>
  </si>
  <si>
    <t>At projected rate, in a year</t>
  </si>
  <si>
    <t>Our quota in GB</t>
  </si>
  <si>
    <t>But we run 3 copies... so really</t>
  </si>
  <si>
    <t>At current rate, we have (years)</t>
  </si>
  <si>
    <t>At projected rate, we have (years)</t>
  </si>
  <si>
    <t>Optimizations?</t>
  </si>
  <si>
    <t>Factor</t>
  </si>
  <si>
    <t>Storing bounding rect, could store calulcated value</t>
  </si>
  <si>
    <t>Storing multiple 6 model runs, couild store rolled up value</t>
  </si>
  <si>
    <t>One run of bender</t>
  </si>
  <si>
    <t>Number of days</t>
  </si>
  <si>
    <t>technically 5 days, but only 3 days with lots of forecasts.</t>
  </si>
  <si>
    <t>Bytes per day</t>
  </si>
  <si>
    <t>MB per day</t>
  </si>
  <si>
    <t>MB in a year</t>
  </si>
  <si>
    <t>Projected bytes per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</si>
</sst>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>
      <b/>
    </font>
    <font>
      <color theme="1"/>
      <name val="Arial"/>
    </font>
    <font/>
    <font>
      <b/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0" fontId="2" numFmtId="0" xfId="0" applyBorder="1" applyFont="1"/>
    <xf borderId="8" fillId="0" fontId="3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4" numFmtId="0" xfId="0" applyFont="1"/>
    <xf borderId="6" fillId="0" fontId="1" numFmtId="0" xfId="0" applyAlignment="1" applyBorder="1" applyFont="1">
      <alignment readingOrder="0"/>
    </xf>
    <xf borderId="7" fillId="0" fontId="4" numFmtId="0" xfId="0" applyBorder="1" applyFont="1"/>
    <xf borderId="8" fillId="0" fontId="2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7" fillId="0" fontId="3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  <col customWidth="1" min="5" max="5" width="15.14"/>
    <col customWidth="1" min="6" max="6" width="12.0"/>
    <col customWidth="1" min="7" max="7" width="4.0"/>
    <col customWidth="1" min="9" max="9" width="33.57"/>
    <col customWidth="1" min="13" max="13" width="17.86"/>
  </cols>
  <sheetData>
    <row r="1">
      <c r="A1" s="1" t="s">
        <v>0</v>
      </c>
      <c r="B1" s="2"/>
      <c r="C1" s="2"/>
      <c r="D1" s="2"/>
      <c r="E1" s="3"/>
      <c r="F1" s="2"/>
      <c r="G1" s="4"/>
      <c r="I1" s="1" t="s">
        <v>0</v>
      </c>
      <c r="J1" s="2"/>
      <c r="K1" s="4"/>
    </row>
    <row r="2">
      <c r="A2" s="5"/>
      <c r="B2" s="6" t="s">
        <v>1</v>
      </c>
      <c r="C2" s="6" t="s">
        <v>2</v>
      </c>
      <c r="E2" s="7" t="s">
        <v>3</v>
      </c>
      <c r="F2" s="7">
        <v>200.0</v>
      </c>
      <c r="G2" s="8" t="s">
        <v>4</v>
      </c>
      <c r="I2" s="9" t="s">
        <v>5</v>
      </c>
      <c r="J2" s="10">
        <f>F3/C9</f>
        <v>28.50293639</v>
      </c>
      <c r="K2" s="8" t="s">
        <v>6</v>
      </c>
    </row>
    <row r="3">
      <c r="A3" s="9" t="s">
        <v>7</v>
      </c>
      <c r="B3" s="10">
        <f>bender!B7</f>
        <v>12.35677083</v>
      </c>
      <c r="C3" s="10">
        <f t="shared" ref="C3:C6" si="1">B3/1024</f>
        <v>0.01206715902</v>
      </c>
      <c r="E3" s="7" t="s">
        <v>8</v>
      </c>
      <c r="F3" s="10">
        <f>F2/3</f>
        <v>66.66666667</v>
      </c>
      <c r="G3" s="8" t="s">
        <v>4</v>
      </c>
      <c r="I3" s="9" t="s">
        <v>9</v>
      </c>
      <c r="J3" s="10">
        <f>F3/C10</f>
        <v>0.8293377606</v>
      </c>
      <c r="K3" s="8" t="s">
        <v>6</v>
      </c>
    </row>
    <row r="4">
      <c r="A4" s="9" t="s">
        <v>10</v>
      </c>
      <c r="B4" s="10">
        <f>bender!B12</f>
        <v>148.28125</v>
      </c>
      <c r="C4" s="10">
        <f t="shared" si="1"/>
        <v>0.1448059082</v>
      </c>
      <c r="E4" s="11" t="s">
        <v>11</v>
      </c>
      <c r="F4" s="11">
        <v>3.0</v>
      </c>
      <c r="G4" s="12"/>
      <c r="I4" s="13" t="s">
        <v>12</v>
      </c>
      <c r="J4" s="14">
        <f>F3/C11</f>
        <v>8.161065869</v>
      </c>
      <c r="K4" s="15" t="s">
        <v>6</v>
      </c>
    </row>
    <row r="5">
      <c r="A5" s="9" t="s">
        <v>13</v>
      </c>
      <c r="B5" s="10">
        <f>'env canada'!B36</f>
        <v>2382.718099</v>
      </c>
      <c r="C5" s="10">
        <f t="shared" si="1"/>
        <v>2.326873144</v>
      </c>
      <c r="G5" s="12"/>
    </row>
    <row r="6">
      <c r="A6" s="9" t="s">
        <v>14</v>
      </c>
      <c r="B6" s="10">
        <f>'env canada'!B37</f>
        <v>82166.39186</v>
      </c>
      <c r="C6" s="10">
        <f t="shared" si="1"/>
        <v>80.24061705</v>
      </c>
      <c r="G6" s="12"/>
      <c r="I6" s="1" t="s">
        <v>15</v>
      </c>
      <c r="J6" s="2"/>
      <c r="K6" s="4"/>
    </row>
    <row r="7">
      <c r="A7" s="9" t="s">
        <v>16</v>
      </c>
      <c r="B7" s="10">
        <f>B6/'env canada'!$B$50</f>
        <v>8216.639186</v>
      </c>
      <c r="C7" s="10">
        <f>C6/'env canada'!$B$50</f>
        <v>8.024061705</v>
      </c>
      <c r="G7" s="12"/>
      <c r="I7" s="9" t="s">
        <v>5</v>
      </c>
      <c r="J7" s="10">
        <f>F16/C23</f>
        <v>0.583014608</v>
      </c>
      <c r="K7" s="8" t="s">
        <v>6</v>
      </c>
    </row>
    <row r="8">
      <c r="A8" s="5"/>
      <c r="G8" s="12"/>
      <c r="I8" s="9" t="s">
        <v>9</v>
      </c>
      <c r="J8" s="10">
        <f>F16/C24</f>
        <v>0.01696372692</v>
      </c>
      <c r="K8" s="8" t="s">
        <v>6</v>
      </c>
    </row>
    <row r="9">
      <c r="A9" s="16" t="s">
        <v>17</v>
      </c>
      <c r="B9" s="10">
        <f t="shared" ref="B9:C9" si="2">B3+B5</f>
        <v>2395.07487</v>
      </c>
      <c r="C9" s="17">
        <f t="shared" si="2"/>
        <v>2.338940303</v>
      </c>
      <c r="G9" s="12"/>
      <c r="I9" s="13" t="s">
        <v>18</v>
      </c>
      <c r="J9" s="14">
        <f>F16/C25</f>
        <v>0.1669308928</v>
      </c>
      <c r="K9" s="15" t="s">
        <v>6</v>
      </c>
    </row>
    <row r="10">
      <c r="A10" s="16" t="s">
        <v>19</v>
      </c>
      <c r="B10" s="10">
        <f t="shared" ref="B10:C10" si="3">B4+B6</f>
        <v>82314.67311</v>
      </c>
      <c r="C10" s="17">
        <f t="shared" si="3"/>
        <v>80.38542296</v>
      </c>
      <c r="G10" s="12"/>
    </row>
    <row r="11">
      <c r="A11" s="18" t="s">
        <v>20</v>
      </c>
      <c r="B11" s="14">
        <f t="shared" ref="B11:C11" si="4">B4+B7</f>
        <v>8364.920436</v>
      </c>
      <c r="C11" s="19">
        <f t="shared" si="4"/>
        <v>8.168867614</v>
      </c>
      <c r="D11" s="14"/>
      <c r="E11" s="14"/>
      <c r="F11" s="14"/>
      <c r="G11" s="20"/>
      <c r="I11" s="21" t="s">
        <v>21</v>
      </c>
      <c r="J11" s="22"/>
      <c r="K11" s="22"/>
      <c r="L11" s="22"/>
      <c r="M11" s="23"/>
    </row>
    <row r="12">
      <c r="I12" s="9" t="s">
        <v>22</v>
      </c>
      <c r="J12" s="7" t="s">
        <v>6</v>
      </c>
      <c r="K12" s="7" t="s">
        <v>23</v>
      </c>
      <c r="L12" s="7" t="s">
        <v>24</v>
      </c>
      <c r="M12" s="8" t="s">
        <v>25</v>
      </c>
    </row>
    <row r="13">
      <c r="A13" s="1" t="s">
        <v>15</v>
      </c>
      <c r="B13" s="2"/>
      <c r="C13" s="2"/>
      <c r="D13" s="2"/>
      <c r="E13" s="2"/>
      <c r="F13" s="2"/>
      <c r="G13" s="4"/>
      <c r="I13" s="9" t="s">
        <v>0</v>
      </c>
      <c r="J13" s="7">
        <v>1.0</v>
      </c>
      <c r="K13" s="10">
        <f t="shared" ref="K13:K17" si="5">J13*$C$9*$F$4</f>
        <v>7.016820908</v>
      </c>
      <c r="L13" s="10">
        <f t="shared" ref="L13:L17" si="6">J13*$C$10*$F$4</f>
        <v>241.1562689</v>
      </c>
      <c r="M13" s="12">
        <f t="shared" ref="M13:M17" si="7">J13*$C$11*$F$4</f>
        <v>24.50660284</v>
      </c>
    </row>
    <row r="14">
      <c r="A14" s="9" t="s">
        <v>26</v>
      </c>
      <c r="B14" s="7">
        <v>3.0</v>
      </c>
      <c r="G14" s="12"/>
      <c r="I14" s="9" t="s">
        <v>0</v>
      </c>
      <c r="J14" s="7">
        <v>2.0</v>
      </c>
      <c r="K14" s="10">
        <f t="shared" si="5"/>
        <v>14.03364182</v>
      </c>
      <c r="L14" s="10">
        <f t="shared" si="6"/>
        <v>482.3125378</v>
      </c>
      <c r="M14" s="12">
        <f t="shared" si="7"/>
        <v>49.01320568</v>
      </c>
    </row>
    <row r="15">
      <c r="A15" s="5"/>
      <c r="G15" s="12"/>
      <c r="I15" s="9" t="s">
        <v>0</v>
      </c>
      <c r="J15" s="7">
        <v>5.0</v>
      </c>
      <c r="K15" s="10">
        <f t="shared" si="5"/>
        <v>35.08410454</v>
      </c>
      <c r="L15" s="10">
        <f t="shared" si="6"/>
        <v>1205.781344</v>
      </c>
      <c r="M15" s="12">
        <f t="shared" si="7"/>
        <v>122.5330142</v>
      </c>
    </row>
    <row r="16">
      <c r="A16" s="5"/>
      <c r="B16" s="6" t="s">
        <v>1</v>
      </c>
      <c r="C16" s="6" t="s">
        <v>2</v>
      </c>
      <c r="E16" s="7" t="s">
        <v>27</v>
      </c>
      <c r="F16" s="7">
        <v>5.0</v>
      </c>
      <c r="G16" s="8" t="s">
        <v>4</v>
      </c>
      <c r="I16" s="9" t="s">
        <v>0</v>
      </c>
      <c r="J16" s="7">
        <v>10.0</v>
      </c>
      <c r="K16" s="10">
        <f t="shared" si="5"/>
        <v>70.16820908</v>
      </c>
      <c r="L16" s="10">
        <f t="shared" si="6"/>
        <v>2411.562689</v>
      </c>
      <c r="M16" s="12">
        <f t="shared" si="7"/>
        <v>245.0660284</v>
      </c>
    </row>
    <row r="17">
      <c r="A17" s="9" t="s">
        <v>7</v>
      </c>
      <c r="B17" s="10">
        <f>B3*F21/B14</f>
        <v>45.30815972</v>
      </c>
      <c r="C17" s="10">
        <f>C3*F21/B14</f>
        <v>0.04424624973</v>
      </c>
      <c r="G17" s="12"/>
      <c r="I17" s="9" t="s">
        <v>0</v>
      </c>
      <c r="J17" s="7">
        <v>20.0</v>
      </c>
      <c r="K17" s="10">
        <f t="shared" si="5"/>
        <v>140.3364182</v>
      </c>
      <c r="L17" s="10">
        <f t="shared" si="6"/>
        <v>4823.125378</v>
      </c>
      <c r="M17" s="12">
        <f t="shared" si="7"/>
        <v>490.1320568</v>
      </c>
    </row>
    <row r="18">
      <c r="A18" s="9" t="s">
        <v>10</v>
      </c>
      <c r="B18" s="10">
        <f>B4*F21/B14</f>
        <v>543.6979167</v>
      </c>
      <c r="C18" s="10">
        <f>C4*F21/B14</f>
        <v>0.5309549967</v>
      </c>
      <c r="E18" s="7" t="s">
        <v>28</v>
      </c>
      <c r="F18" s="7">
        <v>6.0</v>
      </c>
      <c r="G18" s="12"/>
      <c r="I18" s="9" t="s">
        <v>15</v>
      </c>
      <c r="J18" s="7">
        <v>1.0</v>
      </c>
      <c r="K18" s="10">
        <f t="shared" ref="K18:K22" si="8">J18*$C$23</f>
        <v>8.576114443</v>
      </c>
      <c r="L18" s="10">
        <f t="shared" ref="L18:L22" si="9">J18*$C$24</f>
        <v>294.7465509</v>
      </c>
      <c r="M18" s="12">
        <f t="shared" ref="M18:M22" si="10">$C$25*J18</f>
        <v>29.95251458</v>
      </c>
    </row>
    <row r="19">
      <c r="A19" s="9" t="s">
        <v>13</v>
      </c>
      <c r="B19" s="10">
        <f>B5*F21/B14</f>
        <v>8736.63303</v>
      </c>
      <c r="C19" s="10">
        <f>C5*F21/B14</f>
        <v>8.531868193</v>
      </c>
      <c r="E19" s="7" t="s">
        <v>29</v>
      </c>
      <c r="F19" s="7">
        <v>4.0</v>
      </c>
      <c r="G19" s="12"/>
      <c r="I19" s="9" t="s">
        <v>15</v>
      </c>
      <c r="J19" s="7">
        <v>2.0</v>
      </c>
      <c r="K19" s="10">
        <f t="shared" si="8"/>
        <v>17.15222889</v>
      </c>
      <c r="L19" s="10">
        <f t="shared" si="9"/>
        <v>589.4931017</v>
      </c>
      <c r="M19" s="12">
        <f t="shared" si="10"/>
        <v>59.90502917</v>
      </c>
    </row>
    <row r="20">
      <c r="A20" s="9" t="s">
        <v>14</v>
      </c>
      <c r="B20" s="10">
        <f>B6*F21/B14</f>
        <v>301276.7702</v>
      </c>
      <c r="C20" s="10">
        <f>C6*F21/B14</f>
        <v>294.2155959</v>
      </c>
      <c r="E20" s="7" t="s">
        <v>30</v>
      </c>
      <c r="F20" s="7">
        <v>1.0</v>
      </c>
      <c r="G20" s="12"/>
      <c r="I20" s="9" t="s">
        <v>15</v>
      </c>
      <c r="J20" s="7">
        <v>5.0</v>
      </c>
      <c r="K20" s="10">
        <f t="shared" si="8"/>
        <v>42.88057221</v>
      </c>
      <c r="L20" s="10">
        <f t="shared" si="9"/>
        <v>1473.732754</v>
      </c>
      <c r="M20" s="12">
        <f t="shared" si="10"/>
        <v>149.7625729</v>
      </c>
    </row>
    <row r="21">
      <c r="A21" s="9" t="s">
        <v>16</v>
      </c>
      <c r="B21" s="10">
        <f>B7*F21/B14</f>
        <v>30127.67702</v>
      </c>
      <c r="C21" s="10">
        <f>C7*F21/B14</f>
        <v>29.42155959</v>
      </c>
      <c r="E21" s="6" t="s">
        <v>31</v>
      </c>
      <c r="F21" s="17">
        <f>sum(F18:F20)</f>
        <v>11</v>
      </c>
      <c r="G21" s="12"/>
      <c r="I21" s="9" t="s">
        <v>15</v>
      </c>
      <c r="J21" s="7">
        <v>10.0</v>
      </c>
      <c r="K21" s="10">
        <f t="shared" si="8"/>
        <v>85.76114443</v>
      </c>
      <c r="L21" s="10">
        <f t="shared" si="9"/>
        <v>2947.465509</v>
      </c>
      <c r="M21" s="12">
        <f t="shared" si="10"/>
        <v>299.5251458</v>
      </c>
    </row>
    <row r="22">
      <c r="A22" s="5"/>
      <c r="G22" s="12"/>
      <c r="I22" s="13" t="s">
        <v>15</v>
      </c>
      <c r="J22" s="24">
        <v>20.0</v>
      </c>
      <c r="K22" s="14">
        <f t="shared" si="8"/>
        <v>171.5222889</v>
      </c>
      <c r="L22" s="14">
        <f t="shared" si="9"/>
        <v>5894.931017</v>
      </c>
      <c r="M22" s="20">
        <f t="shared" si="10"/>
        <v>599.0502917</v>
      </c>
    </row>
    <row r="23">
      <c r="A23" s="16" t="s">
        <v>17</v>
      </c>
      <c r="B23" s="10">
        <f t="shared" ref="B23:C23" si="11">B17+B19</f>
        <v>8781.941189</v>
      </c>
      <c r="C23" s="17">
        <f t="shared" si="11"/>
        <v>8.576114443</v>
      </c>
      <c r="G23" s="12"/>
    </row>
    <row r="24">
      <c r="A24" s="16" t="s">
        <v>19</v>
      </c>
      <c r="B24" s="10">
        <f t="shared" ref="B24:C24" si="12">B18+B20</f>
        <v>301820.4681</v>
      </c>
      <c r="C24" s="17">
        <f t="shared" si="12"/>
        <v>294.7465509</v>
      </c>
      <c r="G24" s="12"/>
    </row>
    <row r="25">
      <c r="A25" s="18" t="s">
        <v>20</v>
      </c>
      <c r="B25" s="14">
        <f t="shared" ref="B25:C25" si="13">B18+B21</f>
        <v>30671.37493</v>
      </c>
      <c r="C25" s="19">
        <f t="shared" si="13"/>
        <v>29.95251458</v>
      </c>
      <c r="D25" s="14"/>
      <c r="E25" s="14"/>
      <c r="F25" s="14"/>
      <c r="G25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29"/>
    <col customWidth="1" min="2" max="2" width="26.71"/>
  </cols>
  <sheetData>
    <row r="1">
      <c r="B1" s="25"/>
    </row>
    <row r="2">
      <c r="A2" s="11" t="s">
        <v>32</v>
      </c>
      <c r="B2" s="11">
        <v>24.0</v>
      </c>
    </row>
    <row r="5">
      <c r="A5" s="26" t="s">
        <v>33</v>
      </c>
      <c r="B5" s="11" t="s">
        <v>34</v>
      </c>
    </row>
    <row r="6">
      <c r="A6" s="11" t="s">
        <v>35</v>
      </c>
      <c r="B6" s="11">
        <v>0.0</v>
      </c>
    </row>
    <row r="7">
      <c r="A7" s="11" t="s">
        <v>36</v>
      </c>
      <c r="B7" s="11">
        <v>8.1321984E7</v>
      </c>
      <c r="C7" s="11" t="s">
        <v>37</v>
      </c>
    </row>
    <row r="8">
      <c r="A8" s="11" t="s">
        <v>38</v>
      </c>
      <c r="B8" s="11">
        <v>0.0</v>
      </c>
    </row>
    <row r="9">
      <c r="A9" s="11" t="s">
        <v>39</v>
      </c>
      <c r="B9" s="11">
        <v>8192.0</v>
      </c>
    </row>
    <row r="10">
      <c r="A10" s="11" t="s">
        <v>40</v>
      </c>
      <c r="B10" s="11">
        <v>0.0</v>
      </c>
    </row>
    <row r="11">
      <c r="A11" s="11" t="s">
        <v>41</v>
      </c>
      <c r="B11" s="11">
        <v>811008.0</v>
      </c>
    </row>
    <row r="12">
      <c r="A12" s="11" t="s">
        <v>42</v>
      </c>
      <c r="B12" s="11">
        <v>0.0</v>
      </c>
    </row>
    <row r="13">
      <c r="A13" s="26" t="s">
        <v>43</v>
      </c>
      <c r="B13" s="10">
        <f>sum(B6:B12)</f>
        <v>82141184</v>
      </c>
    </row>
    <row r="14">
      <c r="A14" s="26" t="s">
        <v>44</v>
      </c>
      <c r="B14" s="10">
        <f>B13/B2</f>
        <v>3422549.333</v>
      </c>
    </row>
    <row r="15">
      <c r="A15" s="26" t="s">
        <v>45</v>
      </c>
      <c r="B15" s="17">
        <f>B14/1024/1024</f>
        <v>3.263997396</v>
      </c>
    </row>
    <row r="17">
      <c r="A17" s="11" t="s">
        <v>46</v>
      </c>
      <c r="B17" s="11" t="s">
        <v>47</v>
      </c>
    </row>
    <row r="18">
      <c r="A18" s="11" t="s">
        <v>48</v>
      </c>
      <c r="B18" s="11">
        <v>2.0</v>
      </c>
    </row>
    <row r="19">
      <c r="A19" s="11" t="s">
        <v>49</v>
      </c>
      <c r="B19" s="11">
        <v>4.0</v>
      </c>
    </row>
    <row r="21">
      <c r="A21" s="11" t="s">
        <v>50</v>
      </c>
      <c r="B21" s="10">
        <v>1044784.5833333334</v>
      </c>
      <c r="C21" s="11" t="s">
        <v>51</v>
      </c>
    </row>
    <row r="22">
      <c r="A22" s="11" t="s">
        <v>52</v>
      </c>
      <c r="B22" s="11">
        <v>3.0</v>
      </c>
    </row>
    <row r="23">
      <c r="A23" s="11" t="s">
        <v>53</v>
      </c>
      <c r="B23" s="10">
        <f>B14+B22*B21</f>
        <v>6556903.083</v>
      </c>
    </row>
    <row r="24">
      <c r="A24" s="26" t="s">
        <v>54</v>
      </c>
      <c r="B24" s="17">
        <f>B23/1024/1024</f>
        <v>6.253150066</v>
      </c>
      <c r="I24" s="26"/>
    </row>
    <row r="29">
      <c r="A29" s="26" t="s">
        <v>55</v>
      </c>
    </row>
    <row r="30">
      <c r="A30" s="11" t="s">
        <v>56</v>
      </c>
      <c r="B30" s="10">
        <f>B15</f>
        <v>3.263997396</v>
      </c>
    </row>
    <row r="31">
      <c r="A31" s="11" t="s">
        <v>57</v>
      </c>
      <c r="B31" s="10">
        <f>B24</f>
        <v>6.253150066</v>
      </c>
    </row>
    <row r="32">
      <c r="A32" s="11" t="s">
        <v>58</v>
      </c>
      <c r="B32" s="10">
        <f>B18+B19</f>
        <v>6</v>
      </c>
    </row>
    <row r="33">
      <c r="A33" s="11" t="s">
        <v>59</v>
      </c>
      <c r="B33" s="10">
        <f>B32*B31</f>
        <v>37.51890039</v>
      </c>
    </row>
    <row r="35">
      <c r="B35" s="11" t="s">
        <v>60</v>
      </c>
      <c r="C35" s="11" t="s">
        <v>4</v>
      </c>
    </row>
    <row r="36">
      <c r="A36" s="11" t="s">
        <v>61</v>
      </c>
      <c r="B36" s="11">
        <f>B30*B18*365</f>
        <v>2382.718099</v>
      </c>
      <c r="C36" s="10">
        <f t="shared" ref="C36:C37" si="1">B36/1024</f>
        <v>2.326873144</v>
      </c>
    </row>
    <row r="37">
      <c r="A37" s="11" t="s">
        <v>62</v>
      </c>
      <c r="B37" s="10">
        <f>B33*B32*365</f>
        <v>82166.39186</v>
      </c>
      <c r="C37" s="10">
        <f t="shared" si="1"/>
        <v>80.24061705</v>
      </c>
    </row>
    <row r="39">
      <c r="A39" s="11" t="s">
        <v>63</v>
      </c>
      <c r="C39" s="11">
        <v>200.0</v>
      </c>
    </row>
    <row r="40">
      <c r="A40" s="11" t="s">
        <v>64</v>
      </c>
      <c r="C40" s="10">
        <f>C39/3</f>
        <v>66.66666667</v>
      </c>
    </row>
    <row r="41">
      <c r="A41" s="11" t="s">
        <v>65</v>
      </c>
      <c r="C41" s="10">
        <f>C40/C36</f>
        <v>28.65075256</v>
      </c>
    </row>
    <row r="42">
      <c r="A42" s="11" t="s">
        <v>66</v>
      </c>
      <c r="C42" s="10">
        <f>C40/C37</f>
        <v>0.8308344217</v>
      </c>
    </row>
    <row r="47">
      <c r="A47" s="11" t="s">
        <v>67</v>
      </c>
      <c r="B47" s="11" t="s">
        <v>68</v>
      </c>
    </row>
    <row r="48">
      <c r="A48" s="11" t="s">
        <v>69</v>
      </c>
      <c r="B48" s="11">
        <v>4.0</v>
      </c>
    </row>
    <row r="49">
      <c r="A49" s="11" t="s">
        <v>70</v>
      </c>
      <c r="B49" s="11">
        <v>6.0</v>
      </c>
    </row>
    <row r="50">
      <c r="B50" s="11">
        <f>sum(B48:B49)</f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</cols>
  <sheetData>
    <row r="3">
      <c r="A3" s="11" t="s">
        <v>71</v>
      </c>
      <c r="B3" s="11">
        <v>106496.0</v>
      </c>
    </row>
    <row r="4">
      <c r="A4" s="11" t="s">
        <v>72</v>
      </c>
      <c r="B4" s="11">
        <v>3.0</v>
      </c>
      <c r="C4" s="11" t="s">
        <v>73</v>
      </c>
    </row>
    <row r="5">
      <c r="A5" s="11" t="s">
        <v>74</v>
      </c>
      <c r="B5" s="10">
        <f>B3/B4</f>
        <v>35498.66667</v>
      </c>
    </row>
    <row r="6">
      <c r="A6" s="11" t="s">
        <v>75</v>
      </c>
      <c r="B6" s="10">
        <f>B5/1024/1024</f>
        <v>0.03385416667</v>
      </c>
    </row>
    <row r="7">
      <c r="A7" s="11" t="s">
        <v>76</v>
      </c>
      <c r="B7" s="10">
        <f>B6*365</f>
        <v>12.35677083</v>
      </c>
    </row>
    <row r="10">
      <c r="A10" s="7" t="s">
        <v>77</v>
      </c>
      <c r="B10" s="10">
        <f>B5*12</f>
        <v>425984</v>
      </c>
    </row>
    <row r="11">
      <c r="A11" s="11" t="s">
        <v>75</v>
      </c>
      <c r="B11" s="10">
        <f>B10/1024/1024</f>
        <v>0.40625</v>
      </c>
    </row>
    <row r="12">
      <c r="A12" s="11" t="s">
        <v>76</v>
      </c>
      <c r="B12" s="10">
        <f>B11*365</f>
        <v>148.28125</v>
      </c>
    </row>
  </sheetData>
  <drawing r:id="rId1"/>
</worksheet>
</file>