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in\PROJECTS\COAST_WIDE\"/>
    </mc:Choice>
  </mc:AlternateContent>
  <bookViews>
    <workbookView xWindow="0" yWindow="0" windowWidth="28800" windowHeight="14235" activeTab="4"/>
  </bookViews>
  <sheets>
    <sheet name="CSL_interpolated" sheetId="3" r:id="rId1"/>
    <sheet name="KW_interpolated" sheetId="4" r:id="rId2"/>
    <sheet name="HS_interpolated" sheetId="5" r:id="rId3"/>
    <sheet name="SSL_interpolated" sheetId="6" r:id="rId4"/>
    <sheet name="SSL_EGULF" sheetId="8" r:id="rId5"/>
    <sheet name="CSL_ColumbiaRiver" sheetId="7" r:id="rId6"/>
  </sheets>
  <externalReferences>
    <externalReference r:id="rId7"/>
  </externalReferences>
  <definedNames>
    <definedName name="hs_col_lam">HS_interpolated!$AN$4</definedName>
    <definedName name="hs_Col_n0">HS_interpolated!$AN$3</definedName>
    <definedName name="hs_counts">HS_interpolated!$AI$8:$AJ$35</definedName>
    <definedName name="K">CSL_interpolated!$AC$2</definedName>
    <definedName name="K_2">CSL_interpolated!$R$3</definedName>
    <definedName name="k_3">SSL_interpolated!$M$3</definedName>
    <definedName name="N0">CSL_interpolated!$AC$1</definedName>
    <definedName name="N0_2">CSL_interpolated!$R$1</definedName>
    <definedName name="N0_3">SSL_interpolated!$M$1</definedName>
    <definedName name="r_">CSL_interpolated!$AC$3</definedName>
    <definedName name="r_2">CSL_interpolated!$R$2</definedName>
    <definedName name="r_3">SSL_interpolated!$M$2</definedName>
    <definedName name="solver_adj" localSheetId="5" hidden="1">CSL_ColumbiaRiver!$AG$3:$AG$4</definedName>
    <definedName name="solver_adj" localSheetId="0" hidden="1">CSL_interpolated!$R$1:$R$3</definedName>
    <definedName name="solver_adj" localSheetId="2" hidden="1">HS_interpolated!$AN$3:$AN$4</definedName>
    <definedName name="solver_adj" localSheetId="3" hidden="1">SSL_interpolated!$M$1:$M$3</definedName>
    <definedName name="solver_cvg" localSheetId="5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5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5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5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5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mip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5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5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5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5" hidden="1">2</definedName>
    <definedName name="solver_neg" localSheetId="0" hidden="1">1</definedName>
    <definedName name="solver_neg" localSheetId="2" hidden="1">1</definedName>
    <definedName name="solver_neg" localSheetId="3" hidden="1">2</definedName>
    <definedName name="solver_nod" localSheetId="5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5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5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5" hidden="1">CSL_ColumbiaRiver!$AJ$3</definedName>
    <definedName name="solver_opt" localSheetId="0" hidden="1">CSL_interpolated!$T$2</definedName>
    <definedName name="solver_opt" localSheetId="2" hidden="1">HS_interpolated!$AO$3</definedName>
    <definedName name="solver_opt" localSheetId="3" hidden="1">SSL_interpolated!$O$2</definedName>
    <definedName name="solver_pre" localSheetId="5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5" hidden="1">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lx" localSheetId="5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5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5" hidden="1">1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5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5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5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5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5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5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5" hidden="1">3</definedName>
    <definedName name="solver_ver" localSheetId="0" hidden="1">3</definedName>
    <definedName name="solver_ver" localSheetId="2" hidden="1">3</definedName>
    <definedName name="solver_ver" localSheetId="3" hidden="1">3</definedName>
    <definedName name="year">CSL_ColumbiaRiver!$N$5:$O$16</definedName>
  </definedNames>
  <calcPr calcId="162913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8" l="1"/>
  <c r="E45" i="8"/>
  <c r="E44" i="8" s="1"/>
  <c r="E43" i="8"/>
  <c r="E42" i="8" s="1"/>
  <c r="E41" i="8"/>
  <c r="E40" i="8" s="1"/>
  <c r="E39" i="8"/>
  <c r="E38" i="8" s="1"/>
  <c r="E37" i="8"/>
  <c r="E35" i="8"/>
  <c r="E31" i="8"/>
  <c r="E32" i="8" s="1"/>
  <c r="E33" i="8" s="1"/>
  <c r="F30" i="8"/>
  <c r="E23" i="8"/>
  <c r="E24" i="8" s="1"/>
  <c r="E25" i="8" s="1"/>
  <c r="E26" i="8" s="1"/>
  <c r="E27" i="8" s="1"/>
  <c r="E28" i="8" s="1"/>
  <c r="E29" i="8" s="1"/>
  <c r="G22" i="8"/>
  <c r="F22" i="8"/>
  <c r="M20" i="8"/>
  <c r="J20" i="8"/>
  <c r="M19" i="8"/>
  <c r="J19" i="8"/>
  <c r="M18" i="8"/>
  <c r="J18" i="8"/>
  <c r="M17" i="8"/>
  <c r="J17" i="8"/>
  <c r="M16" i="8"/>
  <c r="J16" i="8"/>
  <c r="M15" i="8"/>
  <c r="J15" i="8"/>
  <c r="M14" i="8"/>
  <c r="E36" i="8" s="1"/>
  <c r="J14" i="8"/>
  <c r="M13" i="8"/>
  <c r="J13" i="8"/>
  <c r="M12" i="8"/>
  <c r="J12" i="8"/>
  <c r="D7" i="8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E6" i="8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D6" i="8"/>
  <c r="F5" i="8"/>
  <c r="F47" i="8" l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46" i="8"/>
  <c r="O13" i="6" l="1"/>
  <c r="O14" i="6"/>
  <c r="O16" i="6"/>
  <c r="O17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9" i="6"/>
  <c r="O40" i="6"/>
  <c r="O41" i="6"/>
  <c r="O42" i="6"/>
  <c r="O45" i="6"/>
  <c r="O46" i="6"/>
  <c r="O47" i="6"/>
  <c r="O51" i="6"/>
  <c r="O52" i="6"/>
  <c r="O53" i="6"/>
  <c r="O54" i="6"/>
  <c r="O55" i="6"/>
  <c r="O56" i="6"/>
  <c r="P56" i="3"/>
  <c r="N6" i="6"/>
  <c r="O6" i="6" s="1"/>
  <c r="M6" i="3"/>
  <c r="M7" i="3"/>
  <c r="M8" i="3"/>
  <c r="M9" i="3"/>
  <c r="M10" i="3"/>
  <c r="M11" i="3"/>
  <c r="M14" i="3"/>
  <c r="M17" i="3"/>
  <c r="M18" i="3"/>
  <c r="M19" i="3"/>
  <c r="M37" i="3"/>
  <c r="M42" i="3"/>
  <c r="M43" i="3"/>
  <c r="M47" i="3"/>
  <c r="M48" i="3"/>
  <c r="M49" i="3"/>
  <c r="M5" i="3"/>
  <c r="P8" i="3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7" i="3"/>
  <c r="T13" i="3"/>
  <c r="T14" i="3"/>
  <c r="T17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9" i="3"/>
  <c r="T40" i="3"/>
  <c r="T41" i="3"/>
  <c r="T42" i="3"/>
  <c r="T45" i="3"/>
  <c r="T46" i="3"/>
  <c r="T47" i="3"/>
  <c r="T51" i="3"/>
  <c r="T52" i="3"/>
  <c r="T53" i="3"/>
  <c r="T54" i="3"/>
  <c r="T55" i="3"/>
  <c r="T56" i="3"/>
  <c r="S6" i="3"/>
  <c r="T6" i="3" s="1"/>
  <c r="Q20" i="3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9" i="3"/>
  <c r="Q10" i="3" s="1"/>
  <c r="Q11" i="3" s="1"/>
  <c r="Q12" i="3" s="1"/>
  <c r="Q8" i="3"/>
  <c r="AC6" i="3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P6" i="6" l="1"/>
  <c r="N7" i="6"/>
  <c r="P7" i="6" s="1"/>
  <c r="U6" i="3"/>
  <c r="S7" i="3"/>
  <c r="U7" i="3" s="1"/>
  <c r="V7" i="6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S50" i="6"/>
  <c r="S49" i="6" s="1"/>
  <c r="S48" i="6" s="1"/>
  <c r="S47" i="6" s="1"/>
  <c r="S46" i="6" s="1"/>
  <c r="S45" i="6" s="1"/>
  <c r="S44" i="6" s="1"/>
  <c r="S43" i="6" s="1"/>
  <c r="S42" i="6" s="1"/>
  <c r="S41" i="6" s="1"/>
  <c r="S40" i="6" s="1"/>
  <c r="S39" i="6" s="1"/>
  <c r="S38" i="6" s="1"/>
  <c r="S37" i="6" s="1"/>
  <c r="S36" i="6" s="1"/>
  <c r="S35" i="6" s="1"/>
  <c r="S34" i="6" s="1"/>
  <c r="S33" i="6" s="1"/>
  <c r="S32" i="6" s="1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20" i="6" s="1"/>
  <c r="S19" i="6" s="1"/>
  <c r="S18" i="6" s="1"/>
  <c r="S17" i="6" s="1"/>
  <c r="S16" i="6" s="1"/>
  <c r="S15" i="6" s="1"/>
  <c r="S14" i="6" s="1"/>
  <c r="S13" i="6" s="1"/>
  <c r="S12" i="6" s="1"/>
  <c r="S11" i="6" s="1"/>
  <c r="S10" i="6" s="1"/>
  <c r="S9" i="6" s="1"/>
  <c r="S8" i="6" s="1"/>
  <c r="S7" i="6" s="1"/>
  <c r="S6" i="6" s="1"/>
  <c r="T6" i="6" s="1"/>
  <c r="AB6" i="6" s="1"/>
  <c r="R6" i="6"/>
  <c r="R7" i="6" s="1"/>
  <c r="O7" i="6" l="1"/>
  <c r="N8" i="6"/>
  <c r="P8" i="6" s="1"/>
  <c r="S8" i="3"/>
  <c r="U8" i="3" s="1"/>
  <c r="T7" i="3"/>
  <c r="S51" i="6"/>
  <c r="R8" i="6"/>
  <c r="T7" i="6"/>
  <c r="AB7" i="6" s="1"/>
  <c r="O8" i="6" l="1"/>
  <c r="N9" i="6"/>
  <c r="P9" i="6" s="1"/>
  <c r="S9" i="3"/>
  <c r="U9" i="3" s="1"/>
  <c r="T8" i="3"/>
  <c r="R9" i="6"/>
  <c r="T8" i="6"/>
  <c r="AB8" i="6" s="1"/>
  <c r="N10" i="6" l="1"/>
  <c r="P10" i="6" s="1"/>
  <c r="O9" i="6"/>
  <c r="S10" i="3"/>
  <c r="U10" i="3" s="1"/>
  <c r="T9" i="3"/>
  <c r="T9" i="6"/>
  <c r="AB9" i="6" s="1"/>
  <c r="R10" i="6"/>
  <c r="N11" i="6" l="1"/>
  <c r="P11" i="6" s="1"/>
  <c r="O10" i="6"/>
  <c r="S11" i="3"/>
  <c r="U11" i="3" s="1"/>
  <c r="T10" i="3"/>
  <c r="T10" i="6"/>
  <c r="AB10" i="6" s="1"/>
  <c r="R11" i="6"/>
  <c r="N12" i="6" l="1"/>
  <c r="P12" i="6" s="1"/>
  <c r="O11" i="6"/>
  <c r="S12" i="3"/>
  <c r="U12" i="3" s="1"/>
  <c r="T11" i="3"/>
  <c r="R12" i="6"/>
  <c r="T11" i="6"/>
  <c r="AB11" i="6" s="1"/>
  <c r="N13" i="6" l="1"/>
  <c r="O12" i="6"/>
  <c r="S13" i="3"/>
  <c r="T12" i="3"/>
  <c r="R13" i="6"/>
  <c r="T12" i="6"/>
  <c r="AB12" i="6" s="1"/>
  <c r="N14" i="6" l="1"/>
  <c r="P13" i="6"/>
  <c r="S14" i="3"/>
  <c r="U13" i="3"/>
  <c r="M12" i="3" s="1"/>
  <c r="R14" i="6"/>
  <c r="T13" i="6"/>
  <c r="AB13" i="6" s="1"/>
  <c r="N15" i="6" l="1"/>
  <c r="P14" i="6"/>
  <c r="S15" i="3"/>
  <c r="S16" i="3" s="1"/>
  <c r="U14" i="3"/>
  <c r="M13" i="3" s="1"/>
  <c r="R15" i="6"/>
  <c r="T14" i="6"/>
  <c r="AB14" i="6" s="1"/>
  <c r="P15" i="6" l="1"/>
  <c r="N16" i="6"/>
  <c r="O15" i="6"/>
  <c r="U16" i="3"/>
  <c r="M15" i="3" s="1"/>
  <c r="S17" i="3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U15" i="3"/>
  <c r="T15" i="3"/>
  <c r="R16" i="6"/>
  <c r="T15" i="6"/>
  <c r="AB15" i="6" s="1"/>
  <c r="N17" i="6" l="1"/>
  <c r="P16" i="6"/>
  <c r="S45" i="3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T44" i="3"/>
  <c r="U17" i="3"/>
  <c r="M16" i="3" s="1"/>
  <c r="R17" i="6"/>
  <c r="T16" i="6"/>
  <c r="AB16" i="6" s="1"/>
  <c r="N18" i="6" l="1"/>
  <c r="P17" i="6"/>
  <c r="U18" i="3"/>
  <c r="T18" i="3"/>
  <c r="R18" i="6"/>
  <c r="T17" i="6"/>
  <c r="AB17" i="6" s="1"/>
  <c r="P18" i="6" l="1"/>
  <c r="N19" i="6"/>
  <c r="O18" i="6"/>
  <c r="U19" i="3"/>
  <c r="T19" i="3"/>
  <c r="R19" i="6"/>
  <c r="T18" i="6"/>
  <c r="AB18" i="6" s="1"/>
  <c r="P19" i="6" l="1"/>
  <c r="O19" i="6"/>
  <c r="N20" i="6"/>
  <c r="U20" i="3"/>
  <c r="T20" i="3"/>
  <c r="R20" i="6"/>
  <c r="T19" i="6"/>
  <c r="AB19" i="6" s="1"/>
  <c r="P20" i="6" l="1"/>
  <c r="N21" i="6"/>
  <c r="O20" i="6"/>
  <c r="U21" i="3"/>
  <c r="M20" i="3" s="1"/>
  <c r="R21" i="6"/>
  <c r="T20" i="6"/>
  <c r="AB20" i="6" s="1"/>
  <c r="N22" i="6" l="1"/>
  <c r="P21" i="6"/>
  <c r="U22" i="3"/>
  <c r="M21" i="3" s="1"/>
  <c r="R22" i="6"/>
  <c r="T21" i="6"/>
  <c r="AB21" i="6" s="1"/>
  <c r="N23" i="6" l="1"/>
  <c r="P22" i="6"/>
  <c r="U23" i="3"/>
  <c r="M22" i="3" s="1"/>
  <c r="R23" i="6"/>
  <c r="T22" i="6"/>
  <c r="AB22" i="6" s="1"/>
  <c r="N24" i="6" l="1"/>
  <c r="P23" i="6"/>
  <c r="U24" i="3"/>
  <c r="M23" i="3" s="1"/>
  <c r="R24" i="6"/>
  <c r="T23" i="6"/>
  <c r="AB23" i="6" s="1"/>
  <c r="N25" i="6" l="1"/>
  <c r="P24" i="6"/>
  <c r="U25" i="3"/>
  <c r="M24" i="3" s="1"/>
  <c r="R25" i="6"/>
  <c r="T24" i="6"/>
  <c r="AB24" i="6" s="1"/>
  <c r="N26" i="6" l="1"/>
  <c r="P25" i="6"/>
  <c r="U26" i="3"/>
  <c r="M25" i="3" s="1"/>
  <c r="R26" i="6"/>
  <c r="T25" i="6"/>
  <c r="AB25" i="6" s="1"/>
  <c r="N27" i="6" l="1"/>
  <c r="P26" i="6"/>
  <c r="U27" i="3"/>
  <c r="M26" i="3" s="1"/>
  <c r="R27" i="6"/>
  <c r="T26" i="6"/>
  <c r="AB26" i="6" s="1"/>
  <c r="N28" i="6" l="1"/>
  <c r="P27" i="6"/>
  <c r="U28" i="3"/>
  <c r="M27" i="3" s="1"/>
  <c r="R28" i="6"/>
  <c r="T27" i="6"/>
  <c r="AB27" i="6" s="1"/>
  <c r="N29" i="6" l="1"/>
  <c r="P28" i="6"/>
  <c r="U29" i="3"/>
  <c r="M28" i="3" s="1"/>
  <c r="R29" i="6"/>
  <c r="T28" i="6"/>
  <c r="AB28" i="6" s="1"/>
  <c r="N30" i="6" l="1"/>
  <c r="P29" i="6"/>
  <c r="U30" i="3"/>
  <c r="M29" i="3" s="1"/>
  <c r="R30" i="6"/>
  <c r="T29" i="6"/>
  <c r="AB29" i="6" s="1"/>
  <c r="N31" i="6" l="1"/>
  <c r="P30" i="6"/>
  <c r="U31" i="3"/>
  <c r="M30" i="3" s="1"/>
  <c r="R31" i="6"/>
  <c r="T30" i="6"/>
  <c r="AB30" i="6" s="1"/>
  <c r="N32" i="6" l="1"/>
  <c r="P31" i="6"/>
  <c r="U32" i="3"/>
  <c r="M31" i="3" s="1"/>
  <c r="R32" i="6"/>
  <c r="T31" i="6"/>
  <c r="AB31" i="6" s="1"/>
  <c r="N33" i="6" l="1"/>
  <c r="P32" i="6"/>
  <c r="U33" i="3"/>
  <c r="M32" i="3" s="1"/>
  <c r="R33" i="6"/>
  <c r="T32" i="6"/>
  <c r="AB32" i="6" s="1"/>
  <c r="N34" i="6" l="1"/>
  <c r="P33" i="6"/>
  <c r="U34" i="3"/>
  <c r="M33" i="3" s="1"/>
  <c r="R34" i="6"/>
  <c r="T33" i="6"/>
  <c r="AB33" i="6" s="1"/>
  <c r="N35" i="6" l="1"/>
  <c r="P34" i="6"/>
  <c r="U35" i="3"/>
  <c r="M34" i="3" s="1"/>
  <c r="R35" i="6"/>
  <c r="T34" i="6"/>
  <c r="AB34" i="6" s="1"/>
  <c r="N36" i="6" l="1"/>
  <c r="P35" i="6"/>
  <c r="U36" i="3"/>
  <c r="M35" i="3" s="1"/>
  <c r="R36" i="6"/>
  <c r="T35" i="6"/>
  <c r="AB35" i="6" s="1"/>
  <c r="N37" i="6" l="1"/>
  <c r="P36" i="6"/>
  <c r="U37" i="3"/>
  <c r="M36" i="3" s="1"/>
  <c r="R37" i="6"/>
  <c r="T36" i="6"/>
  <c r="AB36" i="6" s="1"/>
  <c r="N38" i="6" l="1"/>
  <c r="P37" i="6"/>
  <c r="U38" i="3"/>
  <c r="T38" i="3"/>
  <c r="R38" i="6"/>
  <c r="T37" i="6"/>
  <c r="AB37" i="6" s="1"/>
  <c r="P38" i="6" l="1"/>
  <c r="N39" i="6"/>
  <c r="O38" i="6"/>
  <c r="U39" i="3"/>
  <c r="M38" i="3" s="1"/>
  <c r="R39" i="6"/>
  <c r="T38" i="6"/>
  <c r="AB38" i="6" s="1"/>
  <c r="N40" i="6" l="1"/>
  <c r="P39" i="6"/>
  <c r="U40" i="3"/>
  <c r="M39" i="3" s="1"/>
  <c r="R40" i="6"/>
  <c r="T39" i="6"/>
  <c r="AB39" i="6" s="1"/>
  <c r="N41" i="6" l="1"/>
  <c r="P40" i="6"/>
  <c r="U41" i="3"/>
  <c r="M40" i="3" s="1"/>
  <c r="R41" i="6"/>
  <c r="T40" i="6"/>
  <c r="AB40" i="6" s="1"/>
  <c r="N42" i="6" l="1"/>
  <c r="P41" i="6"/>
  <c r="U42" i="3"/>
  <c r="M41" i="3" s="1"/>
  <c r="R42" i="6"/>
  <c r="T41" i="6"/>
  <c r="AB41" i="6" s="1"/>
  <c r="N43" i="6" l="1"/>
  <c r="P42" i="6"/>
  <c r="U43" i="3"/>
  <c r="T43" i="3"/>
  <c r="R43" i="6"/>
  <c r="T42" i="6"/>
  <c r="AB42" i="6" s="1"/>
  <c r="P43" i="6" l="1"/>
  <c r="O43" i="6"/>
  <c r="N44" i="6"/>
  <c r="U44" i="3"/>
  <c r="R44" i="6"/>
  <c r="T43" i="6"/>
  <c r="AB43" i="6" s="1"/>
  <c r="P44" i="6" l="1"/>
  <c r="O44" i="6"/>
  <c r="N45" i="6"/>
  <c r="U45" i="3"/>
  <c r="M44" i="3" s="1"/>
  <c r="R45" i="6"/>
  <c r="T44" i="6"/>
  <c r="AB44" i="6" s="1"/>
  <c r="N46" i="6" l="1"/>
  <c r="P45" i="6"/>
  <c r="U46" i="3"/>
  <c r="M45" i="3" s="1"/>
  <c r="R46" i="6"/>
  <c r="T45" i="6"/>
  <c r="AB45" i="6" s="1"/>
  <c r="N47" i="6" l="1"/>
  <c r="P46" i="6"/>
  <c r="U47" i="3"/>
  <c r="M46" i="3" s="1"/>
  <c r="R47" i="6"/>
  <c r="T46" i="6"/>
  <c r="AB46" i="6" s="1"/>
  <c r="N48" i="6" l="1"/>
  <c r="P47" i="6"/>
  <c r="U48" i="3"/>
  <c r="T48" i="3"/>
  <c r="R48" i="6"/>
  <c r="T47" i="6"/>
  <c r="AB47" i="6" s="1"/>
  <c r="P48" i="6" l="1"/>
  <c r="O48" i="6"/>
  <c r="N49" i="6"/>
  <c r="U49" i="3"/>
  <c r="T49" i="3"/>
  <c r="R49" i="6"/>
  <c r="T48" i="6"/>
  <c r="AB48" i="6" s="1"/>
  <c r="P49" i="6" l="1"/>
  <c r="N50" i="6"/>
  <c r="O49" i="6"/>
  <c r="U50" i="3"/>
  <c r="T50" i="3"/>
  <c r="T2" i="3" s="1"/>
  <c r="R50" i="6"/>
  <c r="T49" i="6"/>
  <c r="AB49" i="6" s="1"/>
  <c r="P50" i="6" l="1"/>
  <c r="N51" i="6"/>
  <c r="O50" i="6"/>
  <c r="O2" i="6" s="1"/>
  <c r="U51" i="3"/>
  <c r="M50" i="3" s="1"/>
  <c r="R51" i="6"/>
  <c r="T51" i="6" s="1"/>
  <c r="AB51" i="6" s="1"/>
  <c r="T50" i="6"/>
  <c r="AB50" i="6" s="1"/>
  <c r="N52" i="6" l="1"/>
  <c r="P51" i="6"/>
  <c r="U52" i="3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8" i="5"/>
  <c r="F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8" i="5"/>
  <c r="N53" i="6" l="1"/>
  <c r="P52" i="6"/>
  <c r="U53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W7" i="6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N54" i="6" l="1"/>
  <c r="P53" i="6"/>
  <c r="U54" i="3"/>
  <c r="D53" i="5"/>
  <c r="BL49" i="5"/>
  <c r="H53" i="5" s="1"/>
  <c r="BE49" i="5"/>
  <c r="I53" i="5" s="1"/>
  <c r="BL48" i="5"/>
  <c r="H52" i="5" s="1"/>
  <c r="BE48" i="5"/>
  <c r="I52" i="5" s="1"/>
  <c r="BL47" i="5"/>
  <c r="H51" i="5" s="1"/>
  <c r="BE47" i="5"/>
  <c r="I51" i="5" s="1"/>
  <c r="BL46" i="5"/>
  <c r="H50" i="5" s="1"/>
  <c r="BE46" i="5"/>
  <c r="I50" i="5" s="1"/>
  <c r="BL45" i="5"/>
  <c r="H49" i="5" s="1"/>
  <c r="BE45" i="5"/>
  <c r="I49" i="5" s="1"/>
  <c r="BL44" i="5"/>
  <c r="H48" i="5" s="1"/>
  <c r="BE44" i="5"/>
  <c r="I48" i="5" s="1"/>
  <c r="BL43" i="5"/>
  <c r="H47" i="5" s="1"/>
  <c r="BL42" i="5"/>
  <c r="H46" i="5" s="1"/>
  <c r="BL41" i="5"/>
  <c r="H45" i="5" s="1"/>
  <c r="BL40" i="5"/>
  <c r="H44" i="5" s="1"/>
  <c r="BL39" i="5"/>
  <c r="H43" i="5" s="1"/>
  <c r="BL38" i="5"/>
  <c r="H42" i="5" s="1"/>
  <c r="BL37" i="5"/>
  <c r="H41" i="5" s="1"/>
  <c r="BL36" i="5"/>
  <c r="H40" i="5" s="1"/>
  <c r="BL35" i="5"/>
  <c r="H39" i="5" s="1"/>
  <c r="BL34" i="5"/>
  <c r="H38" i="5" s="1"/>
  <c r="BL33" i="5"/>
  <c r="H37" i="5" s="1"/>
  <c r="BL32" i="5"/>
  <c r="H36" i="5" s="1"/>
  <c r="BL31" i="5"/>
  <c r="H35" i="5" s="1"/>
  <c r="BL30" i="5"/>
  <c r="H34" i="5" s="1"/>
  <c r="BL29" i="5"/>
  <c r="H33" i="5" s="1"/>
  <c r="BL28" i="5"/>
  <c r="H32" i="5" s="1"/>
  <c r="BL27" i="5"/>
  <c r="H31" i="5" s="1"/>
  <c r="BL26" i="5"/>
  <c r="H30" i="5" s="1"/>
  <c r="BL25" i="5"/>
  <c r="H29" i="5" s="1"/>
  <c r="BL24" i="5"/>
  <c r="H28" i="5" s="1"/>
  <c r="BL23" i="5"/>
  <c r="H27" i="5" s="1"/>
  <c r="BL22" i="5"/>
  <c r="H26" i="5" s="1"/>
  <c r="BL21" i="5"/>
  <c r="H25" i="5" s="1"/>
  <c r="BL20" i="5"/>
  <c r="H24" i="5" s="1"/>
  <c r="BL19" i="5"/>
  <c r="H23" i="5" s="1"/>
  <c r="BL18" i="5"/>
  <c r="H22" i="5" s="1"/>
  <c r="BL17" i="5"/>
  <c r="H21" i="5" s="1"/>
  <c r="BL16" i="5"/>
  <c r="H20" i="5" s="1"/>
  <c r="BL15" i="5"/>
  <c r="H19" i="5" s="1"/>
  <c r="BL14" i="5"/>
  <c r="H18" i="5" s="1"/>
  <c r="BL13" i="5"/>
  <c r="H17" i="5" s="1"/>
  <c r="BL12" i="5"/>
  <c r="H16" i="5" s="1"/>
  <c r="BL11" i="5"/>
  <c r="H15" i="5" s="1"/>
  <c r="BL10" i="5"/>
  <c r="H14" i="5" s="1"/>
  <c r="BL9" i="5"/>
  <c r="H13" i="5" s="1"/>
  <c r="BB9" i="5"/>
  <c r="BB10" i="5" s="1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7" i="5" s="1"/>
  <c r="BB28" i="5" s="1"/>
  <c r="BB29" i="5" s="1"/>
  <c r="BB30" i="5" s="1"/>
  <c r="BB31" i="5" s="1"/>
  <c r="BB32" i="5" s="1"/>
  <c r="BB33" i="5" s="1"/>
  <c r="BB34" i="5" s="1"/>
  <c r="BB35" i="5" s="1"/>
  <c r="BB36" i="5" s="1"/>
  <c r="BB37" i="5" s="1"/>
  <c r="BB38" i="5" s="1"/>
  <c r="BB39" i="5" s="1"/>
  <c r="BB40" i="5" s="1"/>
  <c r="BB41" i="5" s="1"/>
  <c r="BB42" i="5" s="1"/>
  <c r="BB43" i="5" s="1"/>
  <c r="BL8" i="5"/>
  <c r="H12" i="5" s="1"/>
  <c r="BE8" i="5"/>
  <c r="I12" i="5" s="1"/>
  <c r="BL7" i="5"/>
  <c r="H11" i="5" s="1"/>
  <c r="BE7" i="5"/>
  <c r="I11" i="5" s="1"/>
  <c r="BL6" i="5"/>
  <c r="H10" i="5" s="1"/>
  <c r="BE6" i="5"/>
  <c r="I10" i="5" s="1"/>
  <c r="BL5" i="5"/>
  <c r="H9" i="5" s="1"/>
  <c r="BE5" i="5"/>
  <c r="I9" i="5" s="1"/>
  <c r="AZ5" i="5"/>
  <c r="AZ6" i="5" s="1"/>
  <c r="AZ7" i="5" s="1"/>
  <c r="AZ8" i="5" s="1"/>
  <c r="AZ9" i="5" s="1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Z39" i="5" s="1"/>
  <c r="AZ40" i="5" s="1"/>
  <c r="AZ41" i="5" s="1"/>
  <c r="AZ42" i="5" s="1"/>
  <c r="AZ43" i="5" s="1"/>
  <c r="AZ44" i="5" s="1"/>
  <c r="AZ45" i="5" s="1"/>
  <c r="AZ46" i="5" s="1"/>
  <c r="AZ47" i="5" s="1"/>
  <c r="AZ48" i="5" s="1"/>
  <c r="AZ49" i="5" s="1"/>
  <c r="BL4" i="5"/>
  <c r="H8" i="5" s="1"/>
  <c r="BE4" i="5"/>
  <c r="I8" i="5" s="1"/>
  <c r="N55" i="6" l="1"/>
  <c r="P54" i="6"/>
  <c r="U56" i="3"/>
  <c r="U55" i="3"/>
  <c r="BE9" i="5"/>
  <c r="I13" i="5" s="1"/>
  <c r="BE10" i="5"/>
  <c r="I14" i="5" s="1"/>
  <c r="N56" i="6" l="1"/>
  <c r="P56" i="6" s="1"/>
  <c r="P55" i="6"/>
  <c r="BE11" i="5"/>
  <c r="I15" i="5" s="1"/>
  <c r="BE12" i="5" l="1"/>
  <c r="I16" i="5" s="1"/>
  <c r="AN8" i="5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N21" i="5" s="1"/>
  <c r="AN22" i="5" s="1"/>
  <c r="AN23" i="5" s="1"/>
  <c r="AN24" i="5" s="1"/>
  <c r="AN25" i="5" s="1"/>
  <c r="AN26" i="5" s="1"/>
  <c r="AN27" i="5" s="1"/>
  <c r="AN28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AN47" i="5" s="1"/>
  <c r="AN48" i="5" s="1"/>
  <c r="AN49" i="5" s="1"/>
  <c r="AN50" i="5" s="1"/>
  <c r="AN51" i="5" s="1"/>
  <c r="AN52" i="5" s="1"/>
  <c r="AM8" i="5"/>
  <c r="AO8" i="5" s="1"/>
  <c r="AL9" i="5"/>
  <c r="AL10" i="5" s="1"/>
  <c r="AI26" i="7"/>
  <c r="J40" i="3" s="1"/>
  <c r="AI27" i="7"/>
  <c r="J41" i="3" s="1"/>
  <c r="AI28" i="7"/>
  <c r="J42" i="3" s="1"/>
  <c r="AI29" i="7"/>
  <c r="J43" i="3" s="1"/>
  <c r="AI30" i="7"/>
  <c r="J44" i="3" s="1"/>
  <c r="AI31" i="7"/>
  <c r="J45" i="3" s="1"/>
  <c r="AI32" i="7"/>
  <c r="J46" i="3" s="1"/>
  <c r="AI33" i="7"/>
  <c r="J47" i="3" s="1"/>
  <c r="AI34" i="7"/>
  <c r="J48" i="3" s="1"/>
  <c r="AI35" i="7"/>
  <c r="J49" i="3" s="1"/>
  <c r="AI36" i="7"/>
  <c r="J50" i="3" s="1"/>
  <c r="AI25" i="7"/>
  <c r="J39" i="3" s="1"/>
  <c r="F134" i="7"/>
  <c r="D134" i="7"/>
  <c r="C134" i="7"/>
  <c r="E134" i="7" s="1"/>
  <c r="F133" i="7"/>
  <c r="E133" i="7"/>
  <c r="D133" i="7"/>
  <c r="C133" i="7"/>
  <c r="F132" i="7"/>
  <c r="E132" i="7"/>
  <c r="D132" i="7"/>
  <c r="C132" i="7"/>
  <c r="F131" i="7"/>
  <c r="D131" i="7"/>
  <c r="C131" i="7"/>
  <c r="E131" i="7" s="1"/>
  <c r="G131" i="7" s="1"/>
  <c r="F130" i="7"/>
  <c r="D130" i="7"/>
  <c r="C130" i="7"/>
  <c r="E130" i="7" s="1"/>
  <c r="F129" i="7"/>
  <c r="D129" i="7"/>
  <c r="C129" i="7"/>
  <c r="E129" i="7" s="1"/>
  <c r="F128" i="7"/>
  <c r="D128" i="7"/>
  <c r="C128" i="7"/>
  <c r="E128" i="7" s="1"/>
  <c r="F127" i="7"/>
  <c r="D127" i="7"/>
  <c r="C127" i="7"/>
  <c r="E127" i="7" s="1"/>
  <c r="F126" i="7"/>
  <c r="D126" i="7"/>
  <c r="C126" i="7"/>
  <c r="E126" i="7" s="1"/>
  <c r="F125" i="7"/>
  <c r="E125" i="7"/>
  <c r="D125" i="7"/>
  <c r="C125" i="7"/>
  <c r="F124" i="7"/>
  <c r="E124" i="7"/>
  <c r="D124" i="7"/>
  <c r="C124" i="7"/>
  <c r="F123" i="7"/>
  <c r="D123" i="7"/>
  <c r="C123" i="7"/>
  <c r="E123" i="7" s="1"/>
  <c r="G123" i="7" s="1"/>
  <c r="F122" i="7"/>
  <c r="D122" i="7"/>
  <c r="C122" i="7"/>
  <c r="E122" i="7" s="1"/>
  <c r="F121" i="7"/>
  <c r="D121" i="7"/>
  <c r="C121" i="7"/>
  <c r="E121" i="7" s="1"/>
  <c r="F120" i="7"/>
  <c r="D120" i="7"/>
  <c r="C120" i="7"/>
  <c r="E120" i="7" s="1"/>
  <c r="G120" i="7" s="1"/>
  <c r="F119" i="7"/>
  <c r="D119" i="7"/>
  <c r="C119" i="7"/>
  <c r="E119" i="7" s="1"/>
  <c r="F118" i="7"/>
  <c r="D118" i="7"/>
  <c r="C118" i="7"/>
  <c r="E118" i="7" s="1"/>
  <c r="F117" i="7"/>
  <c r="E117" i="7"/>
  <c r="D117" i="7"/>
  <c r="C117" i="7"/>
  <c r="F116" i="7"/>
  <c r="E116" i="7"/>
  <c r="D116" i="7"/>
  <c r="C116" i="7"/>
  <c r="F115" i="7"/>
  <c r="D115" i="7"/>
  <c r="C115" i="7"/>
  <c r="E115" i="7" s="1"/>
  <c r="G115" i="7" s="1"/>
  <c r="F114" i="7"/>
  <c r="D114" i="7"/>
  <c r="C114" i="7"/>
  <c r="E114" i="7" s="1"/>
  <c r="F113" i="7"/>
  <c r="D113" i="7"/>
  <c r="C113" i="7"/>
  <c r="E113" i="7" s="1"/>
  <c r="F112" i="7"/>
  <c r="D112" i="7"/>
  <c r="C112" i="7"/>
  <c r="E112" i="7" s="1"/>
  <c r="F111" i="7"/>
  <c r="D111" i="7"/>
  <c r="C111" i="7"/>
  <c r="E111" i="7" s="1"/>
  <c r="F110" i="7"/>
  <c r="D110" i="7"/>
  <c r="C110" i="7"/>
  <c r="E110" i="7" s="1"/>
  <c r="F109" i="7"/>
  <c r="E109" i="7"/>
  <c r="D109" i="7"/>
  <c r="C109" i="7"/>
  <c r="F108" i="7"/>
  <c r="E108" i="7"/>
  <c r="G108" i="7" s="1"/>
  <c r="D108" i="7"/>
  <c r="C108" i="7"/>
  <c r="L107" i="7"/>
  <c r="F107" i="7"/>
  <c r="D107" i="7"/>
  <c r="C107" i="7"/>
  <c r="E107" i="7" s="1"/>
  <c r="L106" i="7"/>
  <c r="F106" i="7"/>
  <c r="E106" i="7"/>
  <c r="D106" i="7"/>
  <c r="C106" i="7"/>
  <c r="L105" i="7"/>
  <c r="F105" i="7"/>
  <c r="D105" i="7"/>
  <c r="C105" i="7"/>
  <c r="E105" i="7" s="1"/>
  <c r="L104" i="7"/>
  <c r="F104" i="7"/>
  <c r="D104" i="7"/>
  <c r="C104" i="7"/>
  <c r="E104" i="7" s="1"/>
  <c r="L103" i="7"/>
  <c r="F103" i="7"/>
  <c r="D103" i="7"/>
  <c r="C103" i="7"/>
  <c r="E103" i="7" s="1"/>
  <c r="L102" i="7"/>
  <c r="F102" i="7"/>
  <c r="D102" i="7"/>
  <c r="C102" i="7"/>
  <c r="E102" i="7" s="1"/>
  <c r="L101" i="7"/>
  <c r="F101" i="7"/>
  <c r="D101" i="7"/>
  <c r="C101" i="7"/>
  <c r="E101" i="7" s="1"/>
  <c r="L100" i="7"/>
  <c r="F100" i="7"/>
  <c r="E100" i="7"/>
  <c r="D100" i="7"/>
  <c r="C100" i="7"/>
  <c r="L99" i="7"/>
  <c r="F99" i="7"/>
  <c r="D99" i="7"/>
  <c r="C99" i="7"/>
  <c r="E99" i="7" s="1"/>
  <c r="L98" i="7"/>
  <c r="F98" i="7"/>
  <c r="E98" i="7"/>
  <c r="D98" i="7"/>
  <c r="C98" i="7"/>
  <c r="L97" i="7"/>
  <c r="F97" i="7"/>
  <c r="D97" i="7"/>
  <c r="C97" i="7"/>
  <c r="E97" i="7" s="1"/>
  <c r="L96" i="7"/>
  <c r="F96" i="7"/>
  <c r="D96" i="7"/>
  <c r="C96" i="7"/>
  <c r="E96" i="7" s="1"/>
  <c r="L95" i="7"/>
  <c r="F95" i="7"/>
  <c r="D95" i="7"/>
  <c r="C95" i="7"/>
  <c r="E95" i="7" s="1"/>
  <c r="L94" i="7"/>
  <c r="F94" i="7"/>
  <c r="D94" i="7"/>
  <c r="C94" i="7"/>
  <c r="E94" i="7" s="1"/>
  <c r="L93" i="7"/>
  <c r="F93" i="7"/>
  <c r="D93" i="7"/>
  <c r="C93" i="7"/>
  <c r="E93" i="7" s="1"/>
  <c r="L92" i="7"/>
  <c r="F92" i="7"/>
  <c r="E92" i="7"/>
  <c r="D92" i="7"/>
  <c r="C92" i="7"/>
  <c r="L91" i="7"/>
  <c r="F91" i="7"/>
  <c r="D91" i="7"/>
  <c r="C91" i="7"/>
  <c r="E91" i="7" s="1"/>
  <c r="L90" i="7"/>
  <c r="F90" i="7"/>
  <c r="E90" i="7"/>
  <c r="D90" i="7"/>
  <c r="C90" i="7"/>
  <c r="L89" i="7"/>
  <c r="F89" i="7"/>
  <c r="G89" i="7" s="1"/>
  <c r="D89" i="7"/>
  <c r="C89" i="7"/>
  <c r="E89" i="7" s="1"/>
  <c r="L88" i="7"/>
  <c r="F88" i="7"/>
  <c r="D88" i="7"/>
  <c r="C88" i="7"/>
  <c r="E88" i="7" s="1"/>
  <c r="L87" i="7"/>
  <c r="F87" i="7"/>
  <c r="D87" i="7"/>
  <c r="C87" i="7"/>
  <c r="E87" i="7" s="1"/>
  <c r="L86" i="7"/>
  <c r="F86" i="7"/>
  <c r="D86" i="7"/>
  <c r="C86" i="7"/>
  <c r="E86" i="7" s="1"/>
  <c r="L85" i="7"/>
  <c r="F85" i="7"/>
  <c r="D85" i="7"/>
  <c r="C85" i="7"/>
  <c r="E85" i="7" s="1"/>
  <c r="L84" i="7"/>
  <c r="F84" i="7"/>
  <c r="E84" i="7"/>
  <c r="D84" i="7"/>
  <c r="C84" i="7"/>
  <c r="L83" i="7"/>
  <c r="F83" i="7"/>
  <c r="D83" i="7"/>
  <c r="C83" i="7"/>
  <c r="E83" i="7" s="1"/>
  <c r="L82" i="7"/>
  <c r="F82" i="7"/>
  <c r="E82" i="7"/>
  <c r="D82" i="7"/>
  <c r="C82" i="7"/>
  <c r="L81" i="7"/>
  <c r="F81" i="7"/>
  <c r="D81" i="7"/>
  <c r="C81" i="7"/>
  <c r="E81" i="7" s="1"/>
  <c r="L80" i="7"/>
  <c r="F80" i="7"/>
  <c r="D80" i="7"/>
  <c r="C80" i="7"/>
  <c r="E80" i="7" s="1"/>
  <c r="L79" i="7"/>
  <c r="F79" i="7"/>
  <c r="D79" i="7"/>
  <c r="C79" i="7"/>
  <c r="E79" i="7" s="1"/>
  <c r="L78" i="7"/>
  <c r="F78" i="7"/>
  <c r="D78" i="7"/>
  <c r="C78" i="7"/>
  <c r="E78" i="7" s="1"/>
  <c r="L77" i="7"/>
  <c r="F77" i="7"/>
  <c r="D77" i="7"/>
  <c r="C77" i="7"/>
  <c r="E77" i="7" s="1"/>
  <c r="L76" i="7"/>
  <c r="F76" i="7"/>
  <c r="E76" i="7"/>
  <c r="D76" i="7"/>
  <c r="C76" i="7"/>
  <c r="L75" i="7"/>
  <c r="F75" i="7"/>
  <c r="D75" i="7"/>
  <c r="C75" i="7"/>
  <c r="E75" i="7" s="1"/>
  <c r="L74" i="7"/>
  <c r="F74" i="7"/>
  <c r="E74" i="7"/>
  <c r="D74" i="7"/>
  <c r="C74" i="7"/>
  <c r="L73" i="7"/>
  <c r="F73" i="7"/>
  <c r="D73" i="7"/>
  <c r="C73" i="7"/>
  <c r="E73" i="7" s="1"/>
  <c r="L72" i="7"/>
  <c r="F72" i="7"/>
  <c r="D72" i="7"/>
  <c r="C72" i="7"/>
  <c r="E72" i="7" s="1"/>
  <c r="L71" i="7"/>
  <c r="F71" i="7"/>
  <c r="D71" i="7"/>
  <c r="C71" i="7"/>
  <c r="E71" i="7" s="1"/>
  <c r="L70" i="7"/>
  <c r="F70" i="7"/>
  <c r="D70" i="7"/>
  <c r="C70" i="7"/>
  <c r="E70" i="7" s="1"/>
  <c r="L69" i="7"/>
  <c r="F69" i="7"/>
  <c r="D69" i="7"/>
  <c r="C69" i="7"/>
  <c r="E69" i="7" s="1"/>
  <c r="L68" i="7"/>
  <c r="F68" i="7"/>
  <c r="E68" i="7"/>
  <c r="D68" i="7"/>
  <c r="C68" i="7"/>
  <c r="L67" i="7"/>
  <c r="F67" i="7"/>
  <c r="D67" i="7"/>
  <c r="C67" i="7"/>
  <c r="E67" i="7" s="1"/>
  <c r="L66" i="7"/>
  <c r="F66" i="7"/>
  <c r="E66" i="7"/>
  <c r="D66" i="7"/>
  <c r="C66" i="7"/>
  <c r="L65" i="7"/>
  <c r="F65" i="7"/>
  <c r="D65" i="7"/>
  <c r="C65" i="7"/>
  <c r="E65" i="7" s="1"/>
  <c r="L64" i="7"/>
  <c r="F64" i="7"/>
  <c r="D64" i="7"/>
  <c r="C64" i="7"/>
  <c r="E64" i="7" s="1"/>
  <c r="L63" i="7"/>
  <c r="F63" i="7"/>
  <c r="D63" i="7"/>
  <c r="C63" i="7"/>
  <c r="E63" i="7" s="1"/>
  <c r="L62" i="7"/>
  <c r="F62" i="7"/>
  <c r="D62" i="7"/>
  <c r="C62" i="7"/>
  <c r="E62" i="7" s="1"/>
  <c r="G62" i="7" s="1"/>
  <c r="L61" i="7"/>
  <c r="F61" i="7"/>
  <c r="D61" i="7"/>
  <c r="C61" i="7"/>
  <c r="E61" i="7" s="1"/>
  <c r="L60" i="7"/>
  <c r="F60" i="7"/>
  <c r="D60" i="7"/>
  <c r="C60" i="7"/>
  <c r="E60" i="7" s="1"/>
  <c r="L59" i="7"/>
  <c r="F59" i="7"/>
  <c r="D59" i="7"/>
  <c r="C59" i="7"/>
  <c r="E59" i="7" s="1"/>
  <c r="L58" i="7"/>
  <c r="F58" i="7"/>
  <c r="E58" i="7"/>
  <c r="D58" i="7"/>
  <c r="C58" i="7"/>
  <c r="L57" i="7"/>
  <c r="F57" i="7"/>
  <c r="D57" i="7"/>
  <c r="C57" i="7"/>
  <c r="E57" i="7" s="1"/>
  <c r="L56" i="7"/>
  <c r="F56" i="7"/>
  <c r="D56" i="7"/>
  <c r="C56" i="7"/>
  <c r="E56" i="7" s="1"/>
  <c r="L55" i="7"/>
  <c r="F55" i="7"/>
  <c r="D55" i="7"/>
  <c r="C55" i="7"/>
  <c r="E55" i="7" s="1"/>
  <c r="L54" i="7"/>
  <c r="F54" i="7"/>
  <c r="D54" i="7"/>
  <c r="C54" i="7"/>
  <c r="E54" i="7" s="1"/>
  <c r="L53" i="7"/>
  <c r="F53" i="7"/>
  <c r="D53" i="7"/>
  <c r="C53" i="7"/>
  <c r="E53" i="7" s="1"/>
  <c r="L52" i="7"/>
  <c r="F52" i="7"/>
  <c r="D52" i="7"/>
  <c r="C52" i="7"/>
  <c r="E52" i="7" s="1"/>
  <c r="L51" i="7"/>
  <c r="F51" i="7"/>
  <c r="D51" i="7"/>
  <c r="C51" i="7"/>
  <c r="E51" i="7" s="1"/>
  <c r="L50" i="7"/>
  <c r="F50" i="7"/>
  <c r="E50" i="7"/>
  <c r="G50" i="7" s="1"/>
  <c r="D50" i="7"/>
  <c r="C50" i="7"/>
  <c r="L49" i="7"/>
  <c r="F49" i="7"/>
  <c r="D49" i="7"/>
  <c r="C49" i="7"/>
  <c r="E49" i="7" s="1"/>
  <c r="L48" i="7"/>
  <c r="F48" i="7"/>
  <c r="D48" i="7"/>
  <c r="C48" i="7"/>
  <c r="E48" i="7" s="1"/>
  <c r="L47" i="7"/>
  <c r="F47" i="7"/>
  <c r="D47" i="7"/>
  <c r="C47" i="7"/>
  <c r="E47" i="7" s="1"/>
  <c r="L46" i="7"/>
  <c r="F46" i="7"/>
  <c r="D46" i="7"/>
  <c r="C46" i="7"/>
  <c r="E46" i="7" s="1"/>
  <c r="G46" i="7" s="1"/>
  <c r="L45" i="7"/>
  <c r="F45" i="7"/>
  <c r="D45" i="7"/>
  <c r="C45" i="7"/>
  <c r="E45" i="7" s="1"/>
  <c r="L44" i="7"/>
  <c r="F44" i="7"/>
  <c r="D44" i="7"/>
  <c r="C44" i="7"/>
  <c r="E44" i="7" s="1"/>
  <c r="L43" i="7"/>
  <c r="F43" i="7"/>
  <c r="D43" i="7"/>
  <c r="C43" i="7"/>
  <c r="E43" i="7" s="1"/>
  <c r="L42" i="7"/>
  <c r="F42" i="7"/>
  <c r="D42" i="7"/>
  <c r="C42" i="7"/>
  <c r="E42" i="7" s="1"/>
  <c r="L41" i="7"/>
  <c r="F41" i="7"/>
  <c r="D41" i="7"/>
  <c r="C41" i="7"/>
  <c r="E41" i="7" s="1"/>
  <c r="G41" i="7" s="1"/>
  <c r="L40" i="7"/>
  <c r="F40" i="7"/>
  <c r="E40" i="7"/>
  <c r="D40" i="7"/>
  <c r="C40" i="7"/>
  <c r="L39" i="7"/>
  <c r="F39" i="7"/>
  <c r="D39" i="7"/>
  <c r="C39" i="7"/>
  <c r="E39" i="7" s="1"/>
  <c r="L38" i="7"/>
  <c r="F38" i="7"/>
  <c r="D38" i="7"/>
  <c r="C38" i="7"/>
  <c r="E38" i="7" s="1"/>
  <c r="L37" i="7"/>
  <c r="F37" i="7"/>
  <c r="D37" i="7"/>
  <c r="C37" i="7"/>
  <c r="E37" i="7" s="1"/>
  <c r="L36" i="7"/>
  <c r="F36" i="7"/>
  <c r="D36" i="7"/>
  <c r="C36" i="7"/>
  <c r="E36" i="7" s="1"/>
  <c r="L35" i="7"/>
  <c r="F35" i="7"/>
  <c r="D35" i="7"/>
  <c r="C35" i="7"/>
  <c r="E35" i="7" s="1"/>
  <c r="L34" i="7"/>
  <c r="F34" i="7"/>
  <c r="E34" i="7"/>
  <c r="D34" i="7"/>
  <c r="C34" i="7"/>
  <c r="L33" i="7"/>
  <c r="F33" i="7"/>
  <c r="D33" i="7"/>
  <c r="C33" i="7"/>
  <c r="E33" i="7" s="1"/>
  <c r="L32" i="7"/>
  <c r="F32" i="7"/>
  <c r="D32" i="7"/>
  <c r="C32" i="7"/>
  <c r="E32" i="7" s="1"/>
  <c r="L31" i="7"/>
  <c r="F31" i="7"/>
  <c r="D31" i="7"/>
  <c r="C31" i="7"/>
  <c r="E31" i="7" s="1"/>
  <c r="L30" i="7"/>
  <c r="F30" i="7"/>
  <c r="E30" i="7"/>
  <c r="D30" i="7"/>
  <c r="C30" i="7"/>
  <c r="L29" i="7"/>
  <c r="F29" i="7"/>
  <c r="D29" i="7"/>
  <c r="C29" i="7"/>
  <c r="E29" i="7" s="1"/>
  <c r="L28" i="7"/>
  <c r="F28" i="7"/>
  <c r="D28" i="7"/>
  <c r="C28" i="7"/>
  <c r="E28" i="7" s="1"/>
  <c r="L27" i="7"/>
  <c r="F27" i="7"/>
  <c r="D27" i="7"/>
  <c r="C27" i="7"/>
  <c r="E27" i="7" s="1"/>
  <c r="L26" i="7"/>
  <c r="F26" i="7"/>
  <c r="E26" i="7"/>
  <c r="D26" i="7"/>
  <c r="C26" i="7"/>
  <c r="L25" i="7"/>
  <c r="F25" i="7"/>
  <c r="D25" i="7"/>
  <c r="C25" i="7"/>
  <c r="E25" i="7" s="1"/>
  <c r="AF24" i="7"/>
  <c r="AF23" i="7" s="1"/>
  <c r="AF22" i="7" s="1"/>
  <c r="AF21" i="7" s="1"/>
  <c r="AF20" i="7" s="1"/>
  <c r="AF19" i="7" s="1"/>
  <c r="AF18" i="7" s="1"/>
  <c r="AF17" i="7" s="1"/>
  <c r="AF16" i="7" s="1"/>
  <c r="AF15" i="7" s="1"/>
  <c r="AF14" i="7" s="1"/>
  <c r="AF13" i="7" s="1"/>
  <c r="AF12" i="7" s="1"/>
  <c r="AF11" i="7" s="1"/>
  <c r="AF10" i="7" s="1"/>
  <c r="AF9" i="7" s="1"/>
  <c r="AF8" i="7" s="1"/>
  <c r="AF7" i="7" s="1"/>
  <c r="AF6" i="7" s="1"/>
  <c r="L24" i="7"/>
  <c r="F24" i="7"/>
  <c r="D24" i="7"/>
  <c r="C24" i="7"/>
  <c r="E24" i="7" s="1"/>
  <c r="L23" i="7"/>
  <c r="F23" i="7"/>
  <c r="E23" i="7"/>
  <c r="D23" i="7"/>
  <c r="C23" i="7"/>
  <c r="L22" i="7"/>
  <c r="F22" i="7"/>
  <c r="D22" i="7"/>
  <c r="C22" i="7"/>
  <c r="E22" i="7" s="1"/>
  <c r="G22" i="7" s="1"/>
  <c r="L21" i="7"/>
  <c r="F21" i="7"/>
  <c r="D21" i="7"/>
  <c r="C21" i="7"/>
  <c r="E21" i="7" s="1"/>
  <c r="L20" i="7"/>
  <c r="F20" i="7"/>
  <c r="E20" i="7"/>
  <c r="D20" i="7"/>
  <c r="C20" i="7"/>
  <c r="L19" i="7"/>
  <c r="F19" i="7"/>
  <c r="E19" i="7"/>
  <c r="D19" i="7"/>
  <c r="C19" i="7"/>
  <c r="L18" i="7"/>
  <c r="F18" i="7"/>
  <c r="D18" i="7"/>
  <c r="C18" i="7"/>
  <c r="E18" i="7" s="1"/>
  <c r="L17" i="7"/>
  <c r="F17" i="7"/>
  <c r="D17" i="7"/>
  <c r="C17" i="7"/>
  <c r="E17" i="7" s="1"/>
  <c r="Z16" i="7"/>
  <c r="L16" i="7"/>
  <c r="F16" i="7"/>
  <c r="D16" i="7"/>
  <c r="C16" i="7"/>
  <c r="E16" i="7" s="1"/>
  <c r="Z15" i="7"/>
  <c r="L15" i="7"/>
  <c r="F15" i="7"/>
  <c r="E15" i="7"/>
  <c r="D15" i="7"/>
  <c r="C15" i="7"/>
  <c r="Z14" i="7"/>
  <c r="L14" i="7"/>
  <c r="F14" i="7"/>
  <c r="D14" i="7"/>
  <c r="C14" i="7"/>
  <c r="E14" i="7" s="1"/>
  <c r="G14" i="7" s="1"/>
  <c r="Z13" i="7"/>
  <c r="L13" i="7"/>
  <c r="F13" i="7"/>
  <c r="E13" i="7"/>
  <c r="D13" i="7"/>
  <c r="C13" i="7"/>
  <c r="Z12" i="7"/>
  <c r="L12" i="7"/>
  <c r="F12" i="7"/>
  <c r="D12" i="7"/>
  <c r="C12" i="7"/>
  <c r="E12" i="7" s="1"/>
  <c r="Z11" i="7"/>
  <c r="L11" i="7"/>
  <c r="F11" i="7"/>
  <c r="D11" i="7"/>
  <c r="C11" i="7"/>
  <c r="E11" i="7" s="1"/>
  <c r="G11" i="7" s="1"/>
  <c r="Z10" i="7"/>
  <c r="L10" i="7"/>
  <c r="F10" i="7"/>
  <c r="D10" i="7"/>
  <c r="C10" i="7"/>
  <c r="E10" i="7" s="1"/>
  <c r="Z9" i="7"/>
  <c r="L9" i="7"/>
  <c r="F9" i="7"/>
  <c r="D9" i="7"/>
  <c r="C9" i="7"/>
  <c r="E9" i="7" s="1"/>
  <c r="G9" i="7" s="1"/>
  <c r="Z8" i="7"/>
  <c r="L8" i="7"/>
  <c r="F8" i="7"/>
  <c r="D8" i="7"/>
  <c r="C8" i="7"/>
  <c r="E8" i="7" s="1"/>
  <c r="Z7" i="7"/>
  <c r="L7" i="7"/>
  <c r="F7" i="7"/>
  <c r="D7" i="7"/>
  <c r="C7" i="7"/>
  <c r="E7" i="7" s="1"/>
  <c r="AH6" i="7"/>
  <c r="AH7" i="7" s="1"/>
  <c r="AH8" i="7" s="1"/>
  <c r="AH9" i="7" s="1"/>
  <c r="AH10" i="7" s="1"/>
  <c r="AH11" i="7" s="1"/>
  <c r="AH12" i="7" s="1"/>
  <c r="AH13" i="7" s="1"/>
  <c r="AH14" i="7" s="1"/>
  <c r="AH15" i="7" s="1"/>
  <c r="AH16" i="7" s="1"/>
  <c r="AH17" i="7" s="1"/>
  <c r="AH18" i="7" s="1"/>
  <c r="AH19" i="7" s="1"/>
  <c r="AH20" i="7" s="1"/>
  <c r="AH21" i="7" s="1"/>
  <c r="AH22" i="7" s="1"/>
  <c r="AH23" i="7" s="1"/>
  <c r="AH24" i="7" s="1"/>
  <c r="AH25" i="7" s="1"/>
  <c r="Z6" i="7"/>
  <c r="L6" i="7"/>
  <c r="F6" i="7"/>
  <c r="D6" i="7"/>
  <c r="C6" i="7"/>
  <c r="E6" i="7" s="1"/>
  <c r="Z5" i="7"/>
  <c r="L5" i="7"/>
  <c r="F5" i="7"/>
  <c r="D5" i="7"/>
  <c r="C5" i="7"/>
  <c r="E5" i="7" s="1"/>
  <c r="F4" i="7"/>
  <c r="G4" i="7" s="1"/>
  <c r="E4" i="7"/>
  <c r="D4" i="7"/>
  <c r="C4" i="7"/>
  <c r="G112" i="7" l="1"/>
  <c r="G45" i="7"/>
  <c r="G18" i="7"/>
  <c r="G34" i="7"/>
  <c r="AI23" i="7"/>
  <c r="J37" i="3" s="1"/>
  <c r="AA9" i="7"/>
  <c r="G43" i="7"/>
  <c r="G55" i="7"/>
  <c r="G71" i="7"/>
  <c r="G79" i="7"/>
  <c r="G87" i="7"/>
  <c r="G95" i="7"/>
  <c r="G103" i="7"/>
  <c r="G114" i="7"/>
  <c r="G122" i="7"/>
  <c r="G130" i="7"/>
  <c r="AI22" i="7"/>
  <c r="J36" i="3" s="1"/>
  <c r="AI18" i="7"/>
  <c r="J32" i="3" s="1"/>
  <c r="G57" i="7"/>
  <c r="G97" i="7"/>
  <c r="AI19" i="7"/>
  <c r="J33" i="3" s="1"/>
  <c r="AA13" i="7"/>
  <c r="AA15" i="7"/>
  <c r="G39" i="7"/>
  <c r="G53" i="7"/>
  <c r="G77" i="7"/>
  <c r="G85" i="7"/>
  <c r="G93" i="7"/>
  <c r="G111" i="7"/>
  <c r="G119" i="7"/>
  <c r="G127" i="7"/>
  <c r="AI16" i="7"/>
  <c r="J30" i="3" s="1"/>
  <c r="AI21" i="7"/>
  <c r="J35" i="3" s="1"/>
  <c r="AI17" i="7"/>
  <c r="J31" i="3" s="1"/>
  <c r="G26" i="7"/>
  <c r="G30" i="7"/>
  <c r="G47" i="7"/>
  <c r="G49" i="7"/>
  <c r="G105" i="7"/>
  <c r="G6" i="7"/>
  <c r="G8" i="7"/>
  <c r="AA8" i="7"/>
  <c r="G16" i="7"/>
  <c r="G59" i="7"/>
  <c r="G75" i="7"/>
  <c r="G83" i="7"/>
  <c r="G99" i="7"/>
  <c r="G107" i="7"/>
  <c r="G110" i="7"/>
  <c r="G118" i="7"/>
  <c r="G126" i="7"/>
  <c r="G134" i="7"/>
  <c r="AI24" i="7"/>
  <c r="J38" i="3" s="1"/>
  <c r="AI20" i="7"/>
  <c r="J34" i="3" s="1"/>
  <c r="AM10" i="5"/>
  <c r="AO10" i="5" s="1"/>
  <c r="AL11" i="5"/>
  <c r="AL12" i="5" s="1"/>
  <c r="AM12" i="5" s="1"/>
  <c r="AM9" i="5"/>
  <c r="AP9" i="5" s="1"/>
  <c r="D9" i="5" s="1"/>
  <c r="AP8" i="5"/>
  <c r="D8" i="5" s="1"/>
  <c r="BE13" i="5"/>
  <c r="I17" i="5" s="1"/>
  <c r="AH26" i="7"/>
  <c r="AJ25" i="7"/>
  <c r="AA11" i="7"/>
  <c r="G12" i="7"/>
  <c r="G61" i="7"/>
  <c r="G5" i="7"/>
  <c r="G10" i="7"/>
  <c r="AA14" i="7"/>
  <c r="G17" i="7"/>
  <c r="G25" i="7"/>
  <c r="G29" i="7"/>
  <c r="G42" i="7"/>
  <c r="G58" i="7"/>
  <c r="G67" i="7"/>
  <c r="G91" i="7"/>
  <c r="G7" i="7"/>
  <c r="AA7" i="7"/>
  <c r="AA12" i="7"/>
  <c r="G15" i="7"/>
  <c r="G20" i="7"/>
  <c r="G24" i="7"/>
  <c r="G28" i="7"/>
  <c r="G32" i="7"/>
  <c r="G36" i="7"/>
  <c r="G37" i="7"/>
  <c r="G38" i="7"/>
  <c r="G51" i="7"/>
  <c r="G54" i="7"/>
  <c r="G65" i="7"/>
  <c r="G81" i="7"/>
  <c r="AA16" i="7"/>
  <c r="AA6" i="7"/>
  <c r="G21" i="7"/>
  <c r="G33" i="7"/>
  <c r="AA5" i="7"/>
  <c r="AA10" i="7"/>
  <c r="G13" i="7"/>
  <c r="G19" i="7"/>
  <c r="G23" i="7"/>
  <c r="G27" i="7"/>
  <c r="G31" i="7"/>
  <c r="G35" i="7"/>
  <c r="G63" i="7"/>
  <c r="G70" i="7"/>
  <c r="G74" i="7"/>
  <c r="G102" i="7"/>
  <c r="G106" i="7"/>
  <c r="G66" i="7"/>
  <c r="G69" i="7"/>
  <c r="G73" i="7"/>
  <c r="G78" i="7"/>
  <c r="G82" i="7"/>
  <c r="G86" i="7"/>
  <c r="G90" i="7"/>
  <c r="G94" i="7"/>
  <c r="G98" i="7"/>
  <c r="G101" i="7"/>
  <c r="G40" i="7"/>
  <c r="G44" i="7"/>
  <c r="G48" i="7"/>
  <c r="G52" i="7"/>
  <c r="G56" i="7"/>
  <c r="G60" i="7"/>
  <c r="G64" i="7"/>
  <c r="G68" i="7"/>
  <c r="G72" i="7"/>
  <c r="G76" i="7"/>
  <c r="G80" i="7"/>
  <c r="G84" i="7"/>
  <c r="G88" i="7"/>
  <c r="G92" i="7"/>
  <c r="G96" i="7"/>
  <c r="G100" i="7"/>
  <c r="G104" i="7"/>
  <c r="G109" i="7"/>
  <c r="G113" i="7"/>
  <c r="G116" i="7"/>
  <c r="G117" i="7"/>
  <c r="G121" i="7"/>
  <c r="G124" i="7"/>
  <c r="G125" i="7"/>
  <c r="G128" i="7"/>
  <c r="G129" i="7"/>
  <c r="G132" i="7"/>
  <c r="G133" i="7"/>
  <c r="AP10" i="5" l="1"/>
  <c r="D10" i="5" s="1"/>
  <c r="AL13" i="5"/>
  <c r="AM13" i="5" s="1"/>
  <c r="AO9" i="5"/>
  <c r="AM11" i="5"/>
  <c r="AP11" i="5" s="1"/>
  <c r="D11" i="5" s="1"/>
  <c r="BE14" i="5"/>
  <c r="I18" i="5" s="1"/>
  <c r="AO12" i="5"/>
  <c r="AP12" i="5"/>
  <c r="D12" i="5" s="1"/>
  <c r="AL14" i="5"/>
  <c r="AH27" i="7"/>
  <c r="AJ26" i="7"/>
  <c r="AO11" i="5" l="1"/>
  <c r="BE15" i="5"/>
  <c r="I19" i="5" s="1"/>
  <c r="AP13" i="5"/>
  <c r="D13" i="5" s="1"/>
  <c r="AO13" i="5"/>
  <c r="AL15" i="5"/>
  <c r="AM14" i="5"/>
  <c r="AJ27" i="7"/>
  <c r="AH28" i="7"/>
  <c r="BE16" i="5" l="1"/>
  <c r="I20" i="5" s="1"/>
  <c r="AP14" i="5"/>
  <c r="D14" i="5" s="1"/>
  <c r="AO14" i="5"/>
  <c r="AL16" i="5"/>
  <c r="AM15" i="5"/>
  <c r="AJ28" i="7"/>
  <c r="AH29" i="7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F6" i="6"/>
  <c r="F7" i="6" s="1"/>
  <c r="F8" i="6" s="1"/>
  <c r="F9" i="6" s="1"/>
  <c r="F10" i="6" s="1"/>
  <c r="F11" i="6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" i="3"/>
  <c r="AH7" i="3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X8" i="3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AB9" i="3"/>
  <c r="AB13" i="3"/>
  <c r="AB14" i="3"/>
  <c r="AB17" i="3"/>
  <c r="AB19" i="3"/>
  <c r="AB7" i="3"/>
  <c r="AC5" i="3" s="1"/>
  <c r="AD9" i="3" l="1"/>
  <c r="AD7" i="3"/>
  <c r="Y11" i="6"/>
  <c r="Y7" i="6"/>
  <c r="X7" i="6"/>
  <c r="X6" i="6"/>
  <c r="Y6" i="6"/>
  <c r="X11" i="6"/>
  <c r="Y9" i="6"/>
  <c r="X10" i="6"/>
  <c r="X8" i="6"/>
  <c r="Y10" i="6"/>
  <c r="Y8" i="6"/>
  <c r="X9" i="6"/>
  <c r="BE17" i="5"/>
  <c r="I21" i="5" s="1"/>
  <c r="AP15" i="5"/>
  <c r="D15" i="5" s="1"/>
  <c r="AO15" i="5"/>
  <c r="AL17" i="5"/>
  <c r="AM16" i="5"/>
  <c r="N5" i="3"/>
  <c r="N18" i="3"/>
  <c r="N10" i="3"/>
  <c r="N23" i="3"/>
  <c r="N15" i="3"/>
  <c r="N7" i="3"/>
  <c r="N22" i="3"/>
  <c r="N14" i="3"/>
  <c r="N6" i="3"/>
  <c r="N19" i="3"/>
  <c r="N11" i="3"/>
  <c r="N21" i="3"/>
  <c r="N17" i="3"/>
  <c r="N13" i="3"/>
  <c r="N9" i="3"/>
  <c r="AH30" i="7"/>
  <c r="AJ29" i="7"/>
  <c r="N24" i="3"/>
  <c r="N20" i="3"/>
  <c r="N16" i="3"/>
  <c r="N12" i="3"/>
  <c r="N8" i="3"/>
  <c r="F12" i="6"/>
  <c r="Y12" i="6" s="1"/>
  <c r="H11" i="6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8" i="5"/>
  <c r="F13" i="6" l="1"/>
  <c r="X12" i="6"/>
  <c r="BE18" i="5"/>
  <c r="I22" i="5" s="1"/>
  <c r="AP16" i="5"/>
  <c r="D16" i="5" s="1"/>
  <c r="AO16" i="5"/>
  <c r="AL18" i="5"/>
  <c r="AM17" i="5"/>
  <c r="AJ30" i="7"/>
  <c r="AH31" i="7"/>
  <c r="G6" i="3"/>
  <c r="G10" i="3"/>
  <c r="G14" i="3"/>
  <c r="G18" i="3"/>
  <c r="G22" i="3"/>
  <c r="G26" i="3"/>
  <c r="G30" i="3"/>
  <c r="G34" i="3"/>
  <c r="G38" i="3"/>
  <c r="G42" i="3"/>
  <c r="G46" i="3"/>
  <c r="G49" i="3"/>
  <c r="G50" i="3"/>
  <c r="I3" i="3"/>
  <c r="G8" i="3" s="1"/>
  <c r="L5" i="3" l="1"/>
  <c r="E49" i="3"/>
  <c r="G45" i="3"/>
  <c r="G41" i="3"/>
  <c r="G37" i="3"/>
  <c r="G33" i="3"/>
  <c r="G29" i="3"/>
  <c r="G25" i="3"/>
  <c r="G21" i="3"/>
  <c r="G17" i="3"/>
  <c r="G13" i="3"/>
  <c r="G9" i="3"/>
  <c r="G44" i="3"/>
  <c r="G36" i="3"/>
  <c r="G28" i="3"/>
  <c r="G24" i="3"/>
  <c r="G20" i="3"/>
  <c r="G16" i="3"/>
  <c r="G12" i="3"/>
  <c r="E46" i="3"/>
  <c r="I7" i="3"/>
  <c r="I11" i="3"/>
  <c r="I15" i="3"/>
  <c r="I19" i="3"/>
  <c r="I23" i="3"/>
  <c r="I27" i="3"/>
  <c r="I31" i="3"/>
  <c r="I35" i="3"/>
  <c r="I39" i="3"/>
  <c r="I43" i="3"/>
  <c r="I47" i="3"/>
  <c r="I5" i="3"/>
  <c r="I6" i="3"/>
  <c r="I14" i="3"/>
  <c r="I18" i="3"/>
  <c r="I26" i="3"/>
  <c r="I34" i="3"/>
  <c r="I42" i="3"/>
  <c r="I50" i="3"/>
  <c r="I8" i="3"/>
  <c r="I12" i="3"/>
  <c r="I16" i="3"/>
  <c r="I20" i="3"/>
  <c r="I24" i="3"/>
  <c r="I28" i="3"/>
  <c r="I32" i="3"/>
  <c r="I36" i="3"/>
  <c r="I40" i="3"/>
  <c r="I44" i="3"/>
  <c r="I48" i="3"/>
  <c r="I9" i="3"/>
  <c r="I13" i="3"/>
  <c r="I17" i="3"/>
  <c r="I21" i="3"/>
  <c r="I25" i="3"/>
  <c r="I29" i="3"/>
  <c r="I33" i="3"/>
  <c r="I37" i="3"/>
  <c r="I41" i="3"/>
  <c r="I45" i="3"/>
  <c r="I49" i="3"/>
  <c r="I10" i="3"/>
  <c r="I22" i="3"/>
  <c r="I30" i="3"/>
  <c r="I38" i="3"/>
  <c r="I46" i="3"/>
  <c r="G48" i="3"/>
  <c r="G40" i="3"/>
  <c r="G32" i="3"/>
  <c r="G5" i="3"/>
  <c r="G47" i="3"/>
  <c r="G43" i="3"/>
  <c r="G39" i="3"/>
  <c r="G35" i="3"/>
  <c r="G31" i="3"/>
  <c r="G27" i="3"/>
  <c r="G23" i="3"/>
  <c r="G19" i="3"/>
  <c r="G15" i="3"/>
  <c r="G11" i="3"/>
  <c r="G7" i="3"/>
  <c r="F14" i="6"/>
  <c r="X13" i="6"/>
  <c r="Y13" i="6"/>
  <c r="BE19" i="5"/>
  <c r="I23" i="5" s="1"/>
  <c r="AP17" i="5"/>
  <c r="D17" i="5" s="1"/>
  <c r="AO17" i="5"/>
  <c r="AL19" i="5"/>
  <c r="AM18" i="5"/>
  <c r="L6" i="3"/>
  <c r="AJ31" i="7"/>
  <c r="AH32" i="7"/>
  <c r="E47" i="3" l="1"/>
  <c r="H29" i="3"/>
  <c r="H16" i="3"/>
  <c r="H15" i="3"/>
  <c r="E48" i="3"/>
  <c r="H45" i="3"/>
  <c r="E45" i="3"/>
  <c r="H39" i="3"/>
  <c r="E44" i="3"/>
  <c r="H44" i="3"/>
  <c r="H37" i="3"/>
  <c r="H31" i="3"/>
  <c r="H12" i="3"/>
  <c r="H27" i="3"/>
  <c r="H43" i="3"/>
  <c r="H40" i="3"/>
  <c r="H9" i="3"/>
  <c r="H25" i="3"/>
  <c r="H41" i="3"/>
  <c r="F15" i="6"/>
  <c r="X14" i="6"/>
  <c r="Y14" i="6"/>
  <c r="BE20" i="5"/>
  <c r="I24" i="5" s="1"/>
  <c r="AP18" i="5"/>
  <c r="D18" i="5" s="1"/>
  <c r="AO18" i="5"/>
  <c r="AL20" i="5"/>
  <c r="AM19" i="5"/>
  <c r="AH33" i="7"/>
  <c r="AJ32" i="7"/>
  <c r="L7" i="3"/>
  <c r="H8" i="3" l="1"/>
  <c r="H6" i="3"/>
  <c r="H10" i="3"/>
  <c r="H14" i="3"/>
  <c r="H18" i="3"/>
  <c r="H22" i="3"/>
  <c r="H42" i="3"/>
  <c r="H49" i="3"/>
  <c r="H50" i="3"/>
  <c r="H46" i="3"/>
  <c r="H26" i="3"/>
  <c r="H30" i="3"/>
  <c r="H34" i="3"/>
  <c r="H38" i="3"/>
  <c r="H23" i="3"/>
  <c r="H13" i="3"/>
  <c r="H33" i="3"/>
  <c r="H5" i="3"/>
  <c r="H28" i="3"/>
  <c r="H20" i="3"/>
  <c r="H7" i="3"/>
  <c r="H48" i="3"/>
  <c r="H17" i="3"/>
  <c r="H35" i="3"/>
  <c r="H47" i="3"/>
  <c r="H24" i="3"/>
  <c r="H11" i="3"/>
  <c r="H21" i="3"/>
  <c r="H32" i="3"/>
  <c r="H36" i="3"/>
  <c r="H19" i="3"/>
  <c r="F16" i="6"/>
  <c r="X15" i="6"/>
  <c r="Y15" i="6"/>
  <c r="BE21" i="5"/>
  <c r="I25" i="5" s="1"/>
  <c r="AP19" i="5"/>
  <c r="D19" i="5" s="1"/>
  <c r="AO19" i="5"/>
  <c r="AL21" i="5"/>
  <c r="AM20" i="5"/>
  <c r="AD13" i="3"/>
  <c r="L8" i="3"/>
  <c r="AH34" i="7"/>
  <c r="AJ33" i="7"/>
  <c r="F17" i="6" l="1"/>
  <c r="X16" i="6"/>
  <c r="Y16" i="6"/>
  <c r="BE22" i="5"/>
  <c r="I26" i="5" s="1"/>
  <c r="AP20" i="5"/>
  <c r="D20" i="5" s="1"/>
  <c r="AO20" i="5"/>
  <c r="AL22" i="5"/>
  <c r="AM21" i="5"/>
  <c r="AH35" i="7"/>
  <c r="AJ34" i="7"/>
  <c r="AD14" i="3"/>
  <c r="L9" i="3"/>
  <c r="F18" i="6" l="1"/>
  <c r="X17" i="6"/>
  <c r="Y17" i="6"/>
  <c r="BE23" i="5"/>
  <c r="I27" i="5" s="1"/>
  <c r="AP21" i="5"/>
  <c r="D21" i="5" s="1"/>
  <c r="AO21" i="5"/>
  <c r="AL23" i="5"/>
  <c r="AM22" i="5"/>
  <c r="L10" i="3"/>
  <c r="AJ35" i="7"/>
  <c r="AH36" i="7"/>
  <c r="AJ36" i="7" s="1"/>
  <c r="AJ3" i="7" s="1"/>
  <c r="F19" i="6" l="1"/>
  <c r="X18" i="6"/>
  <c r="Y18" i="6"/>
  <c r="BE24" i="5"/>
  <c r="I28" i="5" s="1"/>
  <c r="AP22" i="5"/>
  <c r="D22" i="5" s="1"/>
  <c r="AO22" i="5"/>
  <c r="AL24" i="5"/>
  <c r="AM23" i="5"/>
  <c r="L11" i="3"/>
  <c r="F20" i="6" l="1"/>
  <c r="X19" i="6"/>
  <c r="Y19" i="6"/>
  <c r="BE25" i="5"/>
  <c r="I29" i="5" s="1"/>
  <c r="AP23" i="5"/>
  <c r="D23" i="5" s="1"/>
  <c r="AO23" i="5"/>
  <c r="AL25" i="5"/>
  <c r="AM24" i="5"/>
  <c r="AD17" i="3"/>
  <c r="L12" i="3"/>
  <c r="F21" i="6" l="1"/>
  <c r="X20" i="6"/>
  <c r="Y20" i="6"/>
  <c r="BE26" i="5"/>
  <c r="I30" i="5" s="1"/>
  <c r="AP24" i="5"/>
  <c r="D24" i="5" s="1"/>
  <c r="AO24" i="5"/>
  <c r="AL26" i="5"/>
  <c r="AM25" i="5"/>
  <c r="L13" i="3"/>
  <c r="X21" i="6" l="1"/>
  <c r="Y21" i="6"/>
  <c r="H21" i="6"/>
  <c r="F22" i="6"/>
  <c r="BE27" i="5"/>
  <c r="I31" i="5" s="1"/>
  <c r="AP25" i="5"/>
  <c r="D25" i="5" s="1"/>
  <c r="AO25" i="5"/>
  <c r="AL27" i="5"/>
  <c r="AM26" i="5"/>
  <c r="AD19" i="3"/>
  <c r="L14" i="3"/>
  <c r="F23" i="6" l="1"/>
  <c r="X22" i="6"/>
  <c r="Y22" i="6"/>
  <c r="BE28" i="5"/>
  <c r="I32" i="5" s="1"/>
  <c r="AP26" i="5"/>
  <c r="D26" i="5" s="1"/>
  <c r="AO26" i="5"/>
  <c r="AL28" i="5"/>
  <c r="AM27" i="5"/>
  <c r="L15" i="3"/>
  <c r="F24" i="6" l="1"/>
  <c r="X23" i="6"/>
  <c r="Y23" i="6"/>
  <c r="BE29" i="5"/>
  <c r="I33" i="5" s="1"/>
  <c r="AP27" i="5"/>
  <c r="D27" i="5" s="1"/>
  <c r="AO27" i="5"/>
  <c r="AL29" i="5"/>
  <c r="AM28" i="5"/>
  <c r="L16" i="3"/>
  <c r="F25" i="6" l="1"/>
  <c r="X24" i="6"/>
  <c r="Y24" i="6"/>
  <c r="BE30" i="5"/>
  <c r="I34" i="5" s="1"/>
  <c r="AP28" i="5"/>
  <c r="D28" i="5" s="1"/>
  <c r="AO28" i="5"/>
  <c r="AL30" i="5"/>
  <c r="AM29" i="5"/>
  <c r="L17" i="3"/>
  <c r="F26" i="6" l="1"/>
  <c r="X25" i="6"/>
  <c r="Y25" i="6"/>
  <c r="BE31" i="5"/>
  <c r="I35" i="5" s="1"/>
  <c r="AP29" i="5"/>
  <c r="D29" i="5" s="1"/>
  <c r="AO29" i="5"/>
  <c r="AL31" i="5"/>
  <c r="AM30" i="5"/>
  <c r="L18" i="3"/>
  <c r="F27" i="6" l="1"/>
  <c r="X26" i="6"/>
  <c r="Y26" i="6"/>
  <c r="BE32" i="5"/>
  <c r="I36" i="5" s="1"/>
  <c r="AP30" i="5"/>
  <c r="D30" i="5" s="1"/>
  <c r="AO30" i="5"/>
  <c r="AL32" i="5"/>
  <c r="AM31" i="5"/>
  <c r="L19" i="3"/>
  <c r="F28" i="6" l="1"/>
  <c r="X27" i="6"/>
  <c r="Y27" i="6"/>
  <c r="BE33" i="5"/>
  <c r="I37" i="5" s="1"/>
  <c r="AP31" i="5"/>
  <c r="D31" i="5" s="1"/>
  <c r="AO31" i="5"/>
  <c r="AL33" i="5"/>
  <c r="AM32" i="5"/>
  <c r="L20" i="3"/>
  <c r="F29" i="6" l="1"/>
  <c r="X28" i="6"/>
  <c r="Y28" i="6"/>
  <c r="BE34" i="5"/>
  <c r="I38" i="5" s="1"/>
  <c r="AP32" i="5"/>
  <c r="D32" i="5" s="1"/>
  <c r="AO32" i="5"/>
  <c r="AL34" i="5"/>
  <c r="AM33" i="5"/>
  <c r="L21" i="3"/>
  <c r="F30" i="6" l="1"/>
  <c r="X29" i="6"/>
  <c r="Y29" i="6"/>
  <c r="BE35" i="5"/>
  <c r="I39" i="5" s="1"/>
  <c r="AP33" i="5"/>
  <c r="D33" i="5" s="1"/>
  <c r="AO33" i="5"/>
  <c r="AL35" i="5"/>
  <c r="AM34" i="5"/>
  <c r="L22" i="3"/>
  <c r="F31" i="6" l="1"/>
  <c r="X30" i="6"/>
  <c r="Y30" i="6"/>
  <c r="BE36" i="5"/>
  <c r="I40" i="5" s="1"/>
  <c r="AP34" i="5"/>
  <c r="D34" i="5" s="1"/>
  <c r="AO34" i="5"/>
  <c r="AL36" i="5"/>
  <c r="AM35" i="5"/>
  <c r="L23" i="3"/>
  <c r="X31" i="6" l="1"/>
  <c r="Y31" i="6"/>
  <c r="F32" i="6"/>
  <c r="H31" i="6"/>
  <c r="BE37" i="5"/>
  <c r="I41" i="5" s="1"/>
  <c r="AP35" i="5"/>
  <c r="D35" i="5" s="1"/>
  <c r="AO35" i="5"/>
  <c r="AL37" i="5"/>
  <c r="AM36" i="5"/>
  <c r="L24" i="3"/>
  <c r="F33" i="6" l="1"/>
  <c r="X32" i="6"/>
  <c r="Y32" i="6"/>
  <c r="BE38" i="5"/>
  <c r="I42" i="5" s="1"/>
  <c r="AP36" i="5"/>
  <c r="D36" i="5" s="1"/>
  <c r="AO36" i="5"/>
  <c r="AL38" i="5"/>
  <c r="AM37" i="5"/>
  <c r="AD30" i="3"/>
  <c r="AE1" i="3" s="1"/>
  <c r="L25" i="3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F34" i="6" l="1"/>
  <c r="X33" i="6"/>
  <c r="Y33" i="6"/>
  <c r="BE39" i="5"/>
  <c r="I43" i="5" s="1"/>
  <c r="AP37" i="5"/>
  <c r="D37" i="5" s="1"/>
  <c r="AO37" i="5"/>
  <c r="AL39" i="5"/>
  <c r="AM38" i="5"/>
  <c r="F35" i="6" l="1"/>
  <c r="X34" i="6"/>
  <c r="Y34" i="6"/>
  <c r="BE40" i="5"/>
  <c r="I44" i="5" s="1"/>
  <c r="AP38" i="5"/>
  <c r="D38" i="5" s="1"/>
  <c r="AO38" i="5"/>
  <c r="AL40" i="5"/>
  <c r="AM39" i="5"/>
  <c r="F36" i="6" l="1"/>
  <c r="X35" i="6"/>
  <c r="Y35" i="6"/>
  <c r="BE41" i="5"/>
  <c r="I45" i="5" s="1"/>
  <c r="AP39" i="5"/>
  <c r="D39" i="5" s="1"/>
  <c r="AO39" i="5"/>
  <c r="AL41" i="5"/>
  <c r="AM40" i="5"/>
  <c r="X36" i="6" l="1"/>
  <c r="Y36" i="6"/>
  <c r="F37" i="6"/>
  <c r="H36" i="6"/>
  <c r="H1" i="6" s="1"/>
  <c r="BE43" i="5"/>
  <c r="I47" i="5" s="1"/>
  <c r="BE42" i="5"/>
  <c r="I46" i="5" s="1"/>
  <c r="AP40" i="5"/>
  <c r="D40" i="5" s="1"/>
  <c r="AO40" i="5"/>
  <c r="AL42" i="5"/>
  <c r="AM41" i="5"/>
  <c r="F38" i="6" l="1"/>
  <c r="X37" i="6"/>
  <c r="Y37" i="6"/>
  <c r="AP41" i="5"/>
  <c r="D41" i="5" s="1"/>
  <c r="AO41" i="5"/>
  <c r="AL43" i="5"/>
  <c r="AM42" i="5"/>
  <c r="F39" i="6" l="1"/>
  <c r="X38" i="6"/>
  <c r="Y38" i="6"/>
  <c r="AP42" i="5"/>
  <c r="D42" i="5" s="1"/>
  <c r="AO42" i="5"/>
  <c r="AL44" i="5"/>
  <c r="AM43" i="5"/>
  <c r="F40" i="6" l="1"/>
  <c r="X39" i="6"/>
  <c r="Y39" i="6"/>
  <c r="AP43" i="5"/>
  <c r="D43" i="5" s="1"/>
  <c r="AO43" i="5"/>
  <c r="AL45" i="5"/>
  <c r="AM44" i="5"/>
  <c r="F41" i="6" l="1"/>
  <c r="X40" i="6"/>
  <c r="Y40" i="6"/>
  <c r="AP44" i="5"/>
  <c r="D44" i="5" s="1"/>
  <c r="AO44" i="5"/>
  <c r="AL46" i="5"/>
  <c r="AM45" i="5"/>
  <c r="F42" i="6" l="1"/>
  <c r="X41" i="6"/>
  <c r="Y41" i="6"/>
  <c r="AP45" i="5"/>
  <c r="D45" i="5" s="1"/>
  <c r="AO45" i="5"/>
  <c r="AL47" i="5"/>
  <c r="AM46" i="5"/>
  <c r="F43" i="6" l="1"/>
  <c r="X42" i="6"/>
  <c r="Y42" i="6"/>
  <c r="AP46" i="5"/>
  <c r="D46" i="5" s="1"/>
  <c r="AO46" i="5"/>
  <c r="AL48" i="5"/>
  <c r="AM47" i="5"/>
  <c r="F44" i="6" l="1"/>
  <c r="X43" i="6"/>
  <c r="Y43" i="6"/>
  <c r="AP47" i="5"/>
  <c r="D47" i="5" s="1"/>
  <c r="AO47" i="5"/>
  <c r="AL49" i="5"/>
  <c r="AM48" i="5"/>
  <c r="F45" i="6" l="1"/>
  <c r="X44" i="6"/>
  <c r="Y44" i="6"/>
  <c r="AP48" i="5"/>
  <c r="D48" i="5" s="1"/>
  <c r="AO48" i="5"/>
  <c r="AL50" i="5"/>
  <c r="AM49" i="5"/>
  <c r="F46" i="6" l="1"/>
  <c r="X45" i="6"/>
  <c r="Y45" i="6"/>
  <c r="AP49" i="5"/>
  <c r="D49" i="5" s="1"/>
  <c r="AO49" i="5"/>
  <c r="AL51" i="5"/>
  <c r="AM50" i="5"/>
  <c r="F47" i="6" l="1"/>
  <c r="X46" i="6"/>
  <c r="Y46" i="6"/>
  <c r="AP50" i="5"/>
  <c r="D50" i="5" s="1"/>
  <c r="AO50" i="5"/>
  <c r="AL52" i="5"/>
  <c r="AM51" i="5"/>
  <c r="F48" i="6" l="1"/>
  <c r="X47" i="6"/>
  <c r="Y47" i="6"/>
  <c r="AP51" i="5"/>
  <c r="D51" i="5" s="1"/>
  <c r="AO51" i="5"/>
  <c r="AL53" i="5"/>
  <c r="AM52" i="5"/>
  <c r="F49" i="6" l="1"/>
  <c r="X48" i="6"/>
  <c r="Y48" i="6"/>
  <c r="AP52" i="5"/>
  <c r="D52" i="5" s="1"/>
  <c r="AO52" i="5"/>
  <c r="AO3" i="5" s="1"/>
  <c r="F50" i="6" l="1"/>
  <c r="X49" i="6"/>
  <c r="Y49" i="6"/>
  <c r="F51" i="6" l="1"/>
  <c r="X50" i="6"/>
  <c r="Y50" i="6"/>
  <c r="X51" i="6" l="1"/>
  <c r="Y51" i="6"/>
</calcChain>
</file>

<file path=xl/sharedStrings.xml><?xml version="1.0" encoding="utf-8"?>
<sst xmlns="http://schemas.openxmlformats.org/spreadsheetml/2006/main" count="171" uniqueCount="116">
  <si>
    <t>Area</t>
  </si>
  <si>
    <t>Year</t>
  </si>
  <si>
    <t>pupCount</t>
  </si>
  <si>
    <t>Area 2 pop</t>
  </si>
  <si>
    <t>WesternAK</t>
  </si>
  <si>
    <t>PWSKenaiKodiak</t>
  </si>
  <si>
    <t>Matkin_2014NonSEAKpods(ADs,AI,AJ,AK,AN)</t>
  </si>
  <si>
    <t>Matkin2014_SEAKpods(AF05, AF22, AG)</t>
  </si>
  <si>
    <t>NRKW</t>
  </si>
  <si>
    <t>SRKW</t>
  </si>
  <si>
    <t>Area 5</t>
  </si>
  <si>
    <t>Area 6</t>
  </si>
  <si>
    <t>Area 7</t>
  </si>
  <si>
    <t>Area 8</t>
  </si>
  <si>
    <t>WA.StraitJuanDeFuca</t>
  </si>
  <si>
    <t>WA.SanJuanIslands</t>
  </si>
  <si>
    <t>WA.EasternBays</t>
  </si>
  <si>
    <t>WA.PugetSound</t>
  </si>
  <si>
    <t>WA.HoodCanal</t>
  </si>
  <si>
    <t>WA.OlympicPeninsula</t>
  </si>
  <si>
    <t>WA.CoastalEstuaries</t>
  </si>
  <si>
    <t>OR.NorthCoast</t>
  </si>
  <si>
    <t>OR.SouthCoast</t>
  </si>
  <si>
    <t>CA.Mainland</t>
  </si>
  <si>
    <t>CA.ChannelIslands</t>
  </si>
  <si>
    <t>BC.Inland</t>
  </si>
  <si>
    <t>BC.Outer</t>
  </si>
  <si>
    <t>Area 4</t>
  </si>
  <si>
    <t>Area 2</t>
  </si>
  <si>
    <t>Area 1</t>
  </si>
  <si>
    <t>Area1</t>
  </si>
  <si>
    <t>Area4</t>
  </si>
  <si>
    <t>Area5</t>
  </si>
  <si>
    <t>Area2</t>
  </si>
  <si>
    <t>Area6</t>
  </si>
  <si>
    <t>Washington</t>
  </si>
  <si>
    <t>California</t>
  </si>
  <si>
    <t>BritishColumbia</t>
  </si>
  <si>
    <t>Oregon</t>
  </si>
  <si>
    <t>SEAlaska</t>
  </si>
  <si>
    <t>Area7</t>
  </si>
  <si>
    <t>Area8</t>
  </si>
  <si>
    <t>Salish Sea</t>
  </si>
  <si>
    <t>GeorgiaStrait</t>
  </si>
  <si>
    <t>P.Sound</t>
  </si>
  <si>
    <t>aggregate</t>
  </si>
  <si>
    <t>N0</t>
  </si>
  <si>
    <t>K</t>
  </si>
  <si>
    <t>r</t>
  </si>
  <si>
    <t>WCVI/BC</t>
  </si>
  <si>
    <t>interpolated estimate</t>
  </si>
  <si>
    <t>Area 3</t>
  </si>
  <si>
    <t>Pitcher NorCal</t>
  </si>
  <si>
    <t>Pitcher Ano Neuvo</t>
  </si>
  <si>
    <t>CenCal Other</t>
  </si>
  <si>
    <t>N</t>
  </si>
  <si>
    <t>lambda</t>
  </si>
  <si>
    <t>cenCal</t>
  </si>
  <si>
    <t>norCal</t>
  </si>
  <si>
    <t>Cencal</t>
  </si>
  <si>
    <t>Or/NorCal</t>
  </si>
  <si>
    <t xml:space="preserve">Western Alaska </t>
  </si>
  <si>
    <t>The first three columns are based ont eh digitized values in Robin Browne's presentation.</t>
  </si>
  <si>
    <t>The other columns get me the maximum counts, and temporal distributions with the season</t>
  </si>
  <si>
    <t>year</t>
  </si>
  <si>
    <t>mon</t>
  </si>
  <si>
    <t>count2</t>
  </si>
  <si>
    <t>prop</t>
  </si>
  <si>
    <t>Row Labels</t>
  </si>
  <si>
    <t>Max of count2</t>
  </si>
  <si>
    <t>Average of prop</t>
  </si>
  <si>
    <t>Grand Total</t>
  </si>
  <si>
    <t>graphData</t>
  </si>
  <si>
    <t>interpolated</t>
  </si>
  <si>
    <t>Total</t>
  </si>
  <si>
    <t>Area 1 pop total</t>
  </si>
  <si>
    <t>Area 1 Jeff Laake age 6+</t>
  </si>
  <si>
    <t>month</t>
  </si>
  <si>
    <t>count</t>
  </si>
  <si>
    <t>Max of count</t>
  </si>
  <si>
    <t>hs_col_lam</t>
  </si>
  <si>
    <t>hs_Col_n0</t>
  </si>
  <si>
    <t>N Kodiak</t>
  </si>
  <si>
    <t>S Kodiak</t>
  </si>
  <si>
    <t>PWS</t>
  </si>
  <si>
    <t>Cook Inlet</t>
  </si>
  <si>
    <t>area 8</t>
  </si>
  <si>
    <t>Glacier Bay/Icy Strait</t>
  </si>
  <si>
    <t>Lynn Canal</t>
  </si>
  <si>
    <t>Sitka</t>
  </si>
  <si>
    <t>Dixon</t>
  </si>
  <si>
    <t>Clarence</t>
  </si>
  <si>
    <t>area 7</t>
  </si>
  <si>
    <t>Matkin_2014NonSEAKpods (ADs, AI,AJ,AK,AN)</t>
  </si>
  <si>
    <t>Bigg</t>
  </si>
  <si>
    <t>Jefferies</t>
  </si>
  <si>
    <t>Area3</t>
  </si>
  <si>
    <t>Columbia River</t>
  </si>
  <si>
    <t>Jeff Laake 6+</t>
  </si>
  <si>
    <t>6+ratio</t>
  </si>
  <si>
    <t>Demarchi</t>
  </si>
  <si>
    <t>Area 5 Demarchi</t>
  </si>
  <si>
    <t>Count</t>
  </si>
  <si>
    <t>Pred</t>
  </si>
  <si>
    <t>N0_2</t>
  </si>
  <si>
    <t>r_2</t>
  </si>
  <si>
    <t>K_2</t>
  </si>
  <si>
    <t>ssq</t>
  </si>
  <si>
    <t>SSQ</t>
  </si>
  <si>
    <t>N0_3</t>
  </si>
  <si>
    <t>r_3</t>
  </si>
  <si>
    <t>k_3</t>
  </si>
  <si>
    <t>Population Size</t>
  </si>
  <si>
    <t>Rate of change</t>
  </si>
  <si>
    <t>Figure 1</t>
  </si>
  <si>
    <t>Figures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</si>
</sst>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.5"/>
      <color theme="1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3" fontId="0" fillId="0" borderId="0" xfId="0" applyNumberFormat="1" applyFill="1"/>
    <xf numFmtId="0" fontId="0" fillId="0" borderId="0" xfId="0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CSL_interpolated!$X$7:$X$30</c:f>
              <c:numCache>
                <c:formatCode>General</c:formatCode>
                <c:ptCount val="2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</c:numCache>
            </c:numRef>
          </c:xVal>
          <c:yVal>
            <c:numRef>
              <c:f>CSL_interpolated!$AB$7:$AB$30</c:f>
              <c:numCache>
                <c:formatCode>General</c:formatCode>
                <c:ptCount val="24"/>
                <c:pt idx="0">
                  <c:v>90</c:v>
                </c:pt>
                <c:pt idx="2">
                  <c:v>76</c:v>
                </c:pt>
                <c:pt idx="6">
                  <c:v>218</c:v>
                </c:pt>
                <c:pt idx="7">
                  <c:v>202</c:v>
                </c:pt>
                <c:pt idx="10">
                  <c:v>2042</c:v>
                </c:pt>
                <c:pt idx="12">
                  <c:v>3404</c:v>
                </c:pt>
                <c:pt idx="23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4-49E7-AF16-E1E5295DC55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CSL_interpolated!$X$7:$X$30</c:f>
              <c:numCache>
                <c:formatCode>General</c:formatCode>
                <c:ptCount val="2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</c:numCache>
            </c:numRef>
          </c:xVal>
          <c:yVal>
            <c:numRef>
              <c:f>CSL_interpolated!$AC$5:$AC$30</c:f>
              <c:numCache>
                <c:formatCode>General</c:formatCode>
                <c:ptCount val="26"/>
                <c:pt idx="0">
                  <c:v>90</c:v>
                </c:pt>
                <c:pt idx="1">
                  <c:v>120.71476153675594</c:v>
                </c:pt>
                <c:pt idx="2">
                  <c:v>161.6042828113155</c:v>
                </c:pt>
                <c:pt idx="3">
                  <c:v>215.79635429449326</c:v>
                </c:pt>
                <c:pt idx="4">
                  <c:v>287.19145106165666</c:v>
                </c:pt>
                <c:pt idx="5">
                  <c:v>380.50715722627973</c:v>
                </c:pt>
                <c:pt idx="6">
                  <c:v>501.19940488196602</c:v>
                </c:pt>
                <c:pt idx="7">
                  <c:v>655.15819157648525</c:v>
                </c:pt>
                <c:pt idx="8">
                  <c:v>848.04677290020425</c:v>
                </c:pt>
                <c:pt idx="9">
                  <c:v>1084.1616549546789</c:v>
                </c:pt>
                <c:pt idx="10">
                  <c:v>1364.7910877554746</c:v>
                </c:pt>
                <c:pt idx="11">
                  <c:v>1686.3036181603024</c:v>
                </c:pt>
                <c:pt idx="12">
                  <c:v>2038.6032967559809</c:v>
                </c:pt>
                <c:pt idx="13">
                  <c:v>2404.955637121594</c:v>
                </c:pt>
                <c:pt idx="14">
                  <c:v>2764.0914409676648</c:v>
                </c:pt>
                <c:pt idx="15">
                  <c:v>3094.5495724496955</c:v>
                </c:pt>
                <c:pt idx="16">
                  <c:v>3379.7252656222154</c:v>
                </c:pt>
                <c:pt idx="17">
                  <c:v>3611.2667425474197</c:v>
                </c:pt>
                <c:pt idx="18">
                  <c:v>3789.3412001705092</c:v>
                </c:pt>
                <c:pt idx="19">
                  <c:v>3920.2471522552369</c:v>
                </c:pt>
                <c:pt idx="20">
                  <c:v>4013.1249536972609</c:v>
                </c:pt>
                <c:pt idx="21">
                  <c:v>4077.2984324972535</c:v>
                </c:pt>
                <c:pt idx="22">
                  <c:v>4120.8031382085774</c:v>
                </c:pt>
                <c:pt idx="23">
                  <c:v>4149.9075841448066</c:v>
                </c:pt>
                <c:pt idx="24">
                  <c:v>4169.2031040674492</c:v>
                </c:pt>
                <c:pt idx="25">
                  <c:v>4181.9181171803184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4-49E7-AF16-E1E5295D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712"/>
        <c:axId val="4906104"/>
      </c:scatterChart>
      <c:valAx>
        <c:axId val="49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104"/>
        <c:crosses val="autoZero"/>
        <c:crossBetween val="midCat"/>
      </c:valAx>
      <c:valAx>
        <c:axId val="49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HS_interpolated!$AL$8:$AL$53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HS_interpolated!$AM$8:$AM$53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147</c:v>
                </c:pt>
                <c:pt idx="8">
                  <c:v>302</c:v>
                </c:pt>
                <c:pt idx="9">
                  <c:v>302</c:v>
                </c:pt>
                <c:pt idx="10">
                  <c:v>302</c:v>
                </c:pt>
                <c:pt idx="11">
                  <c:v>302</c:v>
                </c:pt>
                <c:pt idx="12">
                  <c:v>67</c:v>
                </c:pt>
                <c:pt idx="13">
                  <c:v>168</c:v>
                </c:pt>
                <c:pt idx="14">
                  <c:v>249</c:v>
                </c:pt>
                <c:pt idx="15">
                  <c:v>190</c:v>
                </c:pt>
                <c:pt idx="16">
                  <c:v>190</c:v>
                </c:pt>
                <c:pt idx="17">
                  <c:v>944</c:v>
                </c:pt>
                <c:pt idx="18">
                  <c:v>543</c:v>
                </c:pt>
                <c:pt idx="19">
                  <c:v>612</c:v>
                </c:pt>
                <c:pt idx="20">
                  <c:v>430</c:v>
                </c:pt>
                <c:pt idx="21">
                  <c:v>553</c:v>
                </c:pt>
                <c:pt idx="22">
                  <c:v>1270</c:v>
                </c:pt>
                <c:pt idx="23">
                  <c:v>570</c:v>
                </c:pt>
                <c:pt idx="24">
                  <c:v>1222</c:v>
                </c:pt>
                <c:pt idx="25">
                  <c:v>944</c:v>
                </c:pt>
                <c:pt idx="26">
                  <c:v>1032</c:v>
                </c:pt>
                <c:pt idx="27">
                  <c:v>345</c:v>
                </c:pt>
                <c:pt idx="28">
                  <c:v>968</c:v>
                </c:pt>
                <c:pt idx="29">
                  <c:v>759</c:v>
                </c:pt>
                <c:pt idx="30">
                  <c:v>543</c:v>
                </c:pt>
                <c:pt idx="31">
                  <c:v>826</c:v>
                </c:pt>
                <c:pt idx="32">
                  <c:v>869</c:v>
                </c:pt>
                <c:pt idx="33">
                  <c:v>1179</c:v>
                </c:pt>
                <c:pt idx="34">
                  <c:v>1179</c:v>
                </c:pt>
                <c:pt idx="35">
                  <c:v>1746</c:v>
                </c:pt>
                <c:pt idx="36">
                  <c:v>2091</c:v>
                </c:pt>
                <c:pt idx="37">
                  <c:v>1610</c:v>
                </c:pt>
                <c:pt idx="38">
                  <c:v>1610</c:v>
                </c:pt>
                <c:pt idx="39">
                  <c:v>1610</c:v>
                </c:pt>
                <c:pt idx="40">
                  <c:v>1610</c:v>
                </c:pt>
                <c:pt idx="41">
                  <c:v>1610</c:v>
                </c:pt>
                <c:pt idx="42">
                  <c:v>1610</c:v>
                </c:pt>
                <c:pt idx="43">
                  <c:v>1610</c:v>
                </c:pt>
                <c:pt idx="44">
                  <c:v>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0-484C-A0CC-3150F0B44628}"/>
            </c:ext>
          </c:extLst>
        </c:ser>
        <c:ser>
          <c:idx val="1"/>
          <c:order val="1"/>
          <c:tx>
            <c:v>pred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HS_interpolated!$AL$8:$AL$53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HS_interpolated!$AP$8:$AP$53</c:f>
              <c:numCache>
                <c:formatCode>General</c:formatCode>
                <c:ptCount val="46"/>
                <c:pt idx="0">
                  <c:v>209.6503565794639</c:v>
                </c:pt>
                <c:pt idx="1">
                  <c:v>220.69364397031956</c:v>
                </c:pt>
                <c:pt idx="2">
                  <c:v>232.31863414664508</c:v>
                </c:pt>
                <c:pt idx="3">
                  <c:v>244.55596817741275</c:v>
                </c:pt>
                <c:pt idx="4">
                  <c:v>257.43790114330528</c:v>
                </c:pt>
                <c:pt idx="5">
                  <c:v>270.99838715443514</c:v>
                </c:pt>
                <c:pt idx="6">
                  <c:v>285.273168846354</c:v>
                </c:pt>
                <c:pt idx="7">
                  <c:v>300.29987159024506</c:v>
                </c:pt>
                <c:pt idx="8">
                  <c:v>316.11810266561719</c:v>
                </c:pt>
                <c:pt idx="9">
                  <c:v>332.769555656899</c:v>
                </c:pt>
                <c:pt idx="10">
                  <c:v>350.29812034910157</c:v>
                </c:pt>
                <c:pt idx="11">
                  <c:v>368.74999841221091</c:v>
                </c:pt>
                <c:pt idx="12">
                  <c:v>388.17382517923153</c:v>
                </c:pt>
                <c:pt idx="13">
                  <c:v>408.62079783886168</c:v>
                </c:pt>
                <c:pt idx="14">
                  <c:v>430.1448103806905</c:v>
                </c:pt>
                <c:pt idx="15">
                  <c:v>452.80259564860438</c:v>
                </c:pt>
                <c:pt idx="16">
                  <c:v>476.65387487682557</c:v>
                </c:pt>
                <c:pt idx="17">
                  <c:v>501.76151510272985</c:v>
                </c:pt>
                <c:pt idx="18">
                  <c:v>528.19169487135025</c:v>
                </c:pt>
                <c:pt idx="19">
                  <c:v>556.01407866832972</c:v>
                </c:pt>
                <c:pt idx="20">
                  <c:v>585.30200054109241</c:v>
                </c:pt>
                <c:pt idx="21">
                  <c:v>616.13265739222015</c:v>
                </c:pt>
                <c:pt idx="22">
                  <c:v>648.58731245451622</c:v>
                </c:pt>
                <c:pt idx="23">
                  <c:v>682.75150948407429</c:v>
                </c:pt>
                <c:pt idx="24">
                  <c:v>718.71529823592084</c:v>
                </c:pt>
                <c:pt idx="25">
                  <c:v>756.57347181653881</c:v>
                </c:pt>
                <c:pt idx="26">
                  <c:v>796.42581653888431</c:v>
                </c:pt>
                <c:pt idx="27">
                  <c:v>838.37737493846248</c:v>
                </c:pt>
                <c:pt idx="28">
                  <c:v>882.5387226437183</c:v>
                </c:pt>
                <c:pt idx="29">
                  <c:v>929.02625983051598</c:v>
                </c:pt>
                <c:pt idx="30">
                  <c:v>977.96251802891993</c:v>
                </c:pt>
                <c:pt idx="31">
                  <c:v>1029.4764830909573</c:v>
                </c:pt>
                <c:pt idx="32">
                  <c:v>1083.7039351706376</c:v>
                </c:pt>
                <c:pt idx="33">
                  <c:v>1140.7878066123465</c:v>
                </c:pt>
                <c:pt idx="34">
                  <c:v>1200.8785586909337</c:v>
                </c:pt>
                <c:pt idx="35">
                  <c:v>1264.1345781965047</c:v>
                </c:pt>
                <c:pt idx="36">
                  <c:v>1330.7225949092294</c:v>
                </c:pt>
                <c:pt idx="37">
                  <c:v>1400.8181210645484</c:v>
                </c:pt>
                <c:pt idx="38">
                  <c:v>1474.6059139671127</c:v>
                </c:pt>
                <c:pt idx="39">
                  <c:v>1552.2804629728132</c:v>
                </c:pt>
                <c:pt idx="40">
                  <c:v>1634.0465021224857</c:v>
                </c:pt>
                <c:pt idx="41">
                  <c:v>1720.1195497784829</c:v>
                </c:pt>
                <c:pt idx="42">
                  <c:v>1810.7264766864894</c:v>
                </c:pt>
                <c:pt idx="43">
                  <c:v>1906.1061039598687</c:v>
                </c:pt>
                <c:pt idx="44">
                  <c:v>2006.509832562708</c:v>
                </c:pt>
                <c:pt idx="4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0-484C-A0CC-3150F0B44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496"/>
        <c:axId val="4906888"/>
      </c:scatterChart>
      <c:valAx>
        <c:axId val="49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888"/>
        <c:crosses val="autoZero"/>
        <c:crossBetween val="midCat"/>
      </c:valAx>
      <c:valAx>
        <c:axId val="49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SSL_interpolated!$F$5</c:f>
              <c:strCache>
                <c:ptCount val="1"/>
                <c:pt idx="0">
                  <c:v>cenCal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SSL_interpolated!$A$6:$A$51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SSL_interpolated!$F$6:$F$51</c:f>
              <c:numCache>
                <c:formatCode>#,##0</c:formatCode>
                <c:ptCount val="46"/>
                <c:pt idx="0">
                  <c:v>1820.707494766983</c:v>
                </c:pt>
                <c:pt idx="1">
                  <c:v>1770.9921242324681</c:v>
                </c:pt>
                <c:pt idx="2">
                  <c:v>1722.6342578959025</c:v>
                </c:pt>
                <c:pt idx="3">
                  <c:v>1675.5968283950674</c:v>
                </c:pt>
                <c:pt idx="4">
                  <c:v>1629.8437805114588</c:v>
                </c:pt>
                <c:pt idx="5">
                  <c:v>1585.3400435331739</c:v>
                </c:pt>
                <c:pt idx="6">
                  <c:v>1542.0515043724436</c:v>
                </c:pt>
                <c:pt idx="7">
                  <c:v>1499.9449814172042</c:v>
                </c:pt>
                <c:pt idx="8">
                  <c:v>1458.9881990966667</c:v>
                </c:pt>
                <c:pt idx="9">
                  <c:v>1419.1497631413852</c:v>
                </c:pt>
                <c:pt idx="10">
                  <c:v>1380.3991365188629</c:v>
                </c:pt>
                <c:pt idx="11">
                  <c:v>1342.7066160262491</c:v>
                </c:pt>
                <c:pt idx="12">
                  <c:v>1306.0433095221842</c:v>
                </c:pt>
                <c:pt idx="13">
                  <c:v>1270.3811137803418</c:v>
                </c:pt>
                <c:pt idx="14">
                  <c:v>1235.6926929476904</c:v>
                </c:pt>
                <c:pt idx="15">
                  <c:v>1201.9514575909648</c:v>
                </c:pt>
                <c:pt idx="16">
                  <c:v>1169.1315443152835</c:v>
                </c:pt>
                <c:pt idx="17">
                  <c:v>1137.2077959392914</c:v>
                </c:pt>
                <c:pt idx="18">
                  <c:v>1106.1557422116296</c:v>
                </c:pt>
                <c:pt idx="19">
                  <c:v>1075.9515810539524</c:v>
                </c:pt>
                <c:pt idx="20">
                  <c:v>1046.5721603161142</c:v>
                </c:pt>
                <c:pt idx="21">
                  <c:v>1017.9949600295396</c:v>
                </c:pt>
                <c:pt idx="22">
                  <c:v>990.19807514517515</c:v>
                </c:pt>
                <c:pt idx="23">
                  <c:v>963.16019874279004</c:v>
                </c:pt>
                <c:pt idx="24">
                  <c:v>936.86060569875565</c:v>
                </c:pt>
                <c:pt idx="25">
                  <c:v>911.27913679978531</c:v>
                </c:pt>
                <c:pt idx="26">
                  <c:v>886.39618329045595</c:v>
                </c:pt>
                <c:pt idx="27">
                  <c:v>862.19267184266857</c:v>
                </c:pt>
                <c:pt idx="28">
                  <c:v>838.65004993552498</c:v>
                </c:pt>
                <c:pt idx="29">
                  <c:v>815.7502716344145</c:v>
                </c:pt>
                <c:pt idx="30">
                  <c:v>793.47578375841078</c:v>
                </c:pt>
                <c:pt idx="31">
                  <c:v>771.80951242537458</c:v>
                </c:pt>
                <c:pt idx="32">
                  <c:v>750.73484996444938</c:v>
                </c:pt>
                <c:pt idx="33">
                  <c:v>730.23564218591889</c:v>
                </c:pt>
                <c:pt idx="34">
                  <c:v>710.29617599866697</c:v>
                </c:pt>
                <c:pt idx="35">
                  <c:v>690.90116736574964</c:v>
                </c:pt>
                <c:pt idx="36">
                  <c:v>672.03574958884678</c:v>
                </c:pt>
                <c:pt idx="37">
                  <c:v>653.68546191261248</c:v>
                </c:pt>
                <c:pt idx="38">
                  <c:v>635.83623844018962</c:v>
                </c:pt>
                <c:pt idx="39">
                  <c:v>618.47439735139244</c:v>
                </c:pt>
                <c:pt idx="40">
                  <c:v>601.58663041529246</c:v>
                </c:pt>
                <c:pt idx="41">
                  <c:v>585.15999278916775</c:v>
                </c:pt>
                <c:pt idx="42">
                  <c:v>569.18189309599836</c:v>
                </c:pt>
                <c:pt idx="43">
                  <c:v>553.6400837729002</c:v>
                </c:pt>
                <c:pt idx="44">
                  <c:v>538.52265168310021</c:v>
                </c:pt>
                <c:pt idx="45">
                  <c:v>523.81800898425672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8-459D-856A-4726A0DE3448}"/>
            </c:ext>
          </c:extLst>
        </c:ser>
        <c:ser>
          <c:idx val="1"/>
          <c:order val="1"/>
          <c:tx>
            <c:strRef>
              <c:f>SSL_interpolated!$G$5</c:f>
              <c:strCache>
                <c:ptCount val="1"/>
                <c:pt idx="0">
                  <c:v>norCal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SSL_interpolated!$A$6:$A$51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SSL_interpolated!$G$6:$G$51</c:f>
              <c:numCache>
                <c:formatCode>#,##0</c:formatCode>
                <c:ptCount val="46"/>
                <c:pt idx="0">
                  <c:v>40.734458894757672</c:v>
                </c:pt>
                <c:pt idx="1">
                  <c:v>45.275072487682102</c:v>
                </c:pt>
                <c:pt idx="2">
                  <c:v>50.321821975366227</c:v>
                </c:pt>
                <c:pt idx="3">
                  <c:v>55.931125623474266</c:v>
                </c:pt>
                <c:pt idx="4">
                  <c:v>62.165690563434588</c:v>
                </c:pt>
                <c:pt idx="5">
                  <c:v>69.095213803577394</c:v>
                </c:pt>
                <c:pt idx="6">
                  <c:v>76.797161381010895</c:v>
                </c:pt>
                <c:pt idx="7">
                  <c:v>85.357634364475672</c:v>
                </c:pt>
                <c:pt idx="8">
                  <c:v>94.872331389335159</c:v>
                </c:pt>
                <c:pt idx="9">
                  <c:v>105.44761848500553</c:v>
                </c:pt>
                <c:pt idx="10">
                  <c:v>117.20171815456429</c:v>
                </c:pt>
                <c:pt idx="11">
                  <c:v>130.26603099941221</c:v>
                </c:pt>
                <c:pt idx="12">
                  <c:v>144.78660466360216</c:v>
                </c:pt>
                <c:pt idx="13">
                  <c:v>160.92576651935309</c:v>
                </c:pt>
                <c:pt idx="14">
                  <c:v>178.86393834575227</c:v>
                </c:pt>
                <c:pt idx="15">
                  <c:v>198.80165328717354</c:v>
                </c:pt>
                <c:pt idx="16">
                  <c:v>220.96179763925085</c:v>
                </c:pt>
                <c:pt idx="17">
                  <c:v>245.59210252362283</c:v>
                </c:pt>
                <c:pt idx="18">
                  <c:v>272.96791330620243</c:v>
                </c:pt>
                <c:pt idx="19">
                  <c:v>303.39526771865718</c:v>
                </c:pt>
                <c:pt idx="20">
                  <c:v>337.21431709381829</c:v>
                </c:pt>
                <c:pt idx="21">
                  <c:v>374.80312896145239</c:v>
                </c:pt>
                <c:pt idx="22">
                  <c:v>416.58191351410534</c:v>
                </c:pt>
                <c:pt idx="23">
                  <c:v>463.01772119122779</c:v>
                </c:pt>
                <c:pt idx="24">
                  <c:v>514.62966389648238</c:v>
                </c:pt>
                <c:pt idx="25">
                  <c:v>571.9947182168977</c:v>
                </c:pt>
                <c:pt idx="26">
                  <c:v>635.7541755188056</c:v>
                </c:pt>
                <c:pt idx="27">
                  <c:v>706.62081102702041</c:v>
                </c:pt>
                <c:pt idx="28">
                  <c:v>785.38685203132331</c:v>
                </c:pt>
                <c:pt idx="29">
                  <c:v>872.93283429786322</c:v>
                </c:pt>
                <c:pt idx="30">
                  <c:v>970.23744569244423</c:v>
                </c:pt>
                <c:pt idx="31">
                  <c:v>1078.3884670588373</c:v>
                </c:pt>
                <c:pt idx="32">
                  <c:v>1198.5949326616112</c:v>
                </c:pt>
                <c:pt idx="33">
                  <c:v>1332.2006461366479</c:v>
                </c:pt>
                <c:pt idx="34">
                  <c:v>1480.6992030459003</c:v>
                </c:pt>
                <c:pt idx="35">
                  <c:v>1645.7506879754776</c:v>
                </c:pt>
                <c:pt idx="36">
                  <c:v>1829.2002328360793</c:v>
                </c:pt>
                <c:pt idx="37">
                  <c:v>2033.098643831418</c:v>
                </c:pt>
                <c:pt idx="38">
                  <c:v>2259.7253276861829</c:v>
                </c:pt>
                <c:pt idx="39">
                  <c:v>2511.6137734288113</c:v>
                </c:pt>
                <c:pt idx="40">
                  <c:v>2791.5798745932179</c:v>
                </c:pt>
                <c:pt idx="41">
                  <c:v>3102.7534084570375</c:v>
                </c:pt>
                <c:pt idx="42">
                  <c:v>3448.6130242268628</c:v>
                </c:pt>
                <c:pt idx="43">
                  <c:v>3833.0251313079252</c:v>
                </c:pt>
                <c:pt idx="44">
                  <c:v>4260.2871223952197</c:v>
                </c:pt>
                <c:pt idx="45">
                  <c:v>4735.1754145826035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8-459D-856A-4726A0DE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32632"/>
        <c:axId val="434832240"/>
      </c:scatterChart>
      <c:valAx>
        <c:axId val="43483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32240"/>
        <c:crosses val="autoZero"/>
        <c:crossBetween val="midCat"/>
      </c:valAx>
      <c:valAx>
        <c:axId val="4348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3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SSL_EGULF!$D$5:$D$34</c:f>
              <c:numCache>
                <c:formatCode>General</c:formatCode>
                <c:ptCount val="3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</c:numCache>
            </c:numRef>
          </c:xVal>
          <c:yVal>
            <c:numRef>
              <c:f>SSL_EGULF!$E$5:$E$34</c:f>
              <c:numCache>
                <c:formatCode>#,##0</c:formatCode>
                <c:ptCount val="30"/>
                <c:pt idx="0">
                  <c:v>69000</c:v>
                </c:pt>
                <c:pt idx="1">
                  <c:v>68176.470588235301</c:v>
                </c:pt>
                <c:pt idx="2">
                  <c:v>67352.941176470602</c:v>
                </c:pt>
                <c:pt idx="3">
                  <c:v>66529.411764705903</c:v>
                </c:pt>
                <c:pt idx="4">
                  <c:v>65705.882352941204</c:v>
                </c:pt>
                <c:pt idx="5">
                  <c:v>64882.352941176498</c:v>
                </c:pt>
                <c:pt idx="6">
                  <c:v>64058.823529411791</c:v>
                </c:pt>
                <c:pt idx="7">
                  <c:v>63235.294117647085</c:v>
                </c:pt>
                <c:pt idx="8">
                  <c:v>62411.764705882379</c:v>
                </c:pt>
                <c:pt idx="9">
                  <c:v>61588.235294117672</c:v>
                </c:pt>
                <c:pt idx="10">
                  <c:v>60764.705882352966</c:v>
                </c:pt>
                <c:pt idx="11">
                  <c:v>59941.17647058826</c:v>
                </c:pt>
                <c:pt idx="12">
                  <c:v>59117.647058823553</c:v>
                </c:pt>
                <c:pt idx="13">
                  <c:v>58294.117647058847</c:v>
                </c:pt>
                <c:pt idx="14">
                  <c:v>57470.588235294141</c:v>
                </c:pt>
                <c:pt idx="15">
                  <c:v>56647.058823529434</c:v>
                </c:pt>
                <c:pt idx="16">
                  <c:v>55823.529411764728</c:v>
                </c:pt>
                <c:pt idx="17">
                  <c:v>55000</c:v>
                </c:pt>
                <c:pt idx="18">
                  <c:v>52875</c:v>
                </c:pt>
                <c:pt idx="19">
                  <c:v>50750</c:v>
                </c:pt>
                <c:pt idx="20">
                  <c:v>48625</c:v>
                </c:pt>
                <c:pt idx="21">
                  <c:v>46500</c:v>
                </c:pt>
                <c:pt idx="22">
                  <c:v>44375</c:v>
                </c:pt>
                <c:pt idx="23">
                  <c:v>42250</c:v>
                </c:pt>
                <c:pt idx="24">
                  <c:v>40125</c:v>
                </c:pt>
                <c:pt idx="25">
                  <c:v>38000</c:v>
                </c:pt>
                <c:pt idx="26">
                  <c:v>36400</c:v>
                </c:pt>
                <c:pt idx="27">
                  <c:v>34800</c:v>
                </c:pt>
                <c:pt idx="28">
                  <c:v>33200</c:v>
                </c:pt>
                <c:pt idx="29">
                  <c:v>31600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F-4860-A8AE-7772D4C6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4136"/>
        <c:axId val="356198288"/>
      </c:scatterChart>
      <c:valAx>
        <c:axId val="24961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98288"/>
        <c:crosses val="autoZero"/>
        <c:crossBetween val="midCat"/>
      </c:valAx>
      <c:valAx>
        <c:axId val="3561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SSL_EGULF!$D$5:$D$60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xVal>
          <c:yVal>
            <c:numRef>
              <c:f>SSL_EGULF!$E$5:$E$60</c:f>
              <c:numCache>
                <c:formatCode>#,##0</c:formatCode>
                <c:ptCount val="56"/>
                <c:pt idx="0">
                  <c:v>69000</c:v>
                </c:pt>
                <c:pt idx="1">
                  <c:v>68176.470588235301</c:v>
                </c:pt>
                <c:pt idx="2">
                  <c:v>67352.941176470602</c:v>
                </c:pt>
                <c:pt idx="3">
                  <c:v>66529.411764705903</c:v>
                </c:pt>
                <c:pt idx="4">
                  <c:v>65705.882352941204</c:v>
                </c:pt>
                <c:pt idx="5">
                  <c:v>64882.352941176498</c:v>
                </c:pt>
                <c:pt idx="6">
                  <c:v>64058.823529411791</c:v>
                </c:pt>
                <c:pt idx="7">
                  <c:v>63235.294117647085</c:v>
                </c:pt>
                <c:pt idx="8">
                  <c:v>62411.764705882379</c:v>
                </c:pt>
                <c:pt idx="9">
                  <c:v>61588.235294117672</c:v>
                </c:pt>
                <c:pt idx="10">
                  <c:v>60764.705882352966</c:v>
                </c:pt>
                <c:pt idx="11">
                  <c:v>59941.17647058826</c:v>
                </c:pt>
                <c:pt idx="12">
                  <c:v>59117.647058823553</c:v>
                </c:pt>
                <c:pt idx="13">
                  <c:v>58294.117647058847</c:v>
                </c:pt>
                <c:pt idx="14">
                  <c:v>57470.588235294141</c:v>
                </c:pt>
                <c:pt idx="15">
                  <c:v>56647.058823529434</c:v>
                </c:pt>
                <c:pt idx="16">
                  <c:v>55823.529411764728</c:v>
                </c:pt>
                <c:pt idx="17">
                  <c:v>55000</c:v>
                </c:pt>
                <c:pt idx="18">
                  <c:v>52875</c:v>
                </c:pt>
                <c:pt idx="19">
                  <c:v>50750</c:v>
                </c:pt>
                <c:pt idx="20">
                  <c:v>48625</c:v>
                </c:pt>
                <c:pt idx="21">
                  <c:v>46500</c:v>
                </c:pt>
                <c:pt idx="22">
                  <c:v>44375</c:v>
                </c:pt>
                <c:pt idx="23">
                  <c:v>42250</c:v>
                </c:pt>
                <c:pt idx="24">
                  <c:v>40125</c:v>
                </c:pt>
                <c:pt idx="25">
                  <c:v>38000</c:v>
                </c:pt>
                <c:pt idx="26">
                  <c:v>36400</c:v>
                </c:pt>
                <c:pt idx="27">
                  <c:v>34800</c:v>
                </c:pt>
                <c:pt idx="28">
                  <c:v>33200</c:v>
                </c:pt>
                <c:pt idx="29">
                  <c:v>31600</c:v>
                </c:pt>
                <c:pt idx="30">
                  <c:v>24689.687446236585</c:v>
                </c:pt>
                <c:pt idx="31">
                  <c:v>21271.279866224861</c:v>
                </c:pt>
                <c:pt idx="32">
                  <c:v>18670.442899542573</c:v>
                </c:pt>
                <c:pt idx="33">
                  <c:v>17056.791517562891</c:v>
                </c:pt>
                <c:pt idx="34">
                  <c:v>15443.140135583211</c:v>
                </c:pt>
                <c:pt idx="35">
                  <c:v>13647.644430595004</c:v>
                </c:pt>
                <c:pt idx="36">
                  <c:v>11852.148725606798</c:v>
                </c:pt>
                <c:pt idx="37">
                  <c:v>11399.022885281254</c:v>
                </c:pt>
                <c:pt idx="38">
                  <c:v>10945.897044955711</c:v>
                </c:pt>
                <c:pt idx="39">
                  <c:v>10548.286061725801</c:v>
                </c:pt>
                <c:pt idx="40">
                  <c:v>10150.675078495891</c:v>
                </c:pt>
                <c:pt idx="41">
                  <c:v>10807.402971924017</c:v>
                </c:pt>
                <c:pt idx="42">
                  <c:v>11464.130865352141</c:v>
                </c:pt>
                <c:pt idx="43">
                  <c:v>12120.858758780265</c:v>
                </c:pt>
                <c:pt idx="44">
                  <c:v>12777.586652208389</c:v>
                </c:pt>
                <c:pt idx="45">
                  <c:v>13434.314545636513</c:v>
                </c:pt>
                <c:pt idx="46">
                  <c:v>14091.042439064637</c:v>
                </c:pt>
                <c:pt idx="47">
                  <c:v>14747.770332492761</c:v>
                </c:pt>
                <c:pt idx="48">
                  <c:v>15404.498225920885</c:v>
                </c:pt>
                <c:pt idx="49">
                  <c:v>16061.226119349009</c:v>
                </c:pt>
                <c:pt idx="50">
                  <c:v>16717.954012777132</c:v>
                </c:pt>
                <c:pt idx="51">
                  <c:v>17374.681906205256</c:v>
                </c:pt>
                <c:pt idx="52">
                  <c:v>18031.40979963338</c:v>
                </c:pt>
                <c:pt idx="53">
                  <c:v>18688.137693061504</c:v>
                </c:pt>
                <c:pt idx="54">
                  <c:v>19344.865586489628</c:v>
                </c:pt>
                <c:pt idx="55">
                  <c:v>20001.593479917752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E-4182-963C-1C1A4963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34056"/>
        <c:axId val="388032088"/>
      </c:scatterChart>
      <c:valAx>
        <c:axId val="38803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32088"/>
        <c:crosses val="autoZero"/>
        <c:crossBetween val="midCat"/>
      </c:valAx>
      <c:valAx>
        <c:axId val="3880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3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CSL_ColumbiaRiver!$AA$5:$AA$16</c:f>
              <c:numCache>
                <c:formatCode>General</c:formatCode>
                <c:ptCount val="12"/>
                <c:pt idx="0">
                  <c:v>1.7635274895648478E-2</c:v>
                </c:pt>
                <c:pt idx="1">
                  <c:v>0.25544736846298594</c:v>
                </c:pt>
                <c:pt idx="2">
                  <c:v>0.63009434902653394</c:v>
                </c:pt>
                <c:pt idx="3">
                  <c:v>0.87658844939153058</c:v>
                </c:pt>
                <c:pt idx="4">
                  <c:v>0.45250046432960783</c:v>
                </c:pt>
                <c:pt idx="5">
                  <c:v>6.407908114167804E-2</c:v>
                </c:pt>
                <c:pt idx="6">
                  <c:v>0</c:v>
                </c:pt>
                <c:pt idx="7">
                  <c:v>1</c:v>
                </c:pt>
                <c:pt idx="8">
                  <c:v>0.96399540062725164</c:v>
                </c:pt>
                <c:pt idx="9">
                  <c:v>0.73533025778393624</c:v>
                </c:pt>
                <c:pt idx="10">
                  <c:v>0.5009275669470119</c:v>
                </c:pt>
                <c:pt idx="11">
                  <c:v>0.14576651542548813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2-44FF-B97A-6A7700496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52864"/>
        <c:axId val="249653256"/>
      </c:scatterChart>
      <c:valAx>
        <c:axId val="2496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3256"/>
        <c:crosses val="autoZero"/>
        <c:crossBetween val="midCat"/>
      </c:valAx>
      <c:valAx>
        <c:axId val="2496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CSL_ColumbiaRiver!$AF$6:$AF$36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xVal>
          <c:yVal>
            <c:numRef>
              <c:f>CSL_ColumbiaRiver!$AG$6:$AG$36</c:f>
              <c:numCache>
                <c:formatCode>General</c:formatCode>
                <c:ptCount val="31"/>
                <c:pt idx="19">
                  <c:v>200</c:v>
                </c:pt>
                <c:pt idx="20">
                  <c:v>245</c:v>
                </c:pt>
                <c:pt idx="21">
                  <c:v>136</c:v>
                </c:pt>
                <c:pt idx="22">
                  <c:v>188</c:v>
                </c:pt>
                <c:pt idx="23">
                  <c:v>272</c:v>
                </c:pt>
                <c:pt idx="24">
                  <c:v>375</c:v>
                </c:pt>
                <c:pt idx="25">
                  <c:v>357</c:v>
                </c:pt>
                <c:pt idx="26">
                  <c:v>303</c:v>
                </c:pt>
                <c:pt idx="27">
                  <c:v>242</c:v>
                </c:pt>
                <c:pt idx="28">
                  <c:v>738</c:v>
                </c:pt>
                <c:pt idx="29">
                  <c:v>1426</c:v>
                </c:pt>
                <c:pt idx="30">
                  <c:v>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3-4452-8005-8DE88206499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CSL_ColumbiaRiver!$AF$6:$AF$36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xVal>
          <c:yVal>
            <c:numRef>
              <c:f>CSL_ColumbiaRiver!$AH$6:$AH$36</c:f>
              <c:numCache>
                <c:formatCode>#,##0</c:formatCode>
                <c:ptCount val="31"/>
                <c:pt idx="0">
                  <c:v>3.390675538889897</c:v>
                </c:pt>
                <c:pt idx="1">
                  <c:v>4.1077870797639049</c:v>
                </c:pt>
                <c:pt idx="2">
                  <c:v>4.9765642566318116</c:v>
                </c:pt>
                <c:pt idx="3">
                  <c:v>6.0290836208114209</c:v>
                </c:pt>
                <c:pt idx="4">
                  <c:v>7.3042057596857983</c:v>
                </c:pt>
                <c:pt idx="5">
                  <c:v>8.8490100876469384</c:v>
                </c:pt>
                <c:pt idx="6">
                  <c:v>10.720533088411475</c:v>
                </c:pt>
                <c:pt idx="7">
                  <c:v>12.987874187211663</c:v>
                </c:pt>
                <c:pt idx="8">
                  <c:v>15.734747004809071</c:v>
                </c:pt>
                <c:pt idx="9">
                  <c:v>19.062570189440748</c:v>
                </c:pt>
                <c:pt idx="10">
                  <c:v>23.094211944830978</c:v>
                </c:pt>
                <c:pt idx="11">
                  <c:v>27.978526507837127</c:v>
                </c:pt>
                <c:pt idx="12">
                  <c:v>33.895850069261755</c:v>
                </c:pt>
                <c:pt idx="13">
                  <c:v>41.06465905543822</c:v>
                </c:pt>
                <c:pt idx="14">
                  <c:v>49.749636604293364</c:v>
                </c:pt>
                <c:pt idx="15">
                  <c:v>60.271445062234768</c:v>
                </c:pt>
                <c:pt idx="16">
                  <c:v>73.018565317047731</c:v>
                </c:pt>
                <c:pt idx="17">
                  <c:v>88.461640092660403</c:v>
                </c:pt>
                <c:pt idx="18">
                  <c:v>107.17085078164857</c:v>
                </c:pt>
                <c:pt idx="19">
                  <c:v>129.83696939409714</c:v>
                </c:pt>
                <c:pt idx="20">
                  <c:v>157.29686289222161</c:v>
                </c:pt>
                <c:pt idx="21">
                  <c:v>190.56439156888729</c:v>
                </c:pt>
                <c:pt idx="22">
                  <c:v>230.86784228432302</c:v>
                </c:pt>
                <c:pt idx="23">
                  <c:v>279.69527865205396</c:v>
                </c:pt>
                <c:pt idx="24">
                  <c:v>338.84948257067089</c:v>
                </c:pt>
                <c:pt idx="25">
                  <c:v>410.51451562487148</c:v>
                </c:pt>
                <c:pt idx="26">
                  <c:v>497.33635790214214</c:v>
                </c:pt>
                <c:pt idx="27">
                  <c:v>602.52060153066623</c:v>
                </c:pt>
                <c:pt idx="28">
                  <c:v>729.95080592983163</c:v>
                </c:pt>
                <c:pt idx="29">
                  <c:v>884.33188462600913</c:v>
                </c:pt>
                <c:pt idx="30">
                  <c:v>1071.3638176890581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3-4452-8005-8DE88206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54040"/>
        <c:axId val="285496216"/>
      </c:scatterChart>
      <c:valAx>
        <c:axId val="24965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96216"/>
        <c:crosses val="autoZero"/>
        <c:crossBetween val="midCat"/>
      </c:valAx>
      <c:valAx>
        <c:axId val="2854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38100</xdr:colOff>
      <xdr:row>11</xdr:row>
      <xdr:rowOff>100012</xdr:rowOff>
    </xdr:from>
    <xdr:to>
      <xdr:col>42</xdr:col>
      <xdr:colOff>342900</xdr:colOff>
      <xdr:row>25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9</xdr:row>
      <xdr:rowOff>0</xdr:rowOff>
    </xdr:from>
    <xdr:to>
      <xdr:col>36</xdr:col>
      <xdr:colOff>419100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180975</xdr:rowOff>
    </xdr:from>
    <xdr:to>
      <xdr:col>6</xdr:col>
      <xdr:colOff>180975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19</xdr:row>
      <xdr:rowOff>157162</xdr:rowOff>
    </xdr:from>
    <xdr:to>
      <xdr:col>18</xdr:col>
      <xdr:colOff>352425</xdr:colOff>
      <xdr:row>34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30</xdr:row>
      <xdr:rowOff>161925</xdr:rowOff>
    </xdr:from>
    <xdr:to>
      <xdr:col>18</xdr:col>
      <xdr:colOff>352425</xdr:colOff>
      <xdr:row>45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481853</xdr:colOff>
      <xdr:row>25</xdr:row>
      <xdr:rowOff>79561</xdr:rowOff>
    </xdr:from>
    <xdr:to>
      <xdr:col>20</xdr:col>
      <xdr:colOff>224117</xdr:colOff>
      <xdr:row>39</xdr:row>
      <xdr:rowOff>155761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414617</xdr:colOff>
      <xdr:row>13</xdr:row>
      <xdr:rowOff>135591</xdr:rowOff>
    </xdr:from>
    <xdr:to>
      <xdr:col>27</xdr:col>
      <xdr:colOff>56029</xdr:colOff>
      <xdr:row>28</xdr:row>
      <xdr:rowOff>21291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ellerSeaLionGOAPopEsti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D5">
            <v>1960</v>
          </cell>
          <cell r="E5">
            <v>69000</v>
          </cell>
        </row>
        <row r="6">
          <cell r="D6">
            <v>1961</v>
          </cell>
          <cell r="E6">
            <v>68176.470588235301</v>
          </cell>
        </row>
        <row r="7">
          <cell r="D7">
            <v>1962</v>
          </cell>
          <cell r="E7">
            <v>67352.941176470602</v>
          </cell>
        </row>
        <row r="8">
          <cell r="D8">
            <v>1963</v>
          </cell>
          <cell r="E8">
            <v>66529.411764705903</v>
          </cell>
        </row>
        <row r="9">
          <cell r="D9">
            <v>1964</v>
          </cell>
          <cell r="E9">
            <v>65705.882352941204</v>
          </cell>
        </row>
        <row r="10">
          <cell r="D10">
            <v>1965</v>
          </cell>
          <cell r="E10">
            <v>64882.352941176498</v>
          </cell>
        </row>
        <row r="11">
          <cell r="D11">
            <v>1966</v>
          </cell>
          <cell r="E11">
            <v>64058.823529411791</v>
          </cell>
        </row>
        <row r="12">
          <cell r="D12">
            <v>1967</v>
          </cell>
          <cell r="E12">
            <v>63235.294117647085</v>
          </cell>
        </row>
        <row r="13">
          <cell r="D13">
            <v>1968</v>
          </cell>
          <cell r="E13">
            <v>62411.764705882379</v>
          </cell>
        </row>
        <row r="14">
          <cell r="D14">
            <v>1969</v>
          </cell>
          <cell r="E14">
            <v>61588.235294117672</v>
          </cell>
        </row>
        <row r="15">
          <cell r="D15">
            <v>1970</v>
          </cell>
          <cell r="E15">
            <v>60764.705882352966</v>
          </cell>
        </row>
        <row r="16">
          <cell r="D16">
            <v>1971</v>
          </cell>
          <cell r="E16">
            <v>59941.17647058826</v>
          </cell>
        </row>
        <row r="17">
          <cell r="D17">
            <v>1972</v>
          </cell>
          <cell r="E17">
            <v>59117.647058823553</v>
          </cell>
        </row>
        <row r="18">
          <cell r="D18">
            <v>1973</v>
          </cell>
          <cell r="E18">
            <v>58294.117647058847</v>
          </cell>
        </row>
        <row r="19">
          <cell r="D19">
            <v>1974</v>
          </cell>
          <cell r="E19">
            <v>57470.588235294141</v>
          </cell>
        </row>
        <row r="20">
          <cell r="D20">
            <v>1975</v>
          </cell>
          <cell r="E20">
            <v>56647.058823529434</v>
          </cell>
        </row>
        <row r="21">
          <cell r="D21">
            <v>1976</v>
          </cell>
          <cell r="E21">
            <v>55823.529411764728</v>
          </cell>
        </row>
        <row r="22">
          <cell r="D22">
            <v>1977</v>
          </cell>
          <cell r="E22">
            <v>55000</v>
          </cell>
        </row>
        <row r="23">
          <cell r="D23">
            <v>1978</v>
          </cell>
          <cell r="E23">
            <v>52875</v>
          </cell>
        </row>
        <row r="24">
          <cell r="D24">
            <v>1979</v>
          </cell>
          <cell r="E24">
            <v>50750</v>
          </cell>
        </row>
        <row r="25">
          <cell r="D25">
            <v>1980</v>
          </cell>
          <cell r="E25">
            <v>48625</v>
          </cell>
        </row>
        <row r="26">
          <cell r="D26">
            <v>1981</v>
          </cell>
          <cell r="E26">
            <v>46500</v>
          </cell>
        </row>
        <row r="27">
          <cell r="D27">
            <v>1982</v>
          </cell>
          <cell r="E27">
            <v>44375</v>
          </cell>
        </row>
        <row r="28">
          <cell r="D28">
            <v>1983</v>
          </cell>
          <cell r="E28">
            <v>42250</v>
          </cell>
        </row>
        <row r="29">
          <cell r="D29">
            <v>1984</v>
          </cell>
          <cell r="E29">
            <v>40125</v>
          </cell>
        </row>
        <row r="30">
          <cell r="D30">
            <v>1985</v>
          </cell>
          <cell r="E30">
            <v>38000</v>
          </cell>
        </row>
        <row r="31">
          <cell r="D31">
            <v>1986</v>
          </cell>
          <cell r="E31">
            <v>36400</v>
          </cell>
        </row>
        <row r="32">
          <cell r="D32">
            <v>1987</v>
          </cell>
          <cell r="E32">
            <v>34800</v>
          </cell>
        </row>
        <row r="33">
          <cell r="D33">
            <v>1988</v>
          </cell>
          <cell r="E33">
            <v>33200</v>
          </cell>
        </row>
        <row r="34">
          <cell r="D34">
            <v>1989</v>
          </cell>
          <cell r="E34">
            <v>31600</v>
          </cell>
        </row>
        <row r="35">
          <cell r="D35">
            <v>1990</v>
          </cell>
          <cell r="E35">
            <v>24689.687446236585</v>
          </cell>
        </row>
        <row r="36">
          <cell r="D36">
            <v>1991</v>
          </cell>
          <cell r="E36">
            <v>21271.279866224861</v>
          </cell>
        </row>
        <row r="37">
          <cell r="D37">
            <v>1992</v>
          </cell>
          <cell r="E37">
            <v>18670.442899542573</v>
          </cell>
        </row>
        <row r="38">
          <cell r="D38">
            <v>1993</v>
          </cell>
          <cell r="E38">
            <v>17056.791517562891</v>
          </cell>
        </row>
        <row r="39">
          <cell r="D39">
            <v>1994</v>
          </cell>
          <cell r="E39">
            <v>15443.140135583211</v>
          </cell>
        </row>
        <row r="40">
          <cell r="D40">
            <v>1995</v>
          </cell>
          <cell r="E40">
            <v>13647.644430595004</v>
          </cell>
        </row>
        <row r="41">
          <cell r="D41">
            <v>1996</v>
          </cell>
          <cell r="E41">
            <v>11852.148725606798</v>
          </cell>
        </row>
        <row r="42">
          <cell r="D42">
            <v>1997</v>
          </cell>
          <cell r="E42">
            <v>11399.022885281254</v>
          </cell>
        </row>
        <row r="43">
          <cell r="D43">
            <v>1998</v>
          </cell>
          <cell r="E43">
            <v>10945.897044955711</v>
          </cell>
        </row>
        <row r="44">
          <cell r="D44">
            <v>1999</v>
          </cell>
          <cell r="E44">
            <v>10548.286061725801</v>
          </cell>
        </row>
        <row r="45">
          <cell r="D45">
            <v>2000</v>
          </cell>
          <cell r="E45">
            <v>10150.675078495891</v>
          </cell>
        </row>
        <row r="46">
          <cell r="D46">
            <v>2001</v>
          </cell>
          <cell r="E46">
            <v>10807.402971924017</v>
          </cell>
        </row>
        <row r="47">
          <cell r="D47">
            <v>2002</v>
          </cell>
          <cell r="E47">
            <v>11464.130865352141</v>
          </cell>
        </row>
        <row r="48">
          <cell r="D48">
            <v>2003</v>
          </cell>
          <cell r="E48">
            <v>12120.858758780265</v>
          </cell>
        </row>
        <row r="49">
          <cell r="D49">
            <v>2004</v>
          </cell>
          <cell r="E49">
            <v>12777.586652208389</v>
          </cell>
        </row>
        <row r="50">
          <cell r="D50">
            <v>2005</v>
          </cell>
          <cell r="E50">
            <v>13434.314545636513</v>
          </cell>
        </row>
        <row r="51">
          <cell r="D51">
            <v>2006</v>
          </cell>
          <cell r="E51">
            <v>14091.042439064637</v>
          </cell>
        </row>
        <row r="52">
          <cell r="D52">
            <v>2007</v>
          </cell>
          <cell r="E52">
            <v>14747.770332492761</v>
          </cell>
        </row>
        <row r="53">
          <cell r="D53">
            <v>2008</v>
          </cell>
          <cell r="E53">
            <v>15404.498225920885</v>
          </cell>
        </row>
        <row r="54">
          <cell r="D54">
            <v>2009</v>
          </cell>
          <cell r="E54">
            <v>16061.226119349009</v>
          </cell>
        </row>
        <row r="55">
          <cell r="D55">
            <v>2010</v>
          </cell>
          <cell r="E55">
            <v>16717.954012777132</v>
          </cell>
        </row>
        <row r="56">
          <cell r="D56">
            <v>2011</v>
          </cell>
          <cell r="E56">
            <v>17374.681906205256</v>
          </cell>
        </row>
        <row r="57">
          <cell r="D57">
            <v>2012</v>
          </cell>
          <cell r="E57">
            <v>18031.40979963338</v>
          </cell>
        </row>
        <row r="58">
          <cell r="D58">
            <v>2013</v>
          </cell>
          <cell r="E58">
            <v>18688.137693061504</v>
          </cell>
        </row>
        <row r="59">
          <cell r="D59">
            <v>2014</v>
          </cell>
          <cell r="E59">
            <v>19344.865586489628</v>
          </cell>
        </row>
        <row r="60">
          <cell r="D60">
            <v>2015</v>
          </cell>
          <cell r="E60">
            <v>20001.593479917752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lumbiaRiver_PinnipedCount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olumbiaRiver_PinnipedCount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sco, Brandon" refreshedDate="42650.638368287036" createdVersion="5" refreshedVersion="5" minRefreshableVersion="3" recordCount="103">
  <cacheSource type="worksheet">
    <worksheetSource ref="I4:K107" sheet="ColumbiaRiverCaliforniaSeaLions" r:id="rId2"/>
  </cacheSource>
  <cacheFields count="3">
    <cacheField name="year" numFmtId="0">
      <sharedItems containsSemiMixedTypes="0" containsString="0" containsNumber="1" containsInteger="1" minValue="2004" maxValue="2015" count="12"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mon" numFmtId="0">
      <sharedItems containsSemiMixedTypes="0" containsString="0" containsNumber="1" containsInteger="1" minValue="1" maxValue="12"/>
    </cacheField>
    <cacheField name="count2" numFmtId="0">
      <sharedItems containsSemiMixedTypes="0" containsString="0" containsNumber="1" containsInteger="1" minValue="0" maxValue="20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sco, Brandon" refreshedDate="42650.640839467589" createdVersion="5" refreshedVersion="5" minRefreshableVersion="3" recordCount="99">
  <cacheSource type="worksheet">
    <worksheetSource ref="Q4:T103" sheet="ColumbiaRiverCaliforniaSeaLions" r:id="rId2"/>
  </cacheSource>
  <cacheFields count="4">
    <cacheField name="year" numFmtId="0">
      <sharedItems containsSemiMixedTypes="0" containsString="0" containsNumber="1" containsInteger="1" minValue="2005" maxValue="2015"/>
    </cacheField>
    <cacheField name="mon" numFmtId="0">
      <sharedItems containsSemiMixedTypes="0" containsString="0" containsNumber="1" containsInteger="1" minValue="1" maxValue="12" count="12">
        <n v="2"/>
        <n v="3"/>
        <n v="4"/>
        <n v="5"/>
        <n v="6"/>
        <n v="8"/>
        <n v="9"/>
        <n v="10"/>
        <n v="11"/>
        <n v="12"/>
        <n v="1"/>
        <n v="7"/>
      </sharedItems>
    </cacheField>
    <cacheField name="count2" numFmtId="0">
      <sharedItems containsSemiMixedTypes="0" containsString="0" containsNumber="1" containsInteger="1" minValue="0" maxValue="2058"/>
    </cacheField>
    <cacheField name="prop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sco, Brandon" refreshedDate="42722.313428472225" createdVersion="5" refreshedVersion="5" minRefreshableVersion="3" recordCount="52">
  <cacheSource type="worksheet">
    <worksheetSource ref="AD7:AF59" sheet="HS_interpolated"/>
  </cacheSource>
  <cacheFields count="3">
    <cacheField name="year" numFmtId="0">
      <sharedItems containsSemiMixedTypes="0" containsString="0" containsNumber="1" containsInteger="1" minValue="1977" maxValue="2014" count="28">
        <n v="1977"/>
        <n v="1978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5"/>
        <n v="2006"/>
        <n v="2007"/>
        <n v="2014"/>
      </sharedItems>
    </cacheField>
    <cacheField name="month" numFmtId="0">
      <sharedItems containsSemiMixedTypes="0" containsString="0" containsNumber="1" containsInteger="1" minValue="3" maxValue="6"/>
    </cacheField>
    <cacheField name="count" numFmtId="0">
      <sharedItems containsSemiMixedTypes="0" containsString="0" containsNumber="1" containsInteger="1" minValue="24" maxValue="2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x v="0"/>
    <n v="8"/>
    <n v="200"/>
  </r>
  <r>
    <x v="0"/>
    <n v="9"/>
    <n v="163"/>
  </r>
  <r>
    <x v="0"/>
    <n v="11"/>
    <n v="91"/>
  </r>
  <r>
    <x v="0"/>
    <n v="12"/>
    <n v="115"/>
  </r>
  <r>
    <x v="1"/>
    <n v="2"/>
    <n v="85"/>
  </r>
  <r>
    <x v="1"/>
    <n v="3"/>
    <n v="97"/>
  </r>
  <r>
    <x v="1"/>
    <n v="4"/>
    <n v="121"/>
  </r>
  <r>
    <x v="1"/>
    <n v="5"/>
    <n v="200"/>
  </r>
  <r>
    <x v="1"/>
    <n v="6"/>
    <n v="97"/>
  </r>
  <r>
    <x v="1"/>
    <n v="8"/>
    <n v="166"/>
  </r>
  <r>
    <x v="1"/>
    <n v="9"/>
    <n v="245"/>
  </r>
  <r>
    <x v="1"/>
    <n v="10"/>
    <n v="176"/>
  </r>
  <r>
    <x v="1"/>
    <n v="11"/>
    <n v="100"/>
  </r>
  <r>
    <x v="1"/>
    <n v="12"/>
    <n v="39"/>
  </r>
  <r>
    <x v="2"/>
    <n v="1"/>
    <n v="48"/>
  </r>
  <r>
    <x v="2"/>
    <n v="2"/>
    <n v="61"/>
  </r>
  <r>
    <x v="2"/>
    <n v="3"/>
    <n v="48"/>
  </r>
  <r>
    <x v="2"/>
    <n v="4"/>
    <n v="85"/>
  </r>
  <r>
    <x v="2"/>
    <n v="5"/>
    <n v="61"/>
  </r>
  <r>
    <x v="2"/>
    <n v="7"/>
    <n v="0"/>
  </r>
  <r>
    <x v="2"/>
    <n v="8"/>
    <n v="112"/>
  </r>
  <r>
    <x v="2"/>
    <n v="10"/>
    <n v="136"/>
  </r>
  <r>
    <x v="2"/>
    <n v="11"/>
    <n v="94"/>
  </r>
  <r>
    <x v="3"/>
    <n v="1"/>
    <n v="45"/>
  </r>
  <r>
    <x v="3"/>
    <n v="2"/>
    <n v="73"/>
  </r>
  <r>
    <x v="3"/>
    <n v="3"/>
    <n v="121"/>
  </r>
  <r>
    <x v="3"/>
    <n v="5"/>
    <n v="103"/>
  </r>
  <r>
    <x v="3"/>
    <n v="7"/>
    <n v="6"/>
  </r>
  <r>
    <x v="3"/>
    <n v="8"/>
    <n v="182"/>
  </r>
  <r>
    <x v="3"/>
    <n v="10"/>
    <n v="188"/>
  </r>
  <r>
    <x v="3"/>
    <n v="11"/>
    <n v="121"/>
  </r>
  <r>
    <x v="4"/>
    <n v="1"/>
    <n v="36"/>
  </r>
  <r>
    <x v="4"/>
    <n v="2"/>
    <n v="61"/>
  </r>
  <r>
    <x v="4"/>
    <n v="3"/>
    <n v="127"/>
  </r>
  <r>
    <x v="4"/>
    <n v="4"/>
    <n v="163"/>
  </r>
  <r>
    <x v="4"/>
    <n v="6"/>
    <n v="48"/>
  </r>
  <r>
    <x v="4"/>
    <n v="7"/>
    <n v="194"/>
  </r>
  <r>
    <x v="4"/>
    <n v="8"/>
    <n v="212"/>
  </r>
  <r>
    <x v="4"/>
    <n v="10"/>
    <n v="203"/>
  </r>
  <r>
    <x v="4"/>
    <n v="11"/>
    <n v="272"/>
  </r>
  <r>
    <x v="4"/>
    <n v="12"/>
    <n v="157"/>
  </r>
  <r>
    <x v="5"/>
    <n v="1"/>
    <n v="30"/>
  </r>
  <r>
    <x v="5"/>
    <n v="2"/>
    <n v="45"/>
  </r>
  <r>
    <x v="5"/>
    <n v="3"/>
    <n v="85"/>
  </r>
  <r>
    <x v="5"/>
    <n v="4"/>
    <n v="121"/>
  </r>
  <r>
    <x v="5"/>
    <n v="5"/>
    <n v="176"/>
  </r>
  <r>
    <x v="5"/>
    <n v="6"/>
    <n v="48"/>
  </r>
  <r>
    <x v="5"/>
    <n v="8"/>
    <n v="351"/>
  </r>
  <r>
    <x v="5"/>
    <n v="9"/>
    <n v="375"/>
  </r>
  <r>
    <x v="5"/>
    <n v="10"/>
    <n v="91"/>
  </r>
  <r>
    <x v="5"/>
    <n v="12"/>
    <n v="85"/>
  </r>
  <r>
    <x v="6"/>
    <n v="1"/>
    <n v="61"/>
  </r>
  <r>
    <x v="6"/>
    <n v="2"/>
    <n v="91"/>
  </r>
  <r>
    <x v="6"/>
    <n v="3"/>
    <n v="227"/>
  </r>
  <r>
    <x v="6"/>
    <n v="5"/>
    <n v="215"/>
  </r>
  <r>
    <x v="6"/>
    <n v="7"/>
    <n v="33"/>
  </r>
  <r>
    <x v="6"/>
    <n v="8"/>
    <n v="321"/>
  </r>
  <r>
    <x v="6"/>
    <n v="9"/>
    <n v="357"/>
  </r>
  <r>
    <x v="6"/>
    <n v="10"/>
    <n v="269"/>
  </r>
  <r>
    <x v="6"/>
    <n v="11"/>
    <n v="94"/>
  </r>
  <r>
    <x v="6"/>
    <n v="12"/>
    <n v="58"/>
  </r>
  <r>
    <x v="7"/>
    <n v="1"/>
    <n v="24"/>
  </r>
  <r>
    <x v="7"/>
    <n v="2"/>
    <n v="42"/>
  </r>
  <r>
    <x v="7"/>
    <n v="3"/>
    <n v="82"/>
  </r>
  <r>
    <x v="7"/>
    <n v="4"/>
    <n v="154"/>
  </r>
  <r>
    <x v="7"/>
    <n v="5"/>
    <n v="127"/>
  </r>
  <r>
    <x v="7"/>
    <n v="6"/>
    <n v="12"/>
  </r>
  <r>
    <x v="7"/>
    <n v="8"/>
    <n v="303"/>
  </r>
  <r>
    <x v="7"/>
    <n v="10"/>
    <n v="88"/>
  </r>
  <r>
    <x v="7"/>
    <n v="11"/>
    <n v="157"/>
  </r>
  <r>
    <x v="7"/>
    <n v="12"/>
    <n v="109"/>
  </r>
  <r>
    <x v="8"/>
    <n v="2"/>
    <n v="30"/>
  </r>
  <r>
    <x v="8"/>
    <n v="4"/>
    <n v="242"/>
  </r>
  <r>
    <x v="8"/>
    <n v="5"/>
    <n v="91"/>
  </r>
  <r>
    <x v="8"/>
    <n v="6"/>
    <n v="18"/>
  </r>
  <r>
    <x v="8"/>
    <n v="8"/>
    <n v="215"/>
  </r>
  <r>
    <x v="8"/>
    <n v="9"/>
    <n v="188"/>
  </r>
  <r>
    <x v="8"/>
    <n v="10"/>
    <n v="145"/>
  </r>
  <r>
    <x v="8"/>
    <n v="11"/>
    <n v="94"/>
  </r>
  <r>
    <x v="8"/>
    <n v="12"/>
    <n v="24"/>
  </r>
  <r>
    <x v="9"/>
    <n v="1"/>
    <n v="42"/>
  </r>
  <r>
    <x v="9"/>
    <n v="2"/>
    <n v="151"/>
  </r>
  <r>
    <x v="9"/>
    <n v="3"/>
    <n v="738"/>
  </r>
  <r>
    <x v="9"/>
    <n v="4"/>
    <n v="720"/>
  </r>
  <r>
    <x v="9"/>
    <n v="5"/>
    <n v="157"/>
  </r>
  <r>
    <x v="9"/>
    <n v="7"/>
    <n v="6"/>
  </r>
  <r>
    <x v="9"/>
    <n v="9"/>
    <n v="375"/>
  </r>
  <r>
    <x v="9"/>
    <n v="11"/>
    <n v="188"/>
  </r>
  <r>
    <x v="10"/>
    <n v="1"/>
    <n v="236"/>
  </r>
  <r>
    <x v="10"/>
    <n v="2"/>
    <n v="584"/>
  </r>
  <r>
    <x v="10"/>
    <n v="3"/>
    <n v="1426"/>
  </r>
  <r>
    <x v="10"/>
    <n v="4"/>
    <n v="1301"/>
  </r>
  <r>
    <x v="10"/>
    <n v="5"/>
    <n v="85"/>
  </r>
  <r>
    <x v="10"/>
    <n v="7"/>
    <n v="30"/>
  </r>
  <r>
    <x v="10"/>
    <n v="9"/>
    <n v="496"/>
  </r>
  <r>
    <x v="10"/>
    <n v="10"/>
    <n v="369"/>
  </r>
  <r>
    <x v="10"/>
    <n v="11"/>
    <n v="97"/>
  </r>
  <r>
    <x v="10"/>
    <n v="12"/>
    <n v="130"/>
  </r>
  <r>
    <x v="11"/>
    <n v="1"/>
    <n v="260"/>
  </r>
  <r>
    <x v="11"/>
    <n v="2"/>
    <n v="1562"/>
  </r>
  <r>
    <x v="11"/>
    <n v="4"/>
    <n v="2058"/>
  </r>
  <r>
    <x v="11"/>
    <n v="6"/>
    <n v="623"/>
  </r>
  <r>
    <x v="11"/>
    <n v="8"/>
    <n v="3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n v="2005"/>
    <x v="0"/>
    <n v="85"/>
    <n v="0.34693877551020408"/>
  </r>
  <r>
    <n v="2005"/>
    <x v="1"/>
    <n v="97"/>
    <n v="0.39591836734693875"/>
  </r>
  <r>
    <n v="2005"/>
    <x v="2"/>
    <n v="121"/>
    <n v="0.49387755102040815"/>
  </r>
  <r>
    <n v="2005"/>
    <x v="3"/>
    <n v="200"/>
    <n v="0.81632653061224492"/>
  </r>
  <r>
    <n v="2005"/>
    <x v="4"/>
    <n v="97"/>
    <n v="0.39591836734693875"/>
  </r>
  <r>
    <n v="2005"/>
    <x v="5"/>
    <n v="166"/>
    <n v="0.67755102040816328"/>
  </r>
  <r>
    <n v="2005"/>
    <x v="6"/>
    <n v="245"/>
    <n v="1"/>
  </r>
  <r>
    <n v="2005"/>
    <x v="7"/>
    <n v="176"/>
    <n v="0.71836734693877546"/>
  </r>
  <r>
    <n v="2005"/>
    <x v="8"/>
    <n v="100"/>
    <n v="0.40816326530612246"/>
  </r>
  <r>
    <n v="2005"/>
    <x v="9"/>
    <n v="39"/>
    <n v="0.15918367346938775"/>
  </r>
  <r>
    <n v="2006"/>
    <x v="10"/>
    <n v="48"/>
    <n v="0.35294117647058826"/>
  </r>
  <r>
    <n v="2006"/>
    <x v="0"/>
    <n v="61"/>
    <n v="0.4485294117647059"/>
  </r>
  <r>
    <n v="2006"/>
    <x v="1"/>
    <n v="48"/>
    <n v="0.35294117647058826"/>
  </r>
  <r>
    <n v="2006"/>
    <x v="2"/>
    <n v="85"/>
    <n v="0.625"/>
  </r>
  <r>
    <n v="2006"/>
    <x v="3"/>
    <n v="61"/>
    <n v="0.4485294117647059"/>
  </r>
  <r>
    <n v="2006"/>
    <x v="11"/>
    <n v="0"/>
    <n v="0"/>
  </r>
  <r>
    <n v="2006"/>
    <x v="5"/>
    <n v="112"/>
    <n v="0.82352941176470584"/>
  </r>
  <r>
    <n v="2006"/>
    <x v="7"/>
    <n v="136"/>
    <n v="1"/>
  </r>
  <r>
    <n v="2006"/>
    <x v="8"/>
    <n v="94"/>
    <n v="0.69117647058823528"/>
  </r>
  <r>
    <n v="2007"/>
    <x v="10"/>
    <n v="45"/>
    <n v="0.23936170212765959"/>
  </r>
  <r>
    <n v="2007"/>
    <x v="0"/>
    <n v="73"/>
    <n v="0.38829787234042551"/>
  </r>
  <r>
    <n v="2007"/>
    <x v="1"/>
    <n v="121"/>
    <n v="0.6436170212765957"/>
  </r>
  <r>
    <n v="2007"/>
    <x v="3"/>
    <n v="103"/>
    <n v="0.5478723404255319"/>
  </r>
  <r>
    <n v="2007"/>
    <x v="11"/>
    <n v="6"/>
    <n v="3.1914893617021274E-2"/>
  </r>
  <r>
    <n v="2007"/>
    <x v="5"/>
    <n v="182"/>
    <n v="0.96808510638297873"/>
  </r>
  <r>
    <n v="2007"/>
    <x v="7"/>
    <n v="188"/>
    <n v="1"/>
  </r>
  <r>
    <n v="2007"/>
    <x v="8"/>
    <n v="121"/>
    <n v="0.6436170212765957"/>
  </r>
  <r>
    <n v="2008"/>
    <x v="10"/>
    <n v="36"/>
    <n v="0.13235294117647059"/>
  </r>
  <r>
    <n v="2008"/>
    <x v="0"/>
    <n v="61"/>
    <n v="0.22426470588235295"/>
  </r>
  <r>
    <n v="2008"/>
    <x v="1"/>
    <n v="127"/>
    <n v="0.46691176470588236"/>
  </r>
  <r>
    <n v="2008"/>
    <x v="2"/>
    <n v="163"/>
    <n v="0.59926470588235292"/>
  </r>
  <r>
    <n v="2008"/>
    <x v="4"/>
    <n v="48"/>
    <n v="0.17647058823529413"/>
  </r>
  <r>
    <n v="2008"/>
    <x v="11"/>
    <n v="194"/>
    <n v="0.71323529411764708"/>
  </r>
  <r>
    <n v="2008"/>
    <x v="5"/>
    <n v="212"/>
    <n v="0.77941176470588236"/>
  </r>
  <r>
    <n v="2008"/>
    <x v="7"/>
    <n v="203"/>
    <n v="0.74632352941176472"/>
  </r>
  <r>
    <n v="2008"/>
    <x v="8"/>
    <n v="272"/>
    <n v="1"/>
  </r>
  <r>
    <n v="2008"/>
    <x v="9"/>
    <n v="157"/>
    <n v="0.57720588235294112"/>
  </r>
  <r>
    <n v="2009"/>
    <x v="10"/>
    <n v="30"/>
    <n v="0.08"/>
  </r>
  <r>
    <n v="2009"/>
    <x v="0"/>
    <n v="45"/>
    <n v="0.12"/>
  </r>
  <r>
    <n v="2009"/>
    <x v="1"/>
    <n v="85"/>
    <n v="0.22666666666666666"/>
  </r>
  <r>
    <n v="2009"/>
    <x v="2"/>
    <n v="121"/>
    <n v="0.32266666666666666"/>
  </r>
  <r>
    <n v="2009"/>
    <x v="3"/>
    <n v="176"/>
    <n v="0.46933333333333332"/>
  </r>
  <r>
    <n v="2009"/>
    <x v="4"/>
    <n v="48"/>
    <n v="0.128"/>
  </r>
  <r>
    <n v="2009"/>
    <x v="5"/>
    <n v="351"/>
    <n v="0.93600000000000005"/>
  </r>
  <r>
    <n v="2009"/>
    <x v="6"/>
    <n v="375"/>
    <n v="1"/>
  </r>
  <r>
    <n v="2009"/>
    <x v="7"/>
    <n v="91"/>
    <n v="0.24266666666666667"/>
  </r>
  <r>
    <n v="2009"/>
    <x v="9"/>
    <n v="85"/>
    <n v="0.22666666666666666"/>
  </r>
  <r>
    <n v="2010"/>
    <x v="10"/>
    <n v="61"/>
    <n v="0.17086834733893558"/>
  </r>
  <r>
    <n v="2010"/>
    <x v="0"/>
    <n v="91"/>
    <n v="0.25490196078431371"/>
  </r>
  <r>
    <n v="2010"/>
    <x v="1"/>
    <n v="227"/>
    <n v="0.63585434173669464"/>
  </r>
  <r>
    <n v="2010"/>
    <x v="3"/>
    <n v="215"/>
    <n v="0.60224089635854339"/>
  </r>
  <r>
    <n v="2010"/>
    <x v="11"/>
    <n v="33"/>
    <n v="9.2436974789915971E-2"/>
  </r>
  <r>
    <n v="2010"/>
    <x v="5"/>
    <n v="321"/>
    <n v="0.89915966386554624"/>
  </r>
  <r>
    <n v="2010"/>
    <x v="6"/>
    <n v="357"/>
    <n v="1"/>
  </r>
  <r>
    <n v="2010"/>
    <x v="7"/>
    <n v="269"/>
    <n v="0.75350140056022408"/>
  </r>
  <r>
    <n v="2010"/>
    <x v="8"/>
    <n v="94"/>
    <n v="0.26330532212885155"/>
  </r>
  <r>
    <n v="2010"/>
    <x v="9"/>
    <n v="58"/>
    <n v="0.16246498599439776"/>
  </r>
  <r>
    <n v="2011"/>
    <x v="10"/>
    <n v="24"/>
    <n v="7.9207920792079209E-2"/>
  </r>
  <r>
    <n v="2011"/>
    <x v="0"/>
    <n v="42"/>
    <n v="0.13861386138613863"/>
  </r>
  <r>
    <n v="2011"/>
    <x v="1"/>
    <n v="82"/>
    <n v="0.27062706270627063"/>
  </r>
  <r>
    <n v="2011"/>
    <x v="2"/>
    <n v="154"/>
    <n v="0.5082508250825083"/>
  </r>
  <r>
    <n v="2011"/>
    <x v="3"/>
    <n v="127"/>
    <n v="0.41914191419141916"/>
  </r>
  <r>
    <n v="2011"/>
    <x v="4"/>
    <n v="12"/>
    <n v="3.9603960396039604E-2"/>
  </r>
  <r>
    <n v="2011"/>
    <x v="5"/>
    <n v="303"/>
    <n v="1"/>
  </r>
  <r>
    <n v="2011"/>
    <x v="7"/>
    <n v="88"/>
    <n v="0.29042904290429045"/>
  </r>
  <r>
    <n v="2011"/>
    <x v="8"/>
    <n v="157"/>
    <n v="0.5181518151815182"/>
  </r>
  <r>
    <n v="2011"/>
    <x v="9"/>
    <n v="109"/>
    <n v="0.35973597359735976"/>
  </r>
  <r>
    <n v="2012"/>
    <x v="0"/>
    <n v="30"/>
    <n v="0.12396694214876033"/>
  </r>
  <r>
    <n v="2012"/>
    <x v="2"/>
    <n v="242"/>
    <n v="1"/>
  </r>
  <r>
    <n v="2012"/>
    <x v="3"/>
    <n v="91"/>
    <n v="0.37603305785123969"/>
  </r>
  <r>
    <n v="2012"/>
    <x v="4"/>
    <n v="18"/>
    <n v="7.43801652892562E-2"/>
  </r>
  <r>
    <n v="2012"/>
    <x v="5"/>
    <n v="215"/>
    <n v="0.88842975206611574"/>
  </r>
  <r>
    <n v="2012"/>
    <x v="6"/>
    <n v="188"/>
    <n v="0.77685950413223137"/>
  </r>
  <r>
    <n v="2012"/>
    <x v="7"/>
    <n v="145"/>
    <n v="0.59917355371900827"/>
  </r>
  <r>
    <n v="2012"/>
    <x v="8"/>
    <n v="94"/>
    <n v="0.38842975206611569"/>
  </r>
  <r>
    <n v="2012"/>
    <x v="9"/>
    <n v="24"/>
    <n v="9.9173553719008267E-2"/>
  </r>
  <r>
    <n v="2013"/>
    <x v="10"/>
    <n v="42"/>
    <n v="5.6910569105691054E-2"/>
  </r>
  <r>
    <n v="2013"/>
    <x v="0"/>
    <n v="151"/>
    <n v="0.20460704607046071"/>
  </r>
  <r>
    <n v="2013"/>
    <x v="1"/>
    <n v="738"/>
    <n v="1"/>
  </r>
  <r>
    <n v="2013"/>
    <x v="2"/>
    <n v="720"/>
    <n v="0.97560975609756095"/>
  </r>
  <r>
    <n v="2013"/>
    <x v="3"/>
    <n v="157"/>
    <n v="0.2127371273712737"/>
  </r>
  <r>
    <n v="2013"/>
    <x v="11"/>
    <n v="6"/>
    <n v="8.130081300813009E-3"/>
  </r>
  <r>
    <n v="2013"/>
    <x v="6"/>
    <n v="375"/>
    <n v="0.50813008130081305"/>
  </r>
  <r>
    <n v="2013"/>
    <x v="8"/>
    <n v="188"/>
    <n v="0.25474254742547425"/>
  </r>
  <r>
    <n v="2014"/>
    <x v="10"/>
    <n v="236"/>
    <n v="0.16549789621318373"/>
  </r>
  <r>
    <n v="2014"/>
    <x v="0"/>
    <n v="584"/>
    <n v="0.40953716690042075"/>
  </r>
  <r>
    <n v="2014"/>
    <x v="1"/>
    <n v="1426"/>
    <n v="1"/>
  </r>
  <r>
    <n v="2014"/>
    <x v="2"/>
    <n v="1301"/>
    <n v="0.91234221598877985"/>
  </r>
  <r>
    <n v="2014"/>
    <x v="3"/>
    <n v="85"/>
    <n v="5.9607293127629732E-2"/>
  </r>
  <r>
    <n v="2014"/>
    <x v="11"/>
    <n v="30"/>
    <n v="2.1037868162692847E-2"/>
  </r>
  <r>
    <n v="2014"/>
    <x v="6"/>
    <n v="496"/>
    <n v="0.34782608695652173"/>
  </r>
  <r>
    <n v="2014"/>
    <x v="7"/>
    <n v="369"/>
    <n v="0.25876577840112203"/>
  </r>
  <r>
    <n v="2014"/>
    <x v="8"/>
    <n v="97"/>
    <n v="6.802244039270687E-2"/>
  </r>
  <r>
    <n v="2014"/>
    <x v="9"/>
    <n v="130"/>
    <n v="9.1164095371669002E-2"/>
  </r>
  <r>
    <n v="2015"/>
    <x v="10"/>
    <n v="260"/>
    <n v="0.12633624878522837"/>
  </r>
  <r>
    <n v="2015"/>
    <x v="0"/>
    <n v="1562"/>
    <n v="0.75898931000971814"/>
  </r>
  <r>
    <n v="2015"/>
    <x v="2"/>
    <n v="2058"/>
    <n v="1"/>
  </r>
  <r>
    <n v="2015"/>
    <x v="4"/>
    <n v="623"/>
    <n v="0.30272108843537415"/>
  </r>
  <r>
    <n v="2015"/>
    <x v="5"/>
    <n v="387"/>
    <n v="0.188046647230320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">
  <r>
    <x v="0"/>
    <n v="5"/>
    <n v="147"/>
  </r>
  <r>
    <x v="1"/>
    <n v="6"/>
    <n v="302"/>
  </r>
  <r>
    <x v="2"/>
    <n v="6"/>
    <n v="67"/>
  </r>
  <r>
    <x v="3"/>
    <n v="5"/>
    <n v="24"/>
  </r>
  <r>
    <x v="3"/>
    <n v="6"/>
    <n v="126"/>
  </r>
  <r>
    <x v="3"/>
    <n v="5"/>
    <n v="147"/>
  </r>
  <r>
    <x v="3"/>
    <n v="5"/>
    <n v="168"/>
  </r>
  <r>
    <x v="4"/>
    <n v="6"/>
    <n v="222"/>
  </r>
  <r>
    <x v="4"/>
    <n v="6"/>
    <n v="249"/>
  </r>
  <r>
    <x v="5"/>
    <n v="5"/>
    <n v="190"/>
  </r>
  <r>
    <x v="5"/>
    <n v="6"/>
    <n v="131"/>
  </r>
  <r>
    <x v="6"/>
    <n v="5"/>
    <n v="142"/>
  </r>
  <r>
    <x v="6"/>
    <n v="5"/>
    <n v="190"/>
  </r>
  <r>
    <x v="7"/>
    <n v="4"/>
    <n v="944"/>
  </r>
  <r>
    <x v="7"/>
    <n v="5"/>
    <n v="334"/>
  </r>
  <r>
    <x v="8"/>
    <n v="5"/>
    <n v="289"/>
  </r>
  <r>
    <x v="8"/>
    <n v="5"/>
    <n v="543"/>
  </r>
  <r>
    <x v="9"/>
    <n v="5"/>
    <n v="612"/>
  </r>
  <r>
    <x v="9"/>
    <n v="6"/>
    <n v="521"/>
  </r>
  <r>
    <x v="10"/>
    <n v="5"/>
    <n v="430"/>
  </r>
  <r>
    <x v="11"/>
    <n v="4"/>
    <n v="409"/>
  </r>
  <r>
    <x v="11"/>
    <n v="5"/>
    <n v="553"/>
  </r>
  <r>
    <x v="12"/>
    <n v="4"/>
    <n v="1270"/>
  </r>
  <r>
    <x v="12"/>
    <n v="5"/>
    <n v="1176"/>
  </r>
  <r>
    <x v="12"/>
    <n v="5"/>
    <n v="901"/>
  </r>
  <r>
    <x v="13"/>
    <n v="5"/>
    <n v="570"/>
  </r>
  <r>
    <x v="14"/>
    <n v="4"/>
    <n v="1222"/>
  </r>
  <r>
    <x v="15"/>
    <n v="4"/>
    <n v="944"/>
  </r>
  <r>
    <x v="16"/>
    <n v="5"/>
    <n v="1032"/>
  </r>
  <r>
    <x v="16"/>
    <n v="5"/>
    <n v="965"/>
  </r>
  <r>
    <x v="16"/>
    <n v="5"/>
    <n v="837"/>
  </r>
  <r>
    <x v="16"/>
    <n v="5"/>
    <n v="789"/>
  </r>
  <r>
    <x v="17"/>
    <n v="5"/>
    <n v="345"/>
  </r>
  <r>
    <x v="17"/>
    <n v="5"/>
    <n v="246"/>
  </r>
  <r>
    <x v="18"/>
    <n v="4"/>
    <n v="968"/>
  </r>
  <r>
    <x v="19"/>
    <n v="5"/>
    <n v="759"/>
  </r>
  <r>
    <x v="19"/>
    <n v="5"/>
    <n v="666"/>
  </r>
  <r>
    <x v="20"/>
    <n v="5"/>
    <n v="543"/>
  </r>
  <r>
    <x v="21"/>
    <n v="5"/>
    <n v="537"/>
  </r>
  <r>
    <x v="21"/>
    <n v="5"/>
    <n v="826"/>
  </r>
  <r>
    <x v="22"/>
    <n v="5"/>
    <n v="816"/>
  </r>
  <r>
    <x v="22"/>
    <n v="4"/>
    <n v="869"/>
  </r>
  <r>
    <x v="23"/>
    <n v="4"/>
    <n v="917"/>
  </r>
  <r>
    <x v="23"/>
    <n v="4"/>
    <n v="1179"/>
  </r>
  <r>
    <x v="24"/>
    <n v="4"/>
    <n v="1746"/>
  </r>
  <r>
    <x v="24"/>
    <n v="5"/>
    <n v="1527"/>
  </r>
  <r>
    <x v="25"/>
    <n v="4"/>
    <n v="1262"/>
  </r>
  <r>
    <x v="25"/>
    <n v="5"/>
    <n v="1719"/>
  </r>
  <r>
    <x v="25"/>
    <n v="4"/>
    <n v="2091"/>
  </r>
  <r>
    <x v="26"/>
    <n v="4"/>
    <n v="1610"/>
  </r>
  <r>
    <x v="27"/>
    <n v="3"/>
    <n v="1912"/>
  </r>
  <r>
    <x v="27"/>
    <n v="5"/>
    <n v="12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I7:AJ36" firstHeaderRow="1" firstDataRow="1" firstDataCol="1"/>
  <pivotFields count="3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Max of coun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4:O17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ax of count2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W4:X17" firstHeaderRow="1" firstDataRow="1" firstDataCol="1"/>
  <pivotFields count="4">
    <pivotField showAll="0"/>
    <pivotField axis="axisRow" showAll="0">
      <items count="13">
        <item x="10"/>
        <item x="0"/>
        <item x="1"/>
        <item x="2"/>
        <item x="3"/>
        <item x="4"/>
        <item x="11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prop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opLeftCell="I34" workbookViewId="0">
      <selection activeCell="U11" sqref="U11:U56"/>
    </sheetView>
  </sheetViews>
  <sheetFormatPr defaultRowHeight="15" x14ac:dyDescent="0.25"/>
  <cols>
    <col min="5" max="5" width="11.5703125" bestFit="1" customWidth="1"/>
  </cols>
  <sheetData>
    <row r="1" spans="1:34" x14ac:dyDescent="0.25">
      <c r="D1" t="s">
        <v>99</v>
      </c>
      <c r="Q1" t="s">
        <v>104</v>
      </c>
      <c r="R1">
        <v>8.1993556579267608</v>
      </c>
      <c r="T1" t="s">
        <v>108</v>
      </c>
      <c r="AB1" t="s">
        <v>46</v>
      </c>
      <c r="AC1">
        <v>30</v>
      </c>
      <c r="AE1">
        <f>SUM(AD7:AD30)</f>
        <v>1662358.6533900672</v>
      </c>
    </row>
    <row r="2" spans="1:34" x14ac:dyDescent="0.25">
      <c r="Q2" t="s">
        <v>105</v>
      </c>
      <c r="R2">
        <v>0.28597070986505979</v>
      </c>
      <c r="T2">
        <f>SUM(T6:T56)</f>
        <v>603442.12389170402</v>
      </c>
      <c r="AB2" t="s">
        <v>47</v>
      </c>
      <c r="AC2">
        <v>4205.9848969032673</v>
      </c>
      <c r="AD2">
        <v>2800</v>
      </c>
    </row>
    <row r="3" spans="1:34" x14ac:dyDescent="0.25">
      <c r="I3" s="3">
        <f>0.9998</f>
        <v>0.99980000000000002</v>
      </c>
      <c r="Q3" t="s">
        <v>106</v>
      </c>
      <c r="R3">
        <v>402.41234898470452</v>
      </c>
      <c r="AB3" t="s">
        <v>48</v>
      </c>
      <c r="AC3">
        <v>0.34873743971211707</v>
      </c>
    </row>
    <row r="4" spans="1:34" ht="60" x14ac:dyDescent="0.25">
      <c r="A4" s="1" t="s">
        <v>0</v>
      </c>
      <c r="B4" s="1" t="s">
        <v>1</v>
      </c>
      <c r="C4" s="1" t="s">
        <v>2</v>
      </c>
      <c r="D4" s="15" t="s">
        <v>98</v>
      </c>
      <c r="E4" s="15"/>
      <c r="F4" s="12" t="s">
        <v>64</v>
      </c>
      <c r="G4" s="3" t="s">
        <v>75</v>
      </c>
      <c r="H4" s="3" t="s">
        <v>76</v>
      </c>
      <c r="I4" s="3" t="s">
        <v>3</v>
      </c>
      <c r="J4" s="3" t="s">
        <v>51</v>
      </c>
      <c r="K4" s="3" t="s">
        <v>27</v>
      </c>
      <c r="L4" s="3" t="s">
        <v>10</v>
      </c>
      <c r="M4" s="3" t="s">
        <v>101</v>
      </c>
      <c r="N4" s="3" t="s">
        <v>11</v>
      </c>
      <c r="Q4" s="3" t="s">
        <v>100</v>
      </c>
      <c r="X4" t="s">
        <v>1</v>
      </c>
      <c r="Y4" t="s">
        <v>42</v>
      </c>
      <c r="Z4" t="s">
        <v>43</v>
      </c>
      <c r="AA4" t="s">
        <v>44</v>
      </c>
      <c r="AB4" t="s">
        <v>45</v>
      </c>
      <c r="AC4" t="s">
        <v>50</v>
      </c>
      <c r="AG4" t="s">
        <v>49</v>
      </c>
      <c r="AH4" t="s">
        <v>50</v>
      </c>
    </row>
    <row r="5" spans="1:34" x14ac:dyDescent="0.25">
      <c r="A5" s="2">
        <v>1</v>
      </c>
      <c r="B5" s="2">
        <v>1970</v>
      </c>
      <c r="C5" s="2">
        <v>8166.5349999999999</v>
      </c>
      <c r="D5" s="2"/>
      <c r="E5" s="1"/>
      <c r="F5" s="12">
        <v>1970</v>
      </c>
      <c r="G5" s="8">
        <f t="shared" ref="G5:G50" si="0">C5*4.317*$I$3</f>
        <v>35247.880608681</v>
      </c>
      <c r="H5" s="8">
        <f>G5/AVERAGE($E$44:$E$49)</f>
        <v>4810.9713890155563</v>
      </c>
      <c r="I5" s="8">
        <f>C5*4.317*(1-$I$3)+4800</f>
        <v>4807.0509863189991</v>
      </c>
      <c r="J5" s="8">
        <v>0</v>
      </c>
      <c r="K5" s="8">
        <f>500</f>
        <v>500</v>
      </c>
      <c r="L5" s="8">
        <f t="shared" ref="L5:L25" si="1">AC10</f>
        <v>380.50715722627973</v>
      </c>
      <c r="M5" s="8">
        <f>IF(R6&gt;0,R6*2,U6)</f>
        <v>26</v>
      </c>
      <c r="N5" s="8">
        <f t="shared" ref="N5:N25" si="2">AH10</f>
        <v>894.24677387926977</v>
      </c>
      <c r="Q5" t="s">
        <v>1</v>
      </c>
      <c r="R5" t="s">
        <v>102</v>
      </c>
      <c r="S5" t="s">
        <v>103</v>
      </c>
      <c r="T5" t="s">
        <v>107</v>
      </c>
      <c r="X5">
        <v>1970</v>
      </c>
      <c r="AC5">
        <f>AB7</f>
        <v>90</v>
      </c>
    </row>
    <row r="6" spans="1:34" x14ac:dyDescent="0.25">
      <c r="A6" s="2">
        <v>1</v>
      </c>
      <c r="B6" s="2">
        <v>1971</v>
      </c>
      <c r="C6" s="2">
        <v>8600.6129999999994</v>
      </c>
      <c r="D6" s="2"/>
      <c r="E6" s="1"/>
      <c r="F6" s="12">
        <f>F5+1</f>
        <v>1971</v>
      </c>
      <c r="G6" s="8">
        <f t="shared" si="0"/>
        <v>37121.420551735799</v>
      </c>
      <c r="H6" s="8">
        <f t="shared" ref="H6:H50" si="3">G6/AVERAGE($E$44:$E$49)</f>
        <v>5066.6902267602172</v>
      </c>
      <c r="I6" s="8">
        <f t="shared" ref="I6:I50" si="4">C6*4.317*(1-$I$3)+4800</f>
        <v>4807.4257692641995</v>
      </c>
      <c r="J6" s="8">
        <v>0</v>
      </c>
      <c r="K6" s="8">
        <f>500</f>
        <v>500</v>
      </c>
      <c r="L6" s="8">
        <f t="shared" si="1"/>
        <v>501.19940488196602</v>
      </c>
      <c r="M6" s="8">
        <f t="shared" ref="M6:M50" si="5">IF(R7&gt;0,R7*2,U7)</f>
        <v>16</v>
      </c>
      <c r="N6" s="8">
        <f t="shared" si="2"/>
        <v>1106.5050286959724</v>
      </c>
      <c r="P6">
        <v>1965</v>
      </c>
      <c r="Q6">
        <v>1965</v>
      </c>
      <c r="R6">
        <v>13</v>
      </c>
      <c r="S6">
        <f>N0_2</f>
        <v>8.1993556579267608</v>
      </c>
      <c r="T6">
        <f>IF(R6&gt;0,(S6-R6)^2,"")</f>
        <v>23.046186099079804</v>
      </c>
      <c r="U6">
        <f>S6*2</f>
        <v>16.398711315853522</v>
      </c>
      <c r="X6">
        <v>1971</v>
      </c>
      <c r="AC6">
        <f t="shared" ref="AC6:AC30" si="6">AC5+r_*AC5*(1-AC5/K)</f>
        <v>120.71476153675594</v>
      </c>
    </row>
    <row r="7" spans="1:34" x14ac:dyDescent="0.25">
      <c r="A7" s="2">
        <v>1</v>
      </c>
      <c r="B7" s="2">
        <v>1972</v>
      </c>
      <c r="C7" s="2">
        <v>9057.7639999999992</v>
      </c>
      <c r="D7" s="2"/>
      <c r="E7" s="1"/>
      <c r="F7" s="12">
        <f t="shared" ref="F7:F50" si="7">F6+1</f>
        <v>1972</v>
      </c>
      <c r="G7" s="8">
        <f t="shared" si="0"/>
        <v>39094.546714562399</v>
      </c>
      <c r="H7" s="8">
        <f t="shared" si="3"/>
        <v>5336.0015542032334</v>
      </c>
      <c r="I7" s="8">
        <f t="shared" si="4"/>
        <v>4807.8204734375995</v>
      </c>
      <c r="J7" s="8">
        <v>0</v>
      </c>
      <c r="K7" s="8">
        <f>500</f>
        <v>500</v>
      </c>
      <c r="L7" s="8">
        <f t="shared" si="1"/>
        <v>655.15819157648525</v>
      </c>
      <c r="M7" s="8">
        <f t="shared" si="5"/>
        <v>14</v>
      </c>
      <c r="N7" s="8">
        <f t="shared" si="2"/>
        <v>1339.8926656708279</v>
      </c>
      <c r="P7">
        <f>P6+1</f>
        <v>1966</v>
      </c>
      <c r="Q7">
        <v>1966</v>
      </c>
      <c r="R7">
        <v>8</v>
      </c>
      <c r="S7">
        <f t="shared" ref="S7:S38" si="8">S6+r_2*S6*(1-S6/K_2)</f>
        <v>10.496355224924464</v>
      </c>
      <c r="T7">
        <f t="shared" ref="T7:T15" si="9">IF(R7&gt;0,(S7-R7)^2,"")</f>
        <v>6.2317894090076722</v>
      </c>
      <c r="U7">
        <f t="shared" ref="U7:U16" si="10">S7*2</f>
        <v>20.992710449848929</v>
      </c>
      <c r="X7">
        <v>1972</v>
      </c>
      <c r="Y7">
        <v>1972</v>
      </c>
      <c r="Z7">
        <v>45</v>
      </c>
      <c r="AB7">
        <f>Z7*2</f>
        <v>90</v>
      </c>
      <c r="AC7">
        <f t="shared" si="6"/>
        <v>161.6042828113155</v>
      </c>
      <c r="AD7">
        <f>((AB7-AC5))^2</f>
        <v>0</v>
      </c>
      <c r="AG7">
        <v>428</v>
      </c>
      <c r="AH7">
        <f>AG7</f>
        <v>428</v>
      </c>
    </row>
    <row r="8" spans="1:34" x14ac:dyDescent="0.25">
      <c r="A8" s="2">
        <v>1</v>
      </c>
      <c r="B8" s="2">
        <v>1973</v>
      </c>
      <c r="C8" s="2">
        <v>9539.2150000000001</v>
      </c>
      <c r="D8" s="2"/>
      <c r="E8" s="1"/>
      <c r="F8" s="12">
        <f t="shared" si="7"/>
        <v>1973</v>
      </c>
      <c r="G8" s="8">
        <f t="shared" si="0"/>
        <v>41172.554996769002</v>
      </c>
      <c r="H8" s="8">
        <f t="shared" si="3"/>
        <v>5619.6282069039116</v>
      </c>
      <c r="I8" s="8">
        <f t="shared" si="4"/>
        <v>4808.2361582309995</v>
      </c>
      <c r="J8" s="8">
        <v>0</v>
      </c>
      <c r="K8" s="8">
        <f>500</f>
        <v>500</v>
      </c>
      <c r="L8" s="8">
        <f t="shared" si="1"/>
        <v>848.04677290020425</v>
      </c>
      <c r="M8" s="8">
        <f t="shared" si="5"/>
        <v>60</v>
      </c>
      <c r="N8" s="8">
        <f t="shared" si="2"/>
        <v>1583.5588911191148</v>
      </c>
      <c r="P8">
        <f t="shared" ref="P8:P56" si="11">P7+1</f>
        <v>1967</v>
      </c>
      <c r="Q8">
        <f>Q7+1</f>
        <v>1967</v>
      </c>
      <c r="R8">
        <v>7</v>
      </c>
      <c r="S8">
        <f t="shared" si="8"/>
        <v>13.419711593718247</v>
      </c>
      <c r="T8">
        <f t="shared" si="9"/>
        <v>41.212696946520481</v>
      </c>
      <c r="U8">
        <f t="shared" si="10"/>
        <v>26.839423187436495</v>
      </c>
      <c r="X8">
        <f>X7+1</f>
        <v>1973</v>
      </c>
      <c r="AC8">
        <f t="shared" si="6"/>
        <v>215.79635429449326</v>
      </c>
      <c r="AH8">
        <f t="shared" ref="AH8:AH30" si="12">AH7+r_*AH7*(1-AH7/$AD$2)</f>
        <v>554.44422449813453</v>
      </c>
    </row>
    <row r="9" spans="1:34" x14ac:dyDescent="0.25">
      <c r="A9" s="2">
        <v>1</v>
      </c>
      <c r="B9" s="2">
        <v>1974</v>
      </c>
      <c r="C9" s="2">
        <v>10046.26</v>
      </c>
      <c r="D9" s="2"/>
      <c r="E9" s="1"/>
      <c r="F9" s="12">
        <f t="shared" si="7"/>
        <v>1974</v>
      </c>
      <c r="G9" s="8">
        <f t="shared" si="0"/>
        <v>43361.030479116002</v>
      </c>
      <c r="H9" s="8">
        <f t="shared" si="3"/>
        <v>5918.3324906599219</v>
      </c>
      <c r="I9" s="8">
        <f t="shared" si="4"/>
        <v>4808.6739408839994</v>
      </c>
      <c r="J9" s="8">
        <v>0</v>
      </c>
      <c r="K9" s="8">
        <f>500</f>
        <v>500</v>
      </c>
      <c r="L9" s="8">
        <f t="shared" si="1"/>
        <v>1084.1616549546789</v>
      </c>
      <c r="M9" s="8">
        <f t="shared" si="5"/>
        <v>68</v>
      </c>
      <c r="N9" s="8">
        <f t="shared" si="2"/>
        <v>1823.4785586532009</v>
      </c>
      <c r="P9">
        <f t="shared" si="11"/>
        <v>1968</v>
      </c>
      <c r="Q9">
        <f t="shared" ref="Q9:Q12" si="13">Q8+1</f>
        <v>1968</v>
      </c>
      <c r="R9">
        <v>30</v>
      </c>
      <c r="S9">
        <f t="shared" si="8"/>
        <v>17.129377661346975</v>
      </c>
      <c r="T9">
        <f t="shared" si="9"/>
        <v>165.65291938423425</v>
      </c>
      <c r="U9">
        <f t="shared" si="10"/>
        <v>34.258755322693951</v>
      </c>
      <c r="X9">
        <f t="shared" ref="X9:X30" si="14">X8+1</f>
        <v>1974</v>
      </c>
      <c r="Y9">
        <v>1973</v>
      </c>
      <c r="Z9">
        <v>38</v>
      </c>
      <c r="AB9">
        <f t="shared" ref="AB9" si="15">Z9*2</f>
        <v>76</v>
      </c>
      <c r="AC9">
        <f t="shared" si="6"/>
        <v>287.19145106165666</v>
      </c>
      <c r="AD9">
        <f>((AB9-AC9))^2</f>
        <v>44601.829001528124</v>
      </c>
      <c r="AG9">
        <v>0</v>
      </c>
      <c r="AH9">
        <f t="shared" si="12"/>
        <v>709.5122489227158</v>
      </c>
    </row>
    <row r="10" spans="1:34" x14ac:dyDescent="0.25">
      <c r="A10" s="2">
        <v>1</v>
      </c>
      <c r="B10" s="2">
        <v>1975</v>
      </c>
      <c r="C10" s="2">
        <v>10580.25</v>
      </c>
      <c r="D10" s="2"/>
      <c r="E10" s="1"/>
      <c r="F10" s="12">
        <f t="shared" si="7"/>
        <v>1975</v>
      </c>
      <c r="G10" s="8">
        <f t="shared" si="0"/>
        <v>45665.804262150006</v>
      </c>
      <c r="H10" s="8">
        <f t="shared" si="3"/>
        <v>6232.9102904269494</v>
      </c>
      <c r="I10" s="8">
        <f t="shared" si="4"/>
        <v>4809.1349878499987</v>
      </c>
      <c r="J10" s="8">
        <v>0</v>
      </c>
      <c r="K10" s="8">
        <f>500</f>
        <v>500</v>
      </c>
      <c r="L10" s="8">
        <f t="shared" si="1"/>
        <v>1364.7910877554746</v>
      </c>
      <c r="M10" s="8">
        <f t="shared" si="5"/>
        <v>66</v>
      </c>
      <c r="N10" s="8">
        <f t="shared" si="2"/>
        <v>2045.2588695681809</v>
      </c>
      <c r="P10">
        <f t="shared" si="11"/>
        <v>1969</v>
      </c>
      <c r="Q10">
        <f t="shared" si="13"/>
        <v>1969</v>
      </c>
      <c r="R10">
        <v>34</v>
      </c>
      <c r="S10">
        <f t="shared" si="8"/>
        <v>21.819364813270809</v>
      </c>
      <c r="T10">
        <f t="shared" si="9"/>
        <v>148.36787355218527</v>
      </c>
      <c r="U10">
        <f t="shared" si="10"/>
        <v>43.638729626541618</v>
      </c>
      <c r="X10">
        <f t="shared" si="14"/>
        <v>1975</v>
      </c>
      <c r="AC10">
        <f t="shared" si="6"/>
        <v>380.50715722627973</v>
      </c>
      <c r="AH10">
        <f t="shared" si="12"/>
        <v>894.24677387926977</v>
      </c>
    </row>
    <row r="11" spans="1:34" x14ac:dyDescent="0.25">
      <c r="A11" s="2">
        <v>1</v>
      </c>
      <c r="B11" s="2">
        <v>1976</v>
      </c>
      <c r="C11" s="2">
        <v>11142.62</v>
      </c>
      <c r="D11" s="2"/>
      <c r="E11" s="1"/>
      <c r="F11" s="12">
        <f t="shared" si="7"/>
        <v>1976</v>
      </c>
      <c r="G11" s="8">
        <f t="shared" si="0"/>
        <v>48093.070001892003</v>
      </c>
      <c r="H11" s="8">
        <f t="shared" si="3"/>
        <v>6564.2069762356405</v>
      </c>
      <c r="I11" s="8">
        <f t="shared" si="4"/>
        <v>4809.620538107999</v>
      </c>
      <c r="J11" s="8">
        <v>0</v>
      </c>
      <c r="K11" s="8">
        <f>500</f>
        <v>500</v>
      </c>
      <c r="L11" s="8">
        <f t="shared" si="1"/>
        <v>1686.3036181603024</v>
      </c>
      <c r="M11" s="8">
        <f t="shared" si="5"/>
        <v>86</v>
      </c>
      <c r="N11" s="8">
        <f t="shared" si="2"/>
        <v>2237.5179435399541</v>
      </c>
      <c r="P11">
        <f t="shared" si="11"/>
        <v>1970</v>
      </c>
      <c r="Q11">
        <f t="shared" si="13"/>
        <v>1970</v>
      </c>
      <c r="R11">
        <v>33</v>
      </c>
      <c r="S11">
        <f t="shared" si="8"/>
        <v>27.720738769043528</v>
      </c>
      <c r="T11">
        <f t="shared" si="9"/>
        <v>27.870599144680043</v>
      </c>
      <c r="U11">
        <f t="shared" si="10"/>
        <v>55.441477538087057</v>
      </c>
      <c r="X11">
        <f t="shared" si="14"/>
        <v>1976</v>
      </c>
      <c r="AC11">
        <f t="shared" si="6"/>
        <v>501.19940488196602</v>
      </c>
      <c r="AH11">
        <f t="shared" si="12"/>
        <v>1106.5050286959724</v>
      </c>
    </row>
    <row r="12" spans="1:34" x14ac:dyDescent="0.25">
      <c r="A12" s="2">
        <v>1</v>
      </c>
      <c r="B12" s="2">
        <v>1977</v>
      </c>
      <c r="C12" s="2">
        <v>11734.89</v>
      </c>
      <c r="D12" s="2"/>
      <c r="E12" s="1"/>
      <c r="F12" s="12">
        <f t="shared" si="7"/>
        <v>1977</v>
      </c>
      <c r="G12" s="8">
        <f t="shared" si="0"/>
        <v>50649.388225973998</v>
      </c>
      <c r="H12" s="8">
        <f t="shared" si="3"/>
        <v>6913.1179922996425</v>
      </c>
      <c r="I12" s="8">
        <f t="shared" si="4"/>
        <v>4810.1319040259987</v>
      </c>
      <c r="J12" s="8">
        <v>0</v>
      </c>
      <c r="K12" s="8">
        <f>500</f>
        <v>500</v>
      </c>
      <c r="L12" s="8">
        <f t="shared" si="1"/>
        <v>2038.6032967559809</v>
      </c>
      <c r="M12" s="8">
        <f t="shared" si="5"/>
        <v>88.528989303374644</v>
      </c>
      <c r="N12" s="8">
        <f t="shared" si="2"/>
        <v>2394.2709008424122</v>
      </c>
      <c r="P12">
        <f t="shared" si="11"/>
        <v>1971</v>
      </c>
      <c r="Q12">
        <f t="shared" si="13"/>
        <v>1971</v>
      </c>
      <c r="R12">
        <v>43</v>
      </c>
      <c r="S12">
        <f t="shared" si="8"/>
        <v>35.101973607149382</v>
      </c>
      <c r="T12">
        <f t="shared" si="9"/>
        <v>62.378820902164939</v>
      </c>
      <c r="U12">
        <f t="shared" si="10"/>
        <v>70.203947214298765</v>
      </c>
      <c r="X12">
        <f t="shared" si="14"/>
        <v>1977</v>
      </c>
      <c r="AC12">
        <f t="shared" si="6"/>
        <v>655.15819157648525</v>
      </c>
      <c r="AH12">
        <f t="shared" si="12"/>
        <v>1339.8926656708279</v>
      </c>
    </row>
    <row r="13" spans="1:34" x14ac:dyDescent="0.25">
      <c r="A13" s="2">
        <v>1</v>
      </c>
      <c r="B13" s="2">
        <v>1978</v>
      </c>
      <c r="C13" s="2">
        <v>12358.64</v>
      </c>
      <c r="D13" s="2"/>
      <c r="E13" s="1"/>
      <c r="F13" s="12">
        <f t="shared" si="7"/>
        <v>1978</v>
      </c>
      <c r="G13" s="8">
        <f t="shared" si="0"/>
        <v>53341.578430223999</v>
      </c>
      <c r="H13" s="8">
        <f t="shared" si="3"/>
        <v>7280.574129314723</v>
      </c>
      <c r="I13" s="8">
        <f t="shared" si="4"/>
        <v>4810.6704497759993</v>
      </c>
      <c r="J13" s="8">
        <v>0</v>
      </c>
      <c r="K13" s="8">
        <f>500</f>
        <v>500</v>
      </c>
      <c r="L13" s="8">
        <f t="shared" si="1"/>
        <v>2404.955637121594</v>
      </c>
      <c r="M13" s="8">
        <f t="shared" si="5"/>
        <v>111.06090478716018</v>
      </c>
      <c r="N13" s="8">
        <f t="shared" si="2"/>
        <v>2515.2610431303615</v>
      </c>
      <c r="P13">
        <f t="shared" si="11"/>
        <v>1972</v>
      </c>
      <c r="Q13">
        <v>1972</v>
      </c>
      <c r="S13">
        <f t="shared" si="8"/>
        <v>44.264494651687322</v>
      </c>
      <c r="T13" t="str">
        <f t="shared" si="9"/>
        <v/>
      </c>
      <c r="U13">
        <f t="shared" si="10"/>
        <v>88.528989303374644</v>
      </c>
      <c r="X13">
        <f t="shared" si="14"/>
        <v>1978</v>
      </c>
      <c r="Y13">
        <v>1977</v>
      </c>
      <c r="Z13">
        <v>109</v>
      </c>
      <c r="AB13">
        <f>Z13*2</f>
        <v>218</v>
      </c>
      <c r="AC13">
        <f t="shared" si="6"/>
        <v>848.04677290020425</v>
      </c>
      <c r="AD13">
        <f>((AB13-AC13))^2</f>
        <v>396958.93604196154</v>
      </c>
      <c r="AG13">
        <v>218</v>
      </c>
      <c r="AH13">
        <f t="shared" si="12"/>
        <v>1583.5588911191148</v>
      </c>
    </row>
    <row r="14" spans="1:34" x14ac:dyDescent="0.25">
      <c r="A14" s="2">
        <v>1</v>
      </c>
      <c r="B14" s="2">
        <v>1979</v>
      </c>
      <c r="C14" s="2">
        <v>13015.54</v>
      </c>
      <c r="D14" s="2"/>
      <c r="E14" s="1"/>
      <c r="F14" s="12">
        <f t="shared" si="7"/>
        <v>1979</v>
      </c>
      <c r="G14" s="8">
        <f t="shared" si="0"/>
        <v>56176.848562764004</v>
      </c>
      <c r="H14" s="8">
        <f t="shared" si="3"/>
        <v>7667.5591976998248</v>
      </c>
      <c r="I14" s="8">
        <f t="shared" si="4"/>
        <v>4811.2376172359991</v>
      </c>
      <c r="J14" s="8">
        <v>0</v>
      </c>
      <c r="K14" s="8">
        <f>500</f>
        <v>500</v>
      </c>
      <c r="L14" s="8">
        <f t="shared" si="1"/>
        <v>2764.0914409676648</v>
      </c>
      <c r="M14" s="8">
        <f t="shared" si="5"/>
        <v>186</v>
      </c>
      <c r="N14" s="8">
        <f t="shared" si="2"/>
        <v>2604.462202198793</v>
      </c>
      <c r="P14">
        <f t="shared" si="11"/>
        <v>1973</v>
      </c>
      <c r="Q14">
        <v>1973</v>
      </c>
      <c r="S14">
        <f t="shared" si="8"/>
        <v>55.530452393580092</v>
      </c>
      <c r="T14" t="str">
        <f t="shared" si="9"/>
        <v/>
      </c>
      <c r="U14">
        <f t="shared" si="10"/>
        <v>111.06090478716018</v>
      </c>
      <c r="X14">
        <f t="shared" si="14"/>
        <v>1979</v>
      </c>
      <c r="Y14">
        <v>1978</v>
      </c>
      <c r="Z14">
        <v>101</v>
      </c>
      <c r="AB14">
        <f>Z14*2</f>
        <v>202</v>
      </c>
      <c r="AC14">
        <f t="shared" si="6"/>
        <v>1084.1616549546789</v>
      </c>
      <c r="AD14">
        <f>((AB14-AC14))^2</f>
        <v>778209.18547237793</v>
      </c>
      <c r="AG14">
        <v>0</v>
      </c>
      <c r="AH14">
        <f t="shared" si="12"/>
        <v>1823.4785586532009</v>
      </c>
    </row>
    <row r="15" spans="1:34" x14ac:dyDescent="0.25">
      <c r="A15" s="2">
        <v>1</v>
      </c>
      <c r="B15" s="2">
        <v>1980</v>
      </c>
      <c r="C15" s="2">
        <v>13707.36</v>
      </c>
      <c r="D15" s="2"/>
      <c r="E15" s="1"/>
      <c r="F15" s="12">
        <f t="shared" si="7"/>
        <v>1980</v>
      </c>
      <c r="G15" s="8">
        <f t="shared" si="0"/>
        <v>59162.838185376007</v>
      </c>
      <c r="H15" s="8">
        <f t="shared" si="3"/>
        <v>8075.1159186774175</v>
      </c>
      <c r="I15" s="8">
        <f t="shared" si="4"/>
        <v>4811.8349346239984</v>
      </c>
      <c r="J15" s="8">
        <v>0</v>
      </c>
      <c r="K15" s="8">
        <f>500</f>
        <v>500</v>
      </c>
      <c r="L15" s="8">
        <f t="shared" si="1"/>
        <v>3094.5495724496955</v>
      </c>
      <c r="M15" s="8">
        <f t="shared" si="5"/>
        <v>171.21789643099291</v>
      </c>
      <c r="N15" s="8">
        <f t="shared" si="2"/>
        <v>2667.8914151001527</v>
      </c>
      <c r="P15">
        <f t="shared" si="11"/>
        <v>1974</v>
      </c>
      <c r="Q15">
        <v>1974</v>
      </c>
      <c r="R15">
        <v>93</v>
      </c>
      <c r="S15">
        <f t="shared" si="8"/>
        <v>69.21918059699432</v>
      </c>
      <c r="T15">
        <f t="shared" si="9"/>
        <v>565.52737147837138</v>
      </c>
      <c r="U15">
        <f t="shared" si="10"/>
        <v>138.43836119398864</v>
      </c>
      <c r="X15">
        <f t="shared" si="14"/>
        <v>1980</v>
      </c>
      <c r="AC15">
        <f t="shared" si="6"/>
        <v>1364.7910877554746</v>
      </c>
      <c r="AH15">
        <f t="shared" si="12"/>
        <v>2045.2588695681809</v>
      </c>
    </row>
    <row r="16" spans="1:34" x14ac:dyDescent="0.25">
      <c r="A16" s="2">
        <v>1</v>
      </c>
      <c r="B16" s="2">
        <v>1981</v>
      </c>
      <c r="C16" s="2">
        <v>14435.96</v>
      </c>
      <c r="D16" s="2"/>
      <c r="E16" s="1"/>
      <c r="F16" s="12">
        <f t="shared" si="7"/>
        <v>1981</v>
      </c>
      <c r="G16" s="8">
        <f t="shared" si="0"/>
        <v>62307.575312135996</v>
      </c>
      <c r="H16" s="8">
        <f t="shared" si="3"/>
        <v>8504.340033193148</v>
      </c>
      <c r="I16" s="8">
        <f t="shared" si="4"/>
        <v>4812.4640078639986</v>
      </c>
      <c r="J16" s="8">
        <v>0</v>
      </c>
      <c r="K16" s="8">
        <f>500</f>
        <v>500</v>
      </c>
      <c r="L16" s="8">
        <f t="shared" si="1"/>
        <v>3379.7252656222154</v>
      </c>
      <c r="M16" s="8">
        <f t="shared" si="5"/>
        <v>209.76477766879214</v>
      </c>
      <c r="N16" s="8">
        <f t="shared" si="2"/>
        <v>2711.7889096503068</v>
      </c>
      <c r="P16">
        <f t="shared" si="11"/>
        <v>1975</v>
      </c>
      <c r="Q16">
        <v>1975</v>
      </c>
      <c r="S16">
        <f t="shared" si="8"/>
        <v>85.608948215496454</v>
      </c>
      <c r="U16">
        <f t="shared" si="10"/>
        <v>171.21789643099291</v>
      </c>
      <c r="X16">
        <f t="shared" si="14"/>
        <v>1981</v>
      </c>
      <c r="AC16">
        <f t="shared" si="6"/>
        <v>1686.3036181603024</v>
      </c>
      <c r="AH16">
        <f t="shared" si="12"/>
        <v>2237.5179435399541</v>
      </c>
    </row>
    <row r="17" spans="1:34" x14ac:dyDescent="0.25">
      <c r="A17" s="2">
        <v>1</v>
      </c>
      <c r="B17" s="2">
        <v>1982</v>
      </c>
      <c r="C17" s="2">
        <v>15203.28</v>
      </c>
      <c r="D17" s="2"/>
      <c r="E17" s="1"/>
      <c r="F17" s="12">
        <f t="shared" si="7"/>
        <v>1982</v>
      </c>
      <c r="G17" s="8">
        <f t="shared" si="0"/>
        <v>65619.433248048008</v>
      </c>
      <c r="H17" s="8">
        <f t="shared" si="3"/>
        <v>8956.3744108354931</v>
      </c>
      <c r="I17" s="8">
        <f t="shared" si="4"/>
        <v>4813.1265119519985</v>
      </c>
      <c r="J17" s="8">
        <v>0</v>
      </c>
      <c r="K17" s="8">
        <f>500</f>
        <v>500</v>
      </c>
      <c r="L17" s="8">
        <f t="shared" si="1"/>
        <v>3611.2667425474197</v>
      </c>
      <c r="M17" s="8">
        <f t="shared" si="5"/>
        <v>192</v>
      </c>
      <c r="N17" s="8">
        <f t="shared" si="2"/>
        <v>2741.5822785489318</v>
      </c>
      <c r="P17">
        <f t="shared" si="11"/>
        <v>1976</v>
      </c>
      <c r="Q17">
        <v>1976</v>
      </c>
      <c r="S17">
        <f t="shared" si="8"/>
        <v>104.88238883439607</v>
      </c>
      <c r="T17" t="str">
        <f t="shared" ref="T17:T56" si="16">IF(R17&gt;0,(S17-R17)^2,"")</f>
        <v/>
      </c>
      <c r="U17">
        <f t="shared" ref="U17:U56" si="17">S17*2</f>
        <v>209.76477766879214</v>
      </c>
      <c r="X17">
        <f t="shared" si="14"/>
        <v>1982</v>
      </c>
      <c r="Y17">
        <v>1982</v>
      </c>
      <c r="Z17">
        <v>1021</v>
      </c>
      <c r="AB17">
        <f>Z17*2</f>
        <v>2042</v>
      </c>
      <c r="AC17">
        <f t="shared" si="6"/>
        <v>2038.6032967559809</v>
      </c>
      <c r="AD17">
        <f>((AB17-AC17))^2</f>
        <v>11.537592927930122</v>
      </c>
      <c r="AG17">
        <v>499</v>
      </c>
      <c r="AH17">
        <f t="shared" si="12"/>
        <v>2394.2709008424122</v>
      </c>
    </row>
    <row r="18" spans="1:34" x14ac:dyDescent="0.25">
      <c r="A18" s="2">
        <v>1</v>
      </c>
      <c r="B18" s="2">
        <v>1983</v>
      </c>
      <c r="C18" s="2">
        <v>16011.38</v>
      </c>
      <c r="D18" s="2"/>
      <c r="E18" s="1"/>
      <c r="F18" s="12">
        <f t="shared" si="7"/>
        <v>1983</v>
      </c>
      <c r="G18" s="8">
        <f t="shared" si="0"/>
        <v>69107.303234507999</v>
      </c>
      <c r="H18" s="8">
        <f t="shared" si="3"/>
        <v>9432.4326141571546</v>
      </c>
      <c r="I18" s="8">
        <f t="shared" si="4"/>
        <v>4813.8242254919987</v>
      </c>
      <c r="J18" s="8">
        <v>0</v>
      </c>
      <c r="K18" s="8">
        <f>500</f>
        <v>500</v>
      </c>
      <c r="L18" s="8">
        <f t="shared" si="1"/>
        <v>3789.3412001705092</v>
      </c>
      <c r="M18" s="8">
        <f t="shared" si="5"/>
        <v>464</v>
      </c>
      <c r="N18" s="8">
        <f t="shared" si="2"/>
        <v>2761.5296851932017</v>
      </c>
      <c r="P18">
        <f t="shared" si="11"/>
        <v>1977</v>
      </c>
      <c r="Q18">
        <v>1977</v>
      </c>
      <c r="R18">
        <v>96</v>
      </c>
      <c r="S18">
        <f t="shared" si="8"/>
        <v>127.05840493890622</v>
      </c>
      <c r="T18">
        <f t="shared" si="16"/>
        <v>964.62451734907438</v>
      </c>
      <c r="U18">
        <f t="shared" si="17"/>
        <v>254.11680987781244</v>
      </c>
      <c r="X18">
        <f t="shared" si="14"/>
        <v>1983</v>
      </c>
      <c r="AC18">
        <f t="shared" si="6"/>
        <v>2404.955637121594</v>
      </c>
      <c r="AH18">
        <f t="shared" si="12"/>
        <v>2515.2610431303615</v>
      </c>
    </row>
    <row r="19" spans="1:34" x14ac:dyDescent="0.25">
      <c r="A19" s="2">
        <v>1</v>
      </c>
      <c r="B19" s="2">
        <v>1984</v>
      </c>
      <c r="C19" s="2">
        <v>16862.439999999999</v>
      </c>
      <c r="D19" s="2"/>
      <c r="E19" s="1"/>
      <c r="F19" s="12">
        <f t="shared" si="7"/>
        <v>1984</v>
      </c>
      <c r="G19" s="8">
        <f t="shared" si="0"/>
        <v>72780.594449304001</v>
      </c>
      <c r="H19" s="8">
        <f t="shared" si="3"/>
        <v>9933.7988986750788</v>
      </c>
      <c r="I19" s="8">
        <f t="shared" si="4"/>
        <v>4814.5590306959984</v>
      </c>
      <c r="J19" s="8">
        <v>0</v>
      </c>
      <c r="K19" s="8">
        <f>500</f>
        <v>500</v>
      </c>
      <c r="L19" s="8">
        <f t="shared" si="1"/>
        <v>3920.2471522552369</v>
      </c>
      <c r="M19" s="8">
        <f t="shared" si="5"/>
        <v>206</v>
      </c>
      <c r="N19" s="8">
        <f t="shared" si="2"/>
        <v>2774.7613959812447</v>
      </c>
      <c r="P19">
        <f t="shared" si="11"/>
        <v>1978</v>
      </c>
      <c r="Q19">
        <v>1978</v>
      </c>
      <c r="R19">
        <v>232</v>
      </c>
      <c r="S19">
        <f t="shared" si="8"/>
        <v>151.92091399437848</v>
      </c>
      <c r="T19">
        <f t="shared" si="16"/>
        <v>6412.6600154957287</v>
      </c>
      <c r="U19">
        <f t="shared" si="17"/>
        <v>303.84182798875696</v>
      </c>
      <c r="X19">
        <f t="shared" si="14"/>
        <v>1984</v>
      </c>
      <c r="Y19">
        <v>1984</v>
      </c>
      <c r="Z19">
        <v>1702</v>
      </c>
      <c r="AB19">
        <f>Z19*2</f>
        <v>3404</v>
      </c>
      <c r="AC19">
        <f t="shared" si="6"/>
        <v>2764.0914409676648</v>
      </c>
      <c r="AD19">
        <f>((AB19-AC19))^2</f>
        <v>409482.96392283967</v>
      </c>
      <c r="AG19">
        <v>2794</v>
      </c>
      <c r="AH19">
        <f t="shared" si="12"/>
        <v>2604.462202198793</v>
      </c>
    </row>
    <row r="20" spans="1:34" x14ac:dyDescent="0.25">
      <c r="A20" s="2">
        <v>1</v>
      </c>
      <c r="B20" s="2">
        <v>1985</v>
      </c>
      <c r="C20" s="2">
        <v>17758.73</v>
      </c>
      <c r="D20" s="2"/>
      <c r="E20" s="1"/>
      <c r="F20" s="12">
        <f t="shared" si="7"/>
        <v>1985</v>
      </c>
      <c r="G20" s="8">
        <f t="shared" si="0"/>
        <v>76649.104522517999</v>
      </c>
      <c r="H20" s="8">
        <f t="shared" si="3"/>
        <v>10461.810539629381</v>
      </c>
      <c r="I20" s="8">
        <f t="shared" si="4"/>
        <v>4815.3328874819981</v>
      </c>
      <c r="J20" s="8">
        <v>0</v>
      </c>
      <c r="K20" s="8">
        <f>500</f>
        <v>500</v>
      </c>
      <c r="L20" s="8">
        <f t="shared" si="1"/>
        <v>4013.1249536972609</v>
      </c>
      <c r="M20" s="8">
        <f t="shared" si="5"/>
        <v>414.76451567257772</v>
      </c>
      <c r="N20" s="8">
        <f t="shared" si="2"/>
        <v>2783.4837059637148</v>
      </c>
      <c r="P20">
        <f t="shared" si="11"/>
        <v>1979</v>
      </c>
      <c r="Q20">
        <f t="shared" ref="Q20:Q56" si="18">Q19+1</f>
        <v>1979</v>
      </c>
      <c r="R20">
        <v>103</v>
      </c>
      <c r="S20">
        <f t="shared" si="8"/>
        <v>178.96427708099063</v>
      </c>
      <c r="T20">
        <f t="shared" si="16"/>
        <v>5770.5713924375177</v>
      </c>
      <c r="U20">
        <f t="shared" si="17"/>
        <v>357.92855416198125</v>
      </c>
      <c r="X20">
        <f t="shared" si="14"/>
        <v>1985</v>
      </c>
      <c r="AC20">
        <f t="shared" si="6"/>
        <v>3094.5495724496955</v>
      </c>
      <c r="AH20">
        <f t="shared" si="12"/>
        <v>2667.8914151001527</v>
      </c>
    </row>
    <row r="21" spans="1:34" x14ac:dyDescent="0.25">
      <c r="A21" s="2">
        <v>1</v>
      </c>
      <c r="B21" s="2">
        <v>1986</v>
      </c>
      <c r="C21" s="2">
        <v>18702.669999999998</v>
      </c>
      <c r="D21" s="2"/>
      <c r="E21" s="1"/>
      <c r="F21" s="12">
        <f t="shared" si="7"/>
        <v>1986</v>
      </c>
      <c r="G21" s="8">
        <f t="shared" si="0"/>
        <v>80723.278504721995</v>
      </c>
      <c r="H21" s="8">
        <f t="shared" si="3"/>
        <v>11017.893178465478</v>
      </c>
      <c r="I21" s="8">
        <f t="shared" si="4"/>
        <v>4816.1478852779983</v>
      </c>
      <c r="J21" s="8">
        <v>0</v>
      </c>
      <c r="K21" s="8">
        <f>500</f>
        <v>500</v>
      </c>
      <c r="L21" s="8">
        <f t="shared" si="1"/>
        <v>4077.2984324972535</v>
      </c>
      <c r="M21" s="8">
        <f t="shared" si="5"/>
        <v>472.24937483380643</v>
      </c>
      <c r="N21" s="8">
        <f t="shared" si="2"/>
        <v>2789.2095805673948</v>
      </c>
      <c r="P21">
        <f t="shared" si="11"/>
        <v>1980</v>
      </c>
      <c r="Q21">
        <f t="shared" si="18"/>
        <v>1980</v>
      </c>
      <c r="S21">
        <f t="shared" si="8"/>
        <v>207.38225783628886</v>
      </c>
      <c r="T21" t="str">
        <f t="shared" si="16"/>
        <v/>
      </c>
      <c r="U21">
        <f t="shared" si="17"/>
        <v>414.76451567257772</v>
      </c>
      <c r="X21">
        <f t="shared" si="14"/>
        <v>1986</v>
      </c>
      <c r="AC21">
        <f t="shared" si="6"/>
        <v>3379.7252656222154</v>
      </c>
      <c r="AH21">
        <f t="shared" si="12"/>
        <v>2711.7889096503068</v>
      </c>
    </row>
    <row r="22" spans="1:34" x14ac:dyDescent="0.25">
      <c r="A22" s="2">
        <v>1</v>
      </c>
      <c r="B22" s="2">
        <v>1987</v>
      </c>
      <c r="C22" s="2">
        <v>19696.78</v>
      </c>
      <c r="D22" s="2"/>
      <c r="E22" s="1"/>
      <c r="F22" s="12">
        <f t="shared" si="7"/>
        <v>1987</v>
      </c>
      <c r="G22" s="8">
        <f t="shared" si="0"/>
        <v>85013.993060148001</v>
      </c>
      <c r="H22" s="8">
        <f t="shared" si="3"/>
        <v>11603.531367432312</v>
      </c>
      <c r="I22" s="8">
        <f t="shared" si="4"/>
        <v>4817.0061998519977</v>
      </c>
      <c r="J22" s="8">
        <v>0</v>
      </c>
      <c r="K22" s="8">
        <f>500</f>
        <v>500</v>
      </c>
      <c r="L22" s="8">
        <f t="shared" si="1"/>
        <v>4120.8031382085774</v>
      </c>
      <c r="M22" s="8">
        <f t="shared" si="5"/>
        <v>528.05547464868323</v>
      </c>
      <c r="N22" s="8">
        <f t="shared" si="2"/>
        <v>2792.9581021711833</v>
      </c>
      <c r="P22">
        <f t="shared" si="11"/>
        <v>1981</v>
      </c>
      <c r="Q22">
        <f t="shared" si="18"/>
        <v>1981</v>
      </c>
      <c r="S22">
        <f t="shared" si="8"/>
        <v>236.12468741690321</v>
      </c>
      <c r="T22" t="str">
        <f t="shared" si="16"/>
        <v/>
      </c>
      <c r="U22">
        <f t="shared" si="17"/>
        <v>472.24937483380643</v>
      </c>
      <c r="X22">
        <f t="shared" si="14"/>
        <v>1987</v>
      </c>
      <c r="AC22">
        <f t="shared" si="6"/>
        <v>3611.2667425474197</v>
      </c>
      <c r="AH22">
        <f t="shared" si="12"/>
        <v>2741.5822785489318</v>
      </c>
    </row>
    <row r="23" spans="1:34" x14ac:dyDescent="0.25">
      <c r="A23" s="2">
        <v>1</v>
      </c>
      <c r="B23" s="2">
        <v>1988</v>
      </c>
      <c r="C23" s="2">
        <v>20743.73</v>
      </c>
      <c r="D23" s="2"/>
      <c r="E23" s="1"/>
      <c r="F23" s="12">
        <f t="shared" si="7"/>
        <v>1988</v>
      </c>
      <c r="G23" s="8">
        <f t="shared" si="0"/>
        <v>89532.772273518014</v>
      </c>
      <c r="H23" s="8">
        <f t="shared" si="3"/>
        <v>12220.298024984118</v>
      </c>
      <c r="I23" s="8">
        <f t="shared" si="4"/>
        <v>4817.9101364819981</v>
      </c>
      <c r="J23" s="8">
        <v>0</v>
      </c>
      <c r="K23" s="8">
        <f>500</f>
        <v>500</v>
      </c>
      <c r="L23" s="8">
        <f t="shared" si="1"/>
        <v>4149.9075841448066</v>
      </c>
      <c r="M23" s="8">
        <f t="shared" si="5"/>
        <v>579.98538857050494</v>
      </c>
      <c r="N23" s="8">
        <f t="shared" si="2"/>
        <v>2795.4076994101797</v>
      </c>
      <c r="P23">
        <f t="shared" si="11"/>
        <v>1982</v>
      </c>
      <c r="Q23">
        <f t="shared" si="18"/>
        <v>1982</v>
      </c>
      <c r="S23">
        <f t="shared" si="8"/>
        <v>264.02773732434162</v>
      </c>
      <c r="T23" t="str">
        <f t="shared" si="16"/>
        <v/>
      </c>
      <c r="U23">
        <f t="shared" si="17"/>
        <v>528.05547464868323</v>
      </c>
      <c r="X23">
        <f t="shared" si="14"/>
        <v>1988</v>
      </c>
      <c r="AC23">
        <f t="shared" si="6"/>
        <v>3789.3412001705092</v>
      </c>
      <c r="AH23">
        <f t="shared" si="12"/>
        <v>2761.5296851932017</v>
      </c>
    </row>
    <row r="24" spans="1:34" x14ac:dyDescent="0.25">
      <c r="A24" s="2">
        <v>1</v>
      </c>
      <c r="B24" s="2">
        <v>1989</v>
      </c>
      <c r="C24" s="2">
        <v>21846.33</v>
      </c>
      <c r="D24" s="2"/>
      <c r="E24" s="1"/>
      <c r="F24" s="12">
        <f t="shared" si="7"/>
        <v>1989</v>
      </c>
      <c r="G24" s="8">
        <f t="shared" si="0"/>
        <v>94291.744488678014</v>
      </c>
      <c r="H24" s="8">
        <f t="shared" si="3"/>
        <v>12869.848544700077</v>
      </c>
      <c r="I24" s="8">
        <f t="shared" si="4"/>
        <v>4818.8621213219976</v>
      </c>
      <c r="J24" s="8">
        <v>0</v>
      </c>
      <c r="K24" s="8">
        <f>500</f>
        <v>500</v>
      </c>
      <c r="L24" s="8">
        <f t="shared" si="1"/>
        <v>4169.2031040674492</v>
      </c>
      <c r="M24" s="8">
        <f t="shared" si="5"/>
        <v>626.32042976229025</v>
      </c>
      <c r="N24" s="8">
        <f t="shared" si="2"/>
        <v>2797.0065799166086</v>
      </c>
      <c r="P24">
        <f t="shared" si="11"/>
        <v>1983</v>
      </c>
      <c r="Q24">
        <f t="shared" si="18"/>
        <v>1983</v>
      </c>
      <c r="S24">
        <f t="shared" si="8"/>
        <v>289.99269428525247</v>
      </c>
      <c r="T24" t="str">
        <f t="shared" si="16"/>
        <v/>
      </c>
      <c r="U24">
        <f t="shared" si="17"/>
        <v>579.98538857050494</v>
      </c>
      <c r="X24">
        <f t="shared" si="14"/>
        <v>1989</v>
      </c>
      <c r="AC24">
        <f t="shared" si="6"/>
        <v>3920.2471522552369</v>
      </c>
      <c r="AH24">
        <f t="shared" si="12"/>
        <v>2774.7613959812447</v>
      </c>
    </row>
    <row r="25" spans="1:34" x14ac:dyDescent="0.25">
      <c r="A25" s="2">
        <v>1</v>
      </c>
      <c r="B25" s="2">
        <v>1990</v>
      </c>
      <c r="C25" s="2">
        <v>23007.53</v>
      </c>
      <c r="D25" s="2"/>
      <c r="E25" s="1"/>
      <c r="F25" s="12">
        <f t="shared" si="7"/>
        <v>1990</v>
      </c>
      <c r="G25" s="8">
        <f t="shared" si="0"/>
        <v>99303.642308598006</v>
      </c>
      <c r="H25" s="8">
        <f t="shared" si="3"/>
        <v>13553.920795284303</v>
      </c>
      <c r="I25" s="8">
        <f t="shared" si="4"/>
        <v>4819.864701401998</v>
      </c>
      <c r="J25" s="8">
        <v>0</v>
      </c>
      <c r="K25" s="8">
        <f>500</f>
        <v>500</v>
      </c>
      <c r="L25" s="8">
        <f t="shared" si="1"/>
        <v>4181.9181171803184</v>
      </c>
      <c r="M25" s="8">
        <f t="shared" si="5"/>
        <v>666.04557019569484</v>
      </c>
      <c r="N25" s="8">
        <f t="shared" si="2"/>
        <v>2798.0493815424461</v>
      </c>
      <c r="P25">
        <f t="shared" si="11"/>
        <v>1984</v>
      </c>
      <c r="Q25">
        <f t="shared" si="18"/>
        <v>1984</v>
      </c>
      <c r="S25">
        <f t="shared" si="8"/>
        <v>313.16021488114512</v>
      </c>
      <c r="T25" t="str">
        <f t="shared" si="16"/>
        <v/>
      </c>
      <c r="U25">
        <f t="shared" si="17"/>
        <v>626.32042976229025</v>
      </c>
      <c r="X25">
        <f t="shared" si="14"/>
        <v>1990</v>
      </c>
      <c r="AC25">
        <f t="shared" si="6"/>
        <v>4013.1249536972609</v>
      </c>
      <c r="AH25">
        <f t="shared" si="12"/>
        <v>2783.4837059637148</v>
      </c>
    </row>
    <row r="26" spans="1:34" x14ac:dyDescent="0.25">
      <c r="A26" s="2">
        <v>1</v>
      </c>
      <c r="B26" s="2">
        <v>1991</v>
      </c>
      <c r="C26" s="2">
        <v>24230.46</v>
      </c>
      <c r="D26" s="2"/>
      <c r="E26" s="1"/>
      <c r="F26" s="12">
        <f t="shared" si="7"/>
        <v>1991</v>
      </c>
      <c r="G26" s="8">
        <f t="shared" si="0"/>
        <v>104581.97524083601</v>
      </c>
      <c r="H26" s="8">
        <f t="shared" si="3"/>
        <v>14274.358684887273</v>
      </c>
      <c r="I26" s="8">
        <f t="shared" si="4"/>
        <v>4820.9205791639979</v>
      </c>
      <c r="J26" s="8">
        <v>0</v>
      </c>
      <c r="K26" s="8">
        <f>500</f>
        <v>500</v>
      </c>
      <c r="L26" s="8">
        <f>L25</f>
        <v>4181.9181171803184</v>
      </c>
      <c r="M26" s="8">
        <f t="shared" si="5"/>
        <v>698.88898882567673</v>
      </c>
      <c r="N26" s="8">
        <f>N25</f>
        <v>2798.0493815424461</v>
      </c>
      <c r="P26">
        <f t="shared" si="11"/>
        <v>1985</v>
      </c>
      <c r="Q26">
        <f t="shared" si="18"/>
        <v>1985</v>
      </c>
      <c r="S26">
        <f t="shared" si="8"/>
        <v>333.02278509784742</v>
      </c>
      <c r="T26" t="str">
        <f t="shared" si="16"/>
        <v/>
      </c>
      <c r="U26">
        <f t="shared" si="17"/>
        <v>666.04557019569484</v>
      </c>
      <c r="X26">
        <f t="shared" si="14"/>
        <v>1991</v>
      </c>
      <c r="AC26">
        <f t="shared" si="6"/>
        <v>4077.2984324972535</v>
      </c>
      <c r="AH26">
        <f t="shared" si="12"/>
        <v>2789.2095805673948</v>
      </c>
    </row>
    <row r="27" spans="1:34" x14ac:dyDescent="0.25">
      <c r="A27" s="2">
        <v>1</v>
      </c>
      <c r="B27" s="2">
        <v>1992</v>
      </c>
      <c r="C27" s="2">
        <v>25518.39</v>
      </c>
      <c r="D27" s="2"/>
      <c r="E27" s="1"/>
      <c r="F27" s="12">
        <f t="shared" si="7"/>
        <v>1992</v>
      </c>
      <c r="G27" s="8">
        <f t="shared" si="0"/>
        <v>110140.857052074</v>
      </c>
      <c r="H27" s="8">
        <f t="shared" si="3"/>
        <v>15033.088596784401</v>
      </c>
      <c r="I27" s="8">
        <f t="shared" si="4"/>
        <v>4822.0325779259974</v>
      </c>
      <c r="J27" s="8">
        <v>0</v>
      </c>
      <c r="K27" s="8">
        <f>500</f>
        <v>500</v>
      </c>
      <c r="L27" s="8">
        <f t="shared" ref="L27:L50" si="19">L26</f>
        <v>4181.9181171803184</v>
      </c>
      <c r="M27" s="8">
        <f t="shared" si="5"/>
        <v>725.19595912004581</v>
      </c>
      <c r="N27" s="8">
        <f t="shared" ref="N27:N50" si="20">N26</f>
        <v>2798.0493815424461</v>
      </c>
      <c r="P27">
        <f t="shared" si="11"/>
        <v>1986</v>
      </c>
      <c r="Q27">
        <f t="shared" si="18"/>
        <v>1986</v>
      </c>
      <c r="S27">
        <f t="shared" si="8"/>
        <v>349.44449441283837</v>
      </c>
      <c r="T27" t="str">
        <f t="shared" si="16"/>
        <v/>
      </c>
      <c r="U27">
        <f t="shared" si="17"/>
        <v>698.88898882567673</v>
      </c>
      <c r="X27">
        <f t="shared" si="14"/>
        <v>1992</v>
      </c>
      <c r="AC27">
        <f t="shared" si="6"/>
        <v>4120.8031382085774</v>
      </c>
      <c r="AH27">
        <f t="shared" si="12"/>
        <v>2792.9581021711833</v>
      </c>
    </row>
    <row r="28" spans="1:34" x14ac:dyDescent="0.25">
      <c r="A28" s="2">
        <v>1</v>
      </c>
      <c r="B28" s="2">
        <v>1993</v>
      </c>
      <c r="C28" s="2">
        <v>26874.78</v>
      </c>
      <c r="D28" s="2"/>
      <c r="E28" s="1"/>
      <c r="F28" s="12">
        <f t="shared" si="7"/>
        <v>1993</v>
      </c>
      <c r="G28" s="8">
        <f t="shared" si="0"/>
        <v>115995.22157494801</v>
      </c>
      <c r="H28" s="8">
        <f t="shared" si="3"/>
        <v>15832.148844777805</v>
      </c>
      <c r="I28" s="8">
        <f t="shared" si="4"/>
        <v>4823.2036850519971</v>
      </c>
      <c r="J28" s="8">
        <v>0</v>
      </c>
      <c r="K28" s="8">
        <f>500</f>
        <v>500</v>
      </c>
      <c r="L28" s="8">
        <f t="shared" si="19"/>
        <v>4181.9181171803184</v>
      </c>
      <c r="M28" s="8">
        <f t="shared" si="5"/>
        <v>745.71445262386464</v>
      </c>
      <c r="N28" s="8">
        <f t="shared" si="20"/>
        <v>2798.0493815424461</v>
      </c>
      <c r="P28">
        <f t="shared" si="11"/>
        <v>1987</v>
      </c>
      <c r="Q28">
        <f t="shared" si="18"/>
        <v>1987</v>
      </c>
      <c r="S28">
        <f t="shared" si="8"/>
        <v>362.59797956002291</v>
      </c>
      <c r="T28" t="str">
        <f t="shared" si="16"/>
        <v/>
      </c>
      <c r="U28">
        <f t="shared" si="17"/>
        <v>725.19595912004581</v>
      </c>
      <c r="X28">
        <f t="shared" si="14"/>
        <v>1993</v>
      </c>
      <c r="AC28">
        <f t="shared" si="6"/>
        <v>4149.9075841448066</v>
      </c>
      <c r="AH28">
        <f t="shared" si="12"/>
        <v>2795.4076994101797</v>
      </c>
    </row>
    <row r="29" spans="1:34" x14ac:dyDescent="0.25">
      <c r="A29" s="2">
        <v>1</v>
      </c>
      <c r="B29" s="2">
        <v>1994</v>
      </c>
      <c r="C29" s="2">
        <v>28303.26</v>
      </c>
      <c r="D29" s="2"/>
      <c r="E29" s="1"/>
      <c r="F29" s="12">
        <f t="shared" si="7"/>
        <v>1994</v>
      </c>
      <c r="G29" s="8">
        <f t="shared" si="0"/>
        <v>122160.73638531599</v>
      </c>
      <c r="H29" s="8">
        <f t="shared" si="3"/>
        <v>16673.677891035601</v>
      </c>
      <c r="I29" s="8">
        <f t="shared" si="4"/>
        <v>4824.4370346839969</v>
      </c>
      <c r="J29" s="8">
        <v>0</v>
      </c>
      <c r="K29" s="8">
        <f>500</f>
        <v>500</v>
      </c>
      <c r="L29" s="8">
        <f t="shared" si="19"/>
        <v>4181.9181171803184</v>
      </c>
      <c r="M29" s="8">
        <f t="shared" si="5"/>
        <v>761.3767541380189</v>
      </c>
      <c r="N29" s="8">
        <f t="shared" si="20"/>
        <v>2798.0493815424461</v>
      </c>
      <c r="P29">
        <f t="shared" si="11"/>
        <v>1988</v>
      </c>
      <c r="Q29">
        <f t="shared" si="18"/>
        <v>1988</v>
      </c>
      <c r="S29">
        <f t="shared" si="8"/>
        <v>372.85722631193232</v>
      </c>
      <c r="T29" t="str">
        <f t="shared" si="16"/>
        <v/>
      </c>
      <c r="U29">
        <f t="shared" si="17"/>
        <v>745.71445262386464</v>
      </c>
      <c r="X29">
        <f t="shared" si="14"/>
        <v>1994</v>
      </c>
      <c r="AC29">
        <f t="shared" si="6"/>
        <v>4169.2031040674492</v>
      </c>
      <c r="AH29">
        <f t="shared" si="12"/>
        <v>2797.0065799166086</v>
      </c>
    </row>
    <row r="30" spans="1:34" x14ac:dyDescent="0.25">
      <c r="A30" s="2">
        <v>1</v>
      </c>
      <c r="B30" s="2">
        <v>1995</v>
      </c>
      <c r="C30" s="2">
        <v>29807.67</v>
      </c>
      <c r="D30" s="2"/>
      <c r="E30" s="1"/>
      <c r="F30" s="12">
        <f t="shared" si="7"/>
        <v>1995</v>
      </c>
      <c r="G30" s="8">
        <f t="shared" si="0"/>
        <v>128653.975447722</v>
      </c>
      <c r="H30" s="8">
        <f t="shared" si="3"/>
        <v>17559.93791041333</v>
      </c>
      <c r="I30" s="8">
        <f t="shared" si="4"/>
        <v>4825.7359422779973</v>
      </c>
      <c r="J30" s="8">
        <f>CSL_ColumbiaRiver!AI16</f>
        <v>23.094211944830978</v>
      </c>
      <c r="K30" s="8">
        <f>500</f>
        <v>500</v>
      </c>
      <c r="L30" s="8">
        <f t="shared" si="19"/>
        <v>4181.9181171803184</v>
      </c>
      <c r="M30" s="8">
        <f t="shared" si="5"/>
        <v>773.13084651486713</v>
      </c>
      <c r="N30" s="8">
        <f t="shared" si="20"/>
        <v>2798.0493815424461</v>
      </c>
      <c r="P30">
        <f t="shared" si="11"/>
        <v>1989</v>
      </c>
      <c r="Q30">
        <f t="shared" si="18"/>
        <v>1989</v>
      </c>
      <c r="S30">
        <f t="shared" si="8"/>
        <v>380.68837706900945</v>
      </c>
      <c r="T30" t="str">
        <f t="shared" si="16"/>
        <v/>
      </c>
      <c r="U30">
        <f t="shared" si="17"/>
        <v>761.3767541380189</v>
      </c>
      <c r="X30">
        <f t="shared" si="14"/>
        <v>1995</v>
      </c>
      <c r="Y30">
        <v>1995</v>
      </c>
      <c r="AA30">
        <v>2000</v>
      </c>
      <c r="AB30">
        <v>4000</v>
      </c>
      <c r="AC30">
        <f t="shared" si="6"/>
        <v>4181.9181171803184</v>
      </c>
      <c r="AD30">
        <f>((AB30-AC30))^2</f>
        <v>33094.201358432059</v>
      </c>
      <c r="AH30">
        <f t="shared" si="12"/>
        <v>2798.0493815424461</v>
      </c>
    </row>
    <row r="31" spans="1:34" x14ac:dyDescent="0.25">
      <c r="A31" s="2">
        <v>1</v>
      </c>
      <c r="B31" s="2">
        <v>1996</v>
      </c>
      <c r="C31" s="2">
        <v>31392.05</v>
      </c>
      <c r="D31" s="2"/>
      <c r="E31" s="1"/>
      <c r="F31" s="12">
        <f t="shared" si="7"/>
        <v>1996</v>
      </c>
      <c r="G31" s="8">
        <f t="shared" si="0"/>
        <v>135492.37595402999</v>
      </c>
      <c r="H31" s="8">
        <f t="shared" si="3"/>
        <v>18493.308899373576</v>
      </c>
      <c r="I31" s="8">
        <f t="shared" si="4"/>
        <v>4827.1038959699972</v>
      </c>
      <c r="J31" s="8">
        <f>CSL_ColumbiaRiver!AI17</f>
        <v>27.978526507837127</v>
      </c>
      <c r="K31" s="8">
        <f>500</f>
        <v>500</v>
      </c>
      <c r="L31" s="8">
        <f t="shared" si="19"/>
        <v>4181.9181171803184</v>
      </c>
      <c r="M31" s="8">
        <f t="shared" si="5"/>
        <v>781.83744019853089</v>
      </c>
      <c r="N31" s="8">
        <f t="shared" si="20"/>
        <v>2798.0493815424461</v>
      </c>
      <c r="P31">
        <f t="shared" si="11"/>
        <v>1990</v>
      </c>
      <c r="Q31">
        <f t="shared" si="18"/>
        <v>1990</v>
      </c>
      <c r="S31">
        <f t="shared" si="8"/>
        <v>386.56542325743357</v>
      </c>
      <c r="T31" t="str">
        <f t="shared" si="16"/>
        <v/>
      </c>
      <c r="U31">
        <f t="shared" si="17"/>
        <v>773.13084651486713</v>
      </c>
    </row>
    <row r="32" spans="1:34" x14ac:dyDescent="0.25">
      <c r="A32" s="2">
        <v>1</v>
      </c>
      <c r="B32" s="2">
        <v>1997</v>
      </c>
      <c r="C32" s="2">
        <v>33060.639999999999</v>
      </c>
      <c r="D32" s="2"/>
      <c r="E32" s="1"/>
      <c r="F32" s="12">
        <f t="shared" si="7"/>
        <v>1997</v>
      </c>
      <c r="G32" s="8">
        <f t="shared" si="0"/>
        <v>142694.23832342401</v>
      </c>
      <c r="H32" s="8">
        <f t="shared" si="3"/>
        <v>19476.288675985994</v>
      </c>
      <c r="I32" s="8">
        <f t="shared" si="4"/>
        <v>4828.5445565759965</v>
      </c>
      <c r="J32" s="8">
        <f>CSL_ColumbiaRiver!AI18</f>
        <v>33.895850069261755</v>
      </c>
      <c r="K32" s="8">
        <f>500</f>
        <v>500</v>
      </c>
      <c r="L32" s="8">
        <f t="shared" si="19"/>
        <v>4181.9181171803184</v>
      </c>
      <c r="M32" s="8">
        <f t="shared" si="5"/>
        <v>788.22336629016593</v>
      </c>
      <c r="N32" s="8">
        <f t="shared" si="20"/>
        <v>2798.0493815424461</v>
      </c>
      <c r="P32">
        <f t="shared" si="11"/>
        <v>1991</v>
      </c>
      <c r="Q32">
        <f t="shared" si="18"/>
        <v>1991</v>
      </c>
      <c r="S32">
        <f t="shared" si="8"/>
        <v>390.91872009926544</v>
      </c>
      <c r="T32" t="str">
        <f t="shared" si="16"/>
        <v/>
      </c>
      <c r="U32">
        <f t="shared" si="17"/>
        <v>781.83744019853089</v>
      </c>
    </row>
    <row r="33" spans="1:21" x14ac:dyDescent="0.25">
      <c r="A33" s="2">
        <v>1</v>
      </c>
      <c r="B33" s="2">
        <v>1998</v>
      </c>
      <c r="C33" s="2">
        <v>34817.93</v>
      </c>
      <c r="D33" s="2"/>
      <c r="E33" s="1"/>
      <c r="F33" s="12">
        <f t="shared" si="7"/>
        <v>1998</v>
      </c>
      <c r="G33" s="8">
        <f t="shared" si="0"/>
        <v>150278.942009238</v>
      </c>
      <c r="H33" s="8">
        <f t="shared" si="3"/>
        <v>20511.522335329049</v>
      </c>
      <c r="I33" s="8">
        <f t="shared" si="4"/>
        <v>4830.0618007619969</v>
      </c>
      <c r="J33" s="8">
        <f>CSL_ColumbiaRiver!AI19</f>
        <v>41.06465905543822</v>
      </c>
      <c r="K33" s="8">
        <f>500</f>
        <v>500</v>
      </c>
      <c r="L33" s="8">
        <f t="shared" si="19"/>
        <v>4181.9181171803184</v>
      </c>
      <c r="M33" s="8">
        <f t="shared" si="5"/>
        <v>792.87293306968127</v>
      </c>
      <c r="N33" s="8">
        <f t="shared" si="20"/>
        <v>2798.0493815424461</v>
      </c>
      <c r="P33">
        <f t="shared" si="11"/>
        <v>1992</v>
      </c>
      <c r="Q33">
        <f t="shared" si="18"/>
        <v>1992</v>
      </c>
      <c r="S33">
        <f t="shared" si="8"/>
        <v>394.11168314508296</v>
      </c>
      <c r="T33" t="str">
        <f t="shared" si="16"/>
        <v/>
      </c>
      <c r="U33">
        <f t="shared" si="17"/>
        <v>788.22336629016593</v>
      </c>
    </row>
    <row r="34" spans="1:21" x14ac:dyDescent="0.25">
      <c r="A34" s="2">
        <v>1</v>
      </c>
      <c r="B34" s="2">
        <v>1999</v>
      </c>
      <c r="C34" s="2">
        <v>36668.620000000003</v>
      </c>
      <c r="D34" s="2"/>
      <c r="E34" s="1"/>
      <c r="F34" s="12">
        <f t="shared" si="7"/>
        <v>1999</v>
      </c>
      <c r="G34" s="8">
        <f t="shared" si="0"/>
        <v>158266.772853492</v>
      </c>
      <c r="H34" s="8">
        <f t="shared" si="3"/>
        <v>21601.778685168632</v>
      </c>
      <c r="I34" s="8">
        <f t="shared" si="4"/>
        <v>4831.6596865079964</v>
      </c>
      <c r="J34" s="8">
        <f>CSL_ColumbiaRiver!AI20</f>
        <v>49.749636604293364</v>
      </c>
      <c r="K34" s="8">
        <f>500</f>
        <v>500</v>
      </c>
      <c r="L34" s="8">
        <f t="shared" si="19"/>
        <v>4181.9181171803184</v>
      </c>
      <c r="M34" s="8">
        <f t="shared" si="5"/>
        <v>796.2400321183286</v>
      </c>
      <c r="N34" s="8">
        <f t="shared" si="20"/>
        <v>2798.0493815424461</v>
      </c>
      <c r="P34">
        <f t="shared" si="11"/>
        <v>1993</v>
      </c>
      <c r="Q34">
        <f t="shared" si="18"/>
        <v>1993</v>
      </c>
      <c r="S34">
        <f t="shared" si="8"/>
        <v>396.43646653484063</v>
      </c>
      <c r="T34" t="str">
        <f t="shared" si="16"/>
        <v/>
      </c>
      <c r="U34">
        <f t="shared" si="17"/>
        <v>792.87293306968127</v>
      </c>
    </row>
    <row r="35" spans="1:21" x14ac:dyDescent="0.25">
      <c r="A35" s="2">
        <v>1</v>
      </c>
      <c r="B35" s="2">
        <v>2000</v>
      </c>
      <c r="C35" s="2">
        <v>38617.68</v>
      </c>
      <c r="D35" s="2"/>
      <c r="E35" s="1"/>
      <c r="F35" s="12">
        <f t="shared" si="7"/>
        <v>2000</v>
      </c>
      <c r="G35" s="8">
        <f t="shared" si="0"/>
        <v>166679.18205508802</v>
      </c>
      <c r="H35" s="8">
        <f t="shared" si="3"/>
        <v>22749.98559244016</v>
      </c>
      <c r="I35" s="8">
        <f t="shared" si="4"/>
        <v>4833.342504911996</v>
      </c>
      <c r="J35" s="8">
        <f>CSL_ColumbiaRiver!AI21</f>
        <v>60.271445062234768</v>
      </c>
      <c r="K35" s="8">
        <f>500</f>
        <v>500</v>
      </c>
      <c r="L35" s="8">
        <f t="shared" si="19"/>
        <v>4181.9181171803184</v>
      </c>
      <c r="M35" s="8">
        <f t="shared" si="5"/>
        <v>798.66880923321935</v>
      </c>
      <c r="N35" s="8">
        <f t="shared" si="20"/>
        <v>2798.0493815424461</v>
      </c>
      <c r="P35">
        <f t="shared" si="11"/>
        <v>1994</v>
      </c>
      <c r="Q35">
        <f t="shared" si="18"/>
        <v>1994</v>
      </c>
      <c r="S35">
        <f t="shared" si="8"/>
        <v>398.1200160591643</v>
      </c>
      <c r="T35" t="str">
        <f t="shared" si="16"/>
        <v/>
      </c>
      <c r="U35">
        <f t="shared" si="17"/>
        <v>796.2400321183286</v>
      </c>
    </row>
    <row r="36" spans="1:21" x14ac:dyDescent="0.25">
      <c r="A36" s="2">
        <v>1</v>
      </c>
      <c r="B36" s="2">
        <v>2001</v>
      </c>
      <c r="C36" s="2">
        <v>40670.339999999997</v>
      </c>
      <c r="D36" s="2"/>
      <c r="E36" s="1"/>
      <c r="F36" s="12">
        <f t="shared" si="7"/>
        <v>2001</v>
      </c>
      <c r="G36" s="8">
        <f t="shared" si="0"/>
        <v>175538.743008444</v>
      </c>
      <c r="H36" s="8">
        <f t="shared" si="3"/>
        <v>23959.224092168213</v>
      </c>
      <c r="I36" s="8">
        <f t="shared" si="4"/>
        <v>4835.1147715559964</v>
      </c>
      <c r="J36" s="8">
        <f>CSL_ColumbiaRiver!AI22</f>
        <v>73.018565317047731</v>
      </c>
      <c r="K36" s="8">
        <f>500</f>
        <v>500</v>
      </c>
      <c r="L36" s="8">
        <f t="shared" si="19"/>
        <v>4181.9181171803184</v>
      </c>
      <c r="M36" s="8">
        <f t="shared" si="5"/>
        <v>800.41574824684335</v>
      </c>
      <c r="N36" s="8">
        <f t="shared" si="20"/>
        <v>2798.0493815424461</v>
      </c>
      <c r="P36">
        <f t="shared" si="11"/>
        <v>1995</v>
      </c>
      <c r="Q36">
        <f t="shared" si="18"/>
        <v>1995</v>
      </c>
      <c r="S36">
        <f t="shared" si="8"/>
        <v>399.33440461660967</v>
      </c>
      <c r="T36" t="str">
        <f t="shared" si="16"/>
        <v/>
      </c>
      <c r="U36">
        <f t="shared" si="17"/>
        <v>798.66880923321935</v>
      </c>
    </row>
    <row r="37" spans="1:21" x14ac:dyDescent="0.25">
      <c r="A37" s="2">
        <v>1</v>
      </c>
      <c r="B37" s="2">
        <v>2002</v>
      </c>
      <c r="C37" s="2">
        <v>42832.1</v>
      </c>
      <c r="D37" s="2"/>
      <c r="E37" s="1"/>
      <c r="F37" s="12">
        <f t="shared" si="7"/>
        <v>2002</v>
      </c>
      <c r="G37" s="8">
        <f t="shared" si="0"/>
        <v>184869.19446485999</v>
      </c>
      <c r="H37" s="8">
        <f t="shared" si="3"/>
        <v>25232.734278546923</v>
      </c>
      <c r="I37" s="8">
        <f t="shared" si="4"/>
        <v>4836.981235139996</v>
      </c>
      <c r="J37" s="8">
        <f>CSL_ColumbiaRiver!AI23</f>
        <v>88.461640092660403</v>
      </c>
      <c r="K37" s="8">
        <f>500</f>
        <v>500</v>
      </c>
      <c r="L37" s="8">
        <f t="shared" si="19"/>
        <v>4181.9181171803184</v>
      </c>
      <c r="M37" s="8">
        <f t="shared" si="5"/>
        <v>1672</v>
      </c>
      <c r="N37" s="8">
        <f t="shared" si="20"/>
        <v>2798.0493815424461</v>
      </c>
      <c r="P37">
        <f t="shared" si="11"/>
        <v>1996</v>
      </c>
      <c r="Q37">
        <f t="shared" si="18"/>
        <v>1996</v>
      </c>
      <c r="S37">
        <f t="shared" si="8"/>
        <v>400.20787412342167</v>
      </c>
      <c r="T37" t="str">
        <f t="shared" si="16"/>
        <v/>
      </c>
      <c r="U37">
        <f t="shared" si="17"/>
        <v>800.41574824684335</v>
      </c>
    </row>
    <row r="38" spans="1:21" x14ac:dyDescent="0.25">
      <c r="A38" s="2">
        <v>1</v>
      </c>
      <c r="B38" s="2">
        <v>2003</v>
      </c>
      <c r="C38" s="2">
        <v>45108.77</v>
      </c>
      <c r="D38" s="2"/>
      <c r="E38" s="1"/>
      <c r="F38" s="12">
        <f t="shared" si="7"/>
        <v>2003</v>
      </c>
      <c r="G38" s="8">
        <f t="shared" si="0"/>
        <v>194695.61317798198</v>
      </c>
      <c r="H38" s="8">
        <f t="shared" si="3"/>
        <v>26573.93886926135</v>
      </c>
      <c r="I38" s="8">
        <f t="shared" si="4"/>
        <v>4838.9469120179956</v>
      </c>
      <c r="J38" s="8">
        <f>CSL_ColumbiaRiver!AI24</f>
        <v>107.17085078164857</v>
      </c>
      <c r="K38" s="8">
        <f>500</f>
        <v>500</v>
      </c>
      <c r="L38" s="8">
        <f t="shared" si="19"/>
        <v>4181.9181171803184</v>
      </c>
      <c r="M38" s="8">
        <f t="shared" si="5"/>
        <v>802.56837988205075</v>
      </c>
      <c r="N38" s="8">
        <f t="shared" si="20"/>
        <v>2798.0493815424461</v>
      </c>
      <c r="P38">
        <f t="shared" si="11"/>
        <v>1997</v>
      </c>
      <c r="Q38">
        <f t="shared" si="18"/>
        <v>1997</v>
      </c>
      <c r="R38">
        <v>836</v>
      </c>
      <c r="S38">
        <f t="shared" si="8"/>
        <v>400.83483585567581</v>
      </c>
      <c r="T38">
        <f t="shared" si="16"/>
        <v>189368.72008475661</v>
      </c>
      <c r="U38">
        <f t="shared" si="17"/>
        <v>801.66967171135161</v>
      </c>
    </row>
    <row r="39" spans="1:21" x14ac:dyDescent="0.25">
      <c r="A39" s="2">
        <v>1</v>
      </c>
      <c r="B39" s="2">
        <v>2004</v>
      </c>
      <c r="C39" s="2">
        <v>47506.45</v>
      </c>
      <c r="D39" s="2"/>
      <c r="E39" s="1"/>
      <c r="F39" s="12">
        <f t="shared" si="7"/>
        <v>2004</v>
      </c>
      <c r="G39" s="8">
        <f t="shared" si="0"/>
        <v>205044.32758106999</v>
      </c>
      <c r="H39" s="8">
        <f t="shared" si="3"/>
        <v>27986.431423326791</v>
      </c>
      <c r="I39" s="8">
        <f t="shared" si="4"/>
        <v>4841.0170689299957</v>
      </c>
      <c r="J39" s="8">
        <f>CSL_ColumbiaRiver!AI25</f>
        <v>200</v>
      </c>
      <c r="K39" s="8">
        <f>500</f>
        <v>500</v>
      </c>
      <c r="L39" s="8">
        <f t="shared" si="19"/>
        <v>4181.9181171803184</v>
      </c>
      <c r="M39" s="8">
        <f t="shared" si="5"/>
        <v>803.21181184072884</v>
      </c>
      <c r="N39" s="8">
        <f t="shared" si="20"/>
        <v>2798.0493815424461</v>
      </c>
      <c r="P39">
        <f t="shared" si="11"/>
        <v>1998</v>
      </c>
      <c r="Q39">
        <f t="shared" si="18"/>
        <v>1998</v>
      </c>
      <c r="S39">
        <f t="shared" ref="S39:S56" si="21">S38+r_2*S38*(1-S38/K_2)</f>
        <v>401.28418994102537</v>
      </c>
      <c r="T39" t="str">
        <f t="shared" si="16"/>
        <v/>
      </c>
      <c r="U39">
        <f t="shared" si="17"/>
        <v>802.56837988205075</v>
      </c>
    </row>
    <row r="40" spans="1:21" x14ac:dyDescent="0.25">
      <c r="A40" s="2">
        <v>1</v>
      </c>
      <c r="B40" s="2">
        <v>2005</v>
      </c>
      <c r="C40" s="2">
        <v>50031.58</v>
      </c>
      <c r="D40" s="2"/>
      <c r="E40" s="1"/>
      <c r="F40" s="12">
        <f t="shared" si="7"/>
        <v>2005</v>
      </c>
      <c r="G40" s="8">
        <f t="shared" si="0"/>
        <v>215943.13359382801</v>
      </c>
      <c r="H40" s="8">
        <f t="shared" si="3"/>
        <v>29474.00579649055</v>
      </c>
      <c r="I40" s="8">
        <f t="shared" si="4"/>
        <v>4843.1972661719956</v>
      </c>
      <c r="J40" s="8">
        <f>CSL_ColumbiaRiver!AI26</f>
        <v>245</v>
      </c>
      <c r="K40" s="8">
        <f>500</f>
        <v>500</v>
      </c>
      <c r="L40" s="8">
        <f t="shared" si="19"/>
        <v>4181.9181171803184</v>
      </c>
      <c r="M40" s="8">
        <f t="shared" si="5"/>
        <v>803.67212570055267</v>
      </c>
      <c r="N40" s="8">
        <f t="shared" si="20"/>
        <v>2798.0493815424461</v>
      </c>
      <c r="P40">
        <f t="shared" si="11"/>
        <v>1999</v>
      </c>
      <c r="Q40">
        <f t="shared" si="18"/>
        <v>1999</v>
      </c>
      <c r="S40">
        <f t="shared" si="21"/>
        <v>401.60590592036442</v>
      </c>
      <c r="T40" t="str">
        <f t="shared" si="16"/>
        <v/>
      </c>
      <c r="U40">
        <f t="shared" si="17"/>
        <v>803.21181184072884</v>
      </c>
    </row>
    <row r="41" spans="1:21" x14ac:dyDescent="0.25">
      <c r="A41" s="2">
        <v>1</v>
      </c>
      <c r="B41" s="2">
        <v>2006</v>
      </c>
      <c r="C41" s="2">
        <v>52690.92</v>
      </c>
      <c r="D41" s="2"/>
      <c r="E41" s="1"/>
      <c r="F41" s="12">
        <f t="shared" si="7"/>
        <v>2006</v>
      </c>
      <c r="G41" s="8">
        <f t="shared" si="0"/>
        <v>227421.20829967203</v>
      </c>
      <c r="H41" s="8">
        <f t="shared" si="3"/>
        <v>31040.644359071208</v>
      </c>
      <c r="I41" s="8">
        <f t="shared" si="4"/>
        <v>4845.4933403279947</v>
      </c>
      <c r="J41" s="8">
        <f>CSL_ColumbiaRiver!AI27</f>
        <v>136</v>
      </c>
      <c r="K41" s="8">
        <f>500</f>
        <v>500</v>
      </c>
      <c r="L41" s="8">
        <f t="shared" si="19"/>
        <v>4181.9181171803184</v>
      </c>
      <c r="M41" s="8">
        <f t="shared" si="5"/>
        <v>804.00125559458934</v>
      </c>
      <c r="N41" s="8">
        <f t="shared" si="20"/>
        <v>2798.0493815424461</v>
      </c>
      <c r="P41">
        <f t="shared" si="11"/>
        <v>2000</v>
      </c>
      <c r="Q41">
        <f t="shared" si="18"/>
        <v>2000</v>
      </c>
      <c r="S41">
        <f t="shared" si="21"/>
        <v>401.83606285027633</v>
      </c>
      <c r="T41" t="str">
        <f t="shared" si="16"/>
        <v/>
      </c>
      <c r="U41">
        <f t="shared" si="17"/>
        <v>803.67212570055267</v>
      </c>
    </row>
    <row r="42" spans="1:21" x14ac:dyDescent="0.25">
      <c r="A42" s="2">
        <v>1</v>
      </c>
      <c r="B42" s="2">
        <v>2007</v>
      </c>
      <c r="C42" s="2">
        <v>55491.62</v>
      </c>
      <c r="D42" s="2"/>
      <c r="E42" s="1"/>
      <c r="F42" s="12">
        <f t="shared" si="7"/>
        <v>2007</v>
      </c>
      <c r="G42" s="8">
        <f t="shared" si="0"/>
        <v>239509.41207529203</v>
      </c>
      <c r="H42" s="8">
        <f t="shared" si="3"/>
        <v>32690.559233521126</v>
      </c>
      <c r="I42" s="8">
        <f t="shared" si="4"/>
        <v>4847.911464707995</v>
      </c>
      <c r="J42" s="8">
        <f>CSL_ColumbiaRiver!AI28</f>
        <v>188</v>
      </c>
      <c r="K42" s="8">
        <f>500</f>
        <v>500</v>
      </c>
      <c r="L42" s="8">
        <f t="shared" si="19"/>
        <v>4181.9181171803184</v>
      </c>
      <c r="M42" s="8">
        <f t="shared" si="5"/>
        <v>710</v>
      </c>
      <c r="N42" s="8">
        <f t="shared" si="20"/>
        <v>2798.0493815424461</v>
      </c>
      <c r="P42">
        <f t="shared" si="11"/>
        <v>2001</v>
      </c>
      <c r="Q42">
        <f t="shared" si="18"/>
        <v>2001</v>
      </c>
      <c r="S42">
        <f t="shared" si="21"/>
        <v>402.00062779729467</v>
      </c>
      <c r="T42" t="str">
        <f t="shared" si="16"/>
        <v/>
      </c>
      <c r="U42">
        <f t="shared" si="17"/>
        <v>804.00125559458934</v>
      </c>
    </row>
    <row r="43" spans="1:21" x14ac:dyDescent="0.25">
      <c r="A43" s="2">
        <v>1</v>
      </c>
      <c r="B43" s="2">
        <v>2008</v>
      </c>
      <c r="C43" s="2">
        <v>58441.19</v>
      </c>
      <c r="D43" s="2"/>
      <c r="E43" s="1"/>
      <c r="F43" s="12">
        <f t="shared" si="7"/>
        <v>2008</v>
      </c>
      <c r="G43" s="8">
        <f t="shared" si="0"/>
        <v>252240.15910655403</v>
      </c>
      <c r="H43" s="8">
        <f t="shared" si="3"/>
        <v>34428.174621185368</v>
      </c>
      <c r="I43" s="8">
        <f t="shared" si="4"/>
        <v>4850.4581234459947</v>
      </c>
      <c r="J43" s="8">
        <f>CSL_ColumbiaRiver!AI29</f>
        <v>272</v>
      </c>
      <c r="K43" s="8">
        <f>500</f>
        <v>500</v>
      </c>
      <c r="L43" s="8">
        <f t="shared" si="19"/>
        <v>4181.9181171803184</v>
      </c>
      <c r="M43" s="8">
        <f t="shared" si="5"/>
        <v>488</v>
      </c>
      <c r="N43" s="8">
        <f t="shared" si="20"/>
        <v>2798.0493815424461</v>
      </c>
      <c r="P43">
        <f t="shared" si="11"/>
        <v>2002</v>
      </c>
      <c r="Q43">
        <f t="shared" si="18"/>
        <v>2002</v>
      </c>
      <c r="R43">
        <v>355</v>
      </c>
      <c r="S43">
        <f t="shared" si="21"/>
        <v>402.11824753368916</v>
      </c>
      <c r="T43">
        <f t="shared" si="16"/>
        <v>2220.1292506460045</v>
      </c>
      <c r="U43">
        <f t="shared" si="17"/>
        <v>804.23649506737831</v>
      </c>
    </row>
    <row r="44" spans="1:21" x14ac:dyDescent="0.25">
      <c r="A44" s="2">
        <v>1</v>
      </c>
      <c r="B44" s="2">
        <v>2009</v>
      </c>
      <c r="C44" s="2">
        <v>61547.53</v>
      </c>
      <c r="D44" s="2">
        <v>34921.81</v>
      </c>
      <c r="E44" s="1">
        <f>G44/D44*1</f>
        <v>7.6069237783665287</v>
      </c>
      <c r="F44" s="12">
        <f t="shared" si="7"/>
        <v>2009</v>
      </c>
      <c r="G44" s="8">
        <f t="shared" si="0"/>
        <v>265647.546872598</v>
      </c>
      <c r="H44" s="8">
        <f t="shared" si="3"/>
        <v>36258.144475542766</v>
      </c>
      <c r="I44" s="8">
        <f t="shared" si="4"/>
        <v>4853.1401374019943</v>
      </c>
      <c r="J44" s="8">
        <f>CSL_ColumbiaRiver!AI30</f>
        <v>375</v>
      </c>
      <c r="K44" s="8">
        <f>500</f>
        <v>500</v>
      </c>
      <c r="L44" s="8">
        <f t="shared" si="19"/>
        <v>4181.9181171803184</v>
      </c>
      <c r="M44" s="8">
        <f t="shared" si="5"/>
        <v>804.52465938743421</v>
      </c>
      <c r="N44" s="8">
        <f t="shared" si="20"/>
        <v>2798.0493815424461</v>
      </c>
      <c r="P44">
        <f t="shared" si="11"/>
        <v>2003</v>
      </c>
      <c r="Q44">
        <f t="shared" si="18"/>
        <v>2003</v>
      </c>
      <c r="R44">
        <v>244</v>
      </c>
      <c r="S44">
        <f t="shared" si="21"/>
        <v>402.20229046704446</v>
      </c>
      <c r="T44">
        <f t="shared" si="16"/>
        <v>25027.964709019107</v>
      </c>
      <c r="U44">
        <f t="shared" si="17"/>
        <v>804.40458093408893</v>
      </c>
    </row>
    <row r="45" spans="1:21" x14ac:dyDescent="0.25">
      <c r="A45" s="2">
        <v>1</v>
      </c>
      <c r="B45" s="2">
        <v>2010</v>
      </c>
      <c r="C45" s="2">
        <v>64818.99</v>
      </c>
      <c r="D45" s="2">
        <v>35675.96</v>
      </c>
      <c r="E45" s="13">
        <f t="shared" ref="E45:E49" si="22">G45/D45*1</f>
        <v>7.8419085320768955</v>
      </c>
      <c r="F45" s="12">
        <f t="shared" si="7"/>
        <v>2010</v>
      </c>
      <c r="G45" s="8">
        <f t="shared" si="0"/>
        <v>279767.61511403404</v>
      </c>
      <c r="H45" s="8">
        <f t="shared" si="3"/>
        <v>38185.387848688028</v>
      </c>
      <c r="I45" s="8">
        <f t="shared" si="4"/>
        <v>4855.9647159659935</v>
      </c>
      <c r="J45" s="8">
        <f>CSL_ColumbiaRiver!AI31</f>
        <v>357</v>
      </c>
      <c r="K45" s="8">
        <f>500</f>
        <v>500</v>
      </c>
      <c r="L45" s="8">
        <f t="shared" si="19"/>
        <v>4181.9181171803184</v>
      </c>
      <c r="M45" s="8">
        <f t="shared" si="5"/>
        <v>804.61042964663807</v>
      </c>
      <c r="N45" s="8">
        <f t="shared" si="20"/>
        <v>2798.0493815424461</v>
      </c>
      <c r="P45">
        <f t="shared" si="11"/>
        <v>2004</v>
      </c>
      <c r="Q45">
        <f t="shared" si="18"/>
        <v>2004</v>
      </c>
      <c r="S45">
        <f t="shared" si="21"/>
        <v>402.26232969371711</v>
      </c>
      <c r="T45" t="str">
        <f t="shared" si="16"/>
        <v/>
      </c>
      <c r="U45">
        <f t="shared" si="17"/>
        <v>804.52465938743421</v>
      </c>
    </row>
    <row r="46" spans="1:21" x14ac:dyDescent="0.25">
      <c r="A46" s="2">
        <v>1</v>
      </c>
      <c r="B46" s="2">
        <v>2011</v>
      </c>
      <c r="C46" s="2">
        <v>68264.34</v>
      </c>
      <c r="D46" s="2">
        <v>41795.760000000002</v>
      </c>
      <c r="E46" s="13">
        <f t="shared" si="22"/>
        <v>7.0494762231586163</v>
      </c>
      <c r="F46" s="12">
        <f t="shared" si="7"/>
        <v>2011</v>
      </c>
      <c r="G46" s="8">
        <f t="shared" si="0"/>
        <v>294638.216348844</v>
      </c>
      <c r="H46" s="8">
        <f t="shared" si="3"/>
        <v>40215.071218090685</v>
      </c>
      <c r="I46" s="8">
        <f t="shared" si="4"/>
        <v>4858.9394311559936</v>
      </c>
      <c r="J46" s="8">
        <f>CSL_ColumbiaRiver!AI32</f>
        <v>303</v>
      </c>
      <c r="K46" s="8">
        <f>500</f>
        <v>500</v>
      </c>
      <c r="L46" s="8">
        <f t="shared" si="19"/>
        <v>4181.9181171803184</v>
      </c>
      <c r="M46" s="8">
        <f t="shared" si="5"/>
        <v>804.67168779791371</v>
      </c>
      <c r="N46" s="8">
        <f t="shared" si="20"/>
        <v>2798.0493815424461</v>
      </c>
      <c r="P46">
        <f t="shared" si="11"/>
        <v>2005</v>
      </c>
      <c r="Q46">
        <f t="shared" si="18"/>
        <v>2005</v>
      </c>
      <c r="S46">
        <f t="shared" si="21"/>
        <v>402.30521482331903</v>
      </c>
      <c r="T46" t="str">
        <f t="shared" si="16"/>
        <v/>
      </c>
      <c r="U46">
        <f t="shared" si="17"/>
        <v>804.61042964663807</v>
      </c>
    </row>
    <row r="47" spans="1:21" x14ac:dyDescent="0.25">
      <c r="A47" s="2">
        <v>1</v>
      </c>
      <c r="B47" s="2">
        <v>2012</v>
      </c>
      <c r="C47" s="2">
        <v>71892.81</v>
      </c>
      <c r="D47" s="2">
        <v>45731.51</v>
      </c>
      <c r="E47" s="13">
        <f t="shared" si="22"/>
        <v>6.7852381982979786</v>
      </c>
      <c r="F47" s="12">
        <f t="shared" si="7"/>
        <v>2012</v>
      </c>
      <c r="G47" s="8">
        <f t="shared" si="0"/>
        <v>310299.18851784599</v>
      </c>
      <c r="H47" s="8">
        <f t="shared" si="3"/>
        <v>42352.632050916509</v>
      </c>
      <c r="I47" s="8">
        <f t="shared" si="4"/>
        <v>4862.0722521539928</v>
      </c>
      <c r="J47" s="8">
        <f>CSL_ColumbiaRiver!AI33</f>
        <v>242</v>
      </c>
      <c r="K47" s="8">
        <f>500</f>
        <v>500</v>
      </c>
      <c r="L47" s="8">
        <f t="shared" si="19"/>
        <v>4181.9181171803184</v>
      </c>
      <c r="M47" s="8">
        <f t="shared" si="5"/>
        <v>2</v>
      </c>
      <c r="N47" s="8">
        <f t="shared" si="20"/>
        <v>2798.0493815424461</v>
      </c>
      <c r="P47">
        <f t="shared" si="11"/>
        <v>2006</v>
      </c>
      <c r="Q47">
        <f t="shared" si="18"/>
        <v>2006</v>
      </c>
      <c r="S47">
        <f t="shared" si="21"/>
        <v>402.33584389895685</v>
      </c>
      <c r="T47" t="str">
        <f t="shared" si="16"/>
        <v/>
      </c>
      <c r="U47">
        <f t="shared" si="17"/>
        <v>804.67168779791371</v>
      </c>
    </row>
    <row r="48" spans="1:21" x14ac:dyDescent="0.25">
      <c r="A48" s="2">
        <v>1</v>
      </c>
      <c r="B48" s="2">
        <v>2013</v>
      </c>
      <c r="C48" s="2">
        <v>75714.16</v>
      </c>
      <c r="D48" s="2">
        <v>46978.42</v>
      </c>
      <c r="E48" s="13">
        <f t="shared" si="22"/>
        <v>6.9562292029884363</v>
      </c>
      <c r="F48" s="12">
        <f t="shared" si="7"/>
        <v>2013</v>
      </c>
      <c r="G48" s="8">
        <f t="shared" si="0"/>
        <v>326792.657114256</v>
      </c>
      <c r="H48" s="8">
        <f t="shared" si="3"/>
        <v>44603.820041589985</v>
      </c>
      <c r="I48" s="8">
        <f t="shared" si="4"/>
        <v>4865.3716057439924</v>
      </c>
      <c r="J48" s="8">
        <f>CSL_ColumbiaRiver!AI34</f>
        <v>738</v>
      </c>
      <c r="K48" s="8">
        <f>500</f>
        <v>500</v>
      </c>
      <c r="L48" s="8">
        <f t="shared" si="19"/>
        <v>4181.9181171803184</v>
      </c>
      <c r="M48" s="8">
        <f t="shared" si="5"/>
        <v>360</v>
      </c>
      <c r="N48" s="8">
        <f t="shared" si="20"/>
        <v>2798.0493815424461</v>
      </c>
      <c r="P48">
        <f t="shared" si="11"/>
        <v>2007</v>
      </c>
      <c r="Q48">
        <f t="shared" si="18"/>
        <v>2007</v>
      </c>
      <c r="R48">
        <v>1</v>
      </c>
      <c r="S48">
        <f t="shared" si="21"/>
        <v>402.35771795323467</v>
      </c>
      <c r="T48">
        <f t="shared" si="16"/>
        <v>161088.01776062828</v>
      </c>
      <c r="U48">
        <f t="shared" si="17"/>
        <v>804.71543590646934</v>
      </c>
    </row>
    <row r="49" spans="1:21" x14ac:dyDescent="0.25">
      <c r="A49" s="2">
        <v>1</v>
      </c>
      <c r="B49" s="2">
        <v>2014</v>
      </c>
      <c r="C49" s="2">
        <v>79738.62</v>
      </c>
      <c r="D49" s="2">
        <v>44583</v>
      </c>
      <c r="E49" s="13">
        <f t="shared" si="22"/>
        <v>7.7195966223783055</v>
      </c>
      <c r="F49" s="12">
        <f t="shared" si="7"/>
        <v>2014</v>
      </c>
      <c r="G49" s="8">
        <f t="shared" si="0"/>
        <v>344162.77621549199</v>
      </c>
      <c r="H49" s="8">
        <f t="shared" si="3"/>
        <v>46974.661765312172</v>
      </c>
      <c r="I49" s="8">
        <f t="shared" si="4"/>
        <v>4868.846324507992</v>
      </c>
      <c r="J49" s="8">
        <f>CSL_ColumbiaRiver!AI35</f>
        <v>1426</v>
      </c>
      <c r="K49" s="8">
        <f>500</f>
        <v>500</v>
      </c>
      <c r="L49" s="8">
        <f t="shared" si="19"/>
        <v>4181.9181171803184</v>
      </c>
      <c r="M49" s="8">
        <f t="shared" si="5"/>
        <v>1610</v>
      </c>
      <c r="N49" s="8">
        <f t="shared" si="20"/>
        <v>2798.0493815424461</v>
      </c>
      <c r="P49">
        <f t="shared" si="11"/>
        <v>2008</v>
      </c>
      <c r="Q49">
        <f t="shared" si="18"/>
        <v>2008</v>
      </c>
      <c r="R49">
        <v>180</v>
      </c>
      <c r="S49">
        <f t="shared" si="21"/>
        <v>402.3733387071415</v>
      </c>
      <c r="T49">
        <f t="shared" si="16"/>
        <v>49449.901767761075</v>
      </c>
      <c r="U49">
        <f t="shared" si="17"/>
        <v>804.746677414283</v>
      </c>
    </row>
    <row r="50" spans="1:21" x14ac:dyDescent="0.25">
      <c r="A50" s="2">
        <v>1</v>
      </c>
      <c r="B50" s="2">
        <v>2015</v>
      </c>
      <c r="C50" s="2">
        <v>83976.99</v>
      </c>
      <c r="D50" s="2"/>
      <c r="E50" s="1"/>
      <c r="F50" s="12">
        <f t="shared" si="7"/>
        <v>2015</v>
      </c>
      <c r="G50" s="8">
        <f t="shared" si="0"/>
        <v>362456.16009683401</v>
      </c>
      <c r="H50" s="8">
        <f t="shared" si="3"/>
        <v>49471.519588864248</v>
      </c>
      <c r="I50" s="8">
        <f t="shared" si="4"/>
        <v>4872.5057331659918</v>
      </c>
      <c r="J50" s="8">
        <f>CSL_ColumbiaRiver!AI36</f>
        <v>2058</v>
      </c>
      <c r="K50" s="8">
        <f>500</f>
        <v>500</v>
      </c>
      <c r="L50" s="8">
        <f t="shared" si="19"/>
        <v>4181.9181171803184</v>
      </c>
      <c r="M50" s="8">
        <f t="shared" si="5"/>
        <v>804.7849174919096</v>
      </c>
      <c r="N50" s="8">
        <f t="shared" si="20"/>
        <v>2798.0493815424461</v>
      </c>
      <c r="P50">
        <f t="shared" si="11"/>
        <v>2009</v>
      </c>
      <c r="Q50">
        <f t="shared" si="18"/>
        <v>2009</v>
      </c>
      <c r="R50">
        <v>805</v>
      </c>
      <c r="S50">
        <f t="shared" si="21"/>
        <v>402.38449342245355</v>
      </c>
      <c r="T50">
        <f t="shared" si="16"/>
        <v>162099.24613669436</v>
      </c>
      <c r="U50">
        <f t="shared" si="17"/>
        <v>804.76898684490709</v>
      </c>
    </row>
    <row r="51" spans="1:21" x14ac:dyDescent="0.25">
      <c r="P51">
        <f t="shared" si="11"/>
        <v>2010</v>
      </c>
      <c r="Q51">
        <f t="shared" si="18"/>
        <v>2010</v>
      </c>
      <c r="S51">
        <f t="shared" si="21"/>
        <v>402.3924587459548</v>
      </c>
      <c r="T51" t="str">
        <f t="shared" si="16"/>
        <v/>
      </c>
      <c r="U51">
        <f t="shared" si="17"/>
        <v>804.7849174919096</v>
      </c>
    </row>
    <row r="52" spans="1:21" x14ac:dyDescent="0.25">
      <c r="D52" s="14"/>
      <c r="P52">
        <f t="shared" si="11"/>
        <v>2011</v>
      </c>
      <c r="Q52">
        <f t="shared" si="18"/>
        <v>2011</v>
      </c>
      <c r="S52">
        <f t="shared" si="21"/>
        <v>402.39814649050453</v>
      </c>
      <c r="T52" t="str">
        <f t="shared" si="16"/>
        <v/>
      </c>
      <c r="U52">
        <f t="shared" si="17"/>
        <v>804.79629298100906</v>
      </c>
    </row>
    <row r="53" spans="1:21" x14ac:dyDescent="0.25">
      <c r="P53">
        <f t="shared" si="11"/>
        <v>2012</v>
      </c>
      <c r="Q53">
        <f t="shared" si="18"/>
        <v>2012</v>
      </c>
      <c r="S53">
        <f t="shared" si="21"/>
        <v>402.40220784450878</v>
      </c>
      <c r="T53" t="str">
        <f t="shared" si="16"/>
        <v/>
      </c>
      <c r="U53">
        <f t="shared" si="17"/>
        <v>804.80441568901756</v>
      </c>
    </row>
    <row r="54" spans="1:21" x14ac:dyDescent="0.25">
      <c r="P54">
        <f t="shared" si="11"/>
        <v>2013</v>
      </c>
      <c r="Q54">
        <f t="shared" si="18"/>
        <v>2013</v>
      </c>
      <c r="S54">
        <f t="shared" si="21"/>
        <v>402.40510784048513</v>
      </c>
      <c r="T54" t="str">
        <f t="shared" si="16"/>
        <v/>
      </c>
      <c r="U54">
        <f t="shared" si="17"/>
        <v>804.81021568097026</v>
      </c>
    </row>
    <row r="55" spans="1:21" x14ac:dyDescent="0.25">
      <c r="P55">
        <f t="shared" si="11"/>
        <v>2014</v>
      </c>
      <c r="Q55">
        <f t="shared" si="18"/>
        <v>2014</v>
      </c>
      <c r="S55">
        <f t="shared" si="21"/>
        <v>402.4071785583759</v>
      </c>
      <c r="T55" t="str">
        <f t="shared" si="16"/>
        <v/>
      </c>
      <c r="U55">
        <f t="shared" si="17"/>
        <v>804.81435711675181</v>
      </c>
    </row>
    <row r="56" spans="1:21" x14ac:dyDescent="0.25">
      <c r="P56">
        <f t="shared" si="11"/>
        <v>2015</v>
      </c>
      <c r="Q56">
        <f t="shared" si="18"/>
        <v>2015</v>
      </c>
      <c r="S56">
        <f t="shared" si="21"/>
        <v>402.40865712986562</v>
      </c>
      <c r="T56" t="str">
        <f t="shared" si="16"/>
        <v/>
      </c>
      <c r="U56">
        <f t="shared" si="17"/>
        <v>804.81731425973123</v>
      </c>
    </row>
  </sheetData>
  <mergeCells count="1">
    <mergeCell ref="D4:E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K1" sqref="K1:O48"/>
    </sheetView>
  </sheetViews>
  <sheetFormatPr defaultRowHeight="15" x14ac:dyDescent="0.25"/>
  <cols>
    <col min="12" max="12" width="26.85546875" customWidth="1"/>
    <col min="13" max="13" width="16" customWidth="1"/>
    <col min="14" max="15" width="6.5703125" bestFit="1" customWidth="1"/>
  </cols>
  <sheetData>
    <row r="1" spans="1:15" x14ac:dyDescent="0.25">
      <c r="K1" s="9"/>
      <c r="L1" s="9" t="s">
        <v>41</v>
      </c>
      <c r="M1" s="9" t="s">
        <v>12</v>
      </c>
      <c r="N1" s="9" t="s">
        <v>11</v>
      </c>
      <c r="O1" s="9" t="s">
        <v>10</v>
      </c>
    </row>
    <row r="2" spans="1:15" ht="43.5" customHeight="1" x14ac:dyDescent="0.25">
      <c r="A2" t="s">
        <v>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K2" s="9" t="s">
        <v>1</v>
      </c>
      <c r="L2" s="9" t="s">
        <v>93</v>
      </c>
      <c r="M2" s="9" t="s">
        <v>7</v>
      </c>
      <c r="N2" s="9" t="s">
        <v>8</v>
      </c>
      <c r="O2" s="9" t="s">
        <v>9</v>
      </c>
    </row>
    <row r="3" spans="1:15" x14ac:dyDescent="0.25">
      <c r="A3">
        <v>1970</v>
      </c>
      <c r="D3">
        <v>59.111370000000001</v>
      </c>
      <c r="E3">
        <v>22.174440000000001</v>
      </c>
      <c r="F3">
        <v>108</v>
      </c>
      <c r="G3">
        <v>80</v>
      </c>
      <c r="K3" s="9">
        <v>1970</v>
      </c>
      <c r="L3" s="10">
        <v>59.111370000000001</v>
      </c>
      <c r="M3" s="10">
        <v>22.174440000000001</v>
      </c>
      <c r="N3" s="10">
        <v>108</v>
      </c>
      <c r="O3" s="10">
        <v>80</v>
      </c>
    </row>
    <row r="4" spans="1:15" x14ac:dyDescent="0.25">
      <c r="A4">
        <v>1971</v>
      </c>
      <c r="D4">
        <v>60.547939999999997</v>
      </c>
      <c r="E4">
        <v>23.098749999999999</v>
      </c>
      <c r="F4">
        <v>113</v>
      </c>
      <c r="G4">
        <v>67</v>
      </c>
      <c r="K4" s="9">
        <v>1971</v>
      </c>
      <c r="L4" s="10">
        <v>60.547939999999997</v>
      </c>
      <c r="M4" s="10">
        <v>23.098749999999999</v>
      </c>
      <c r="N4" s="10">
        <v>113</v>
      </c>
      <c r="O4" s="10">
        <v>67</v>
      </c>
    </row>
    <row r="5" spans="1:15" x14ac:dyDescent="0.25">
      <c r="A5">
        <v>1972</v>
      </c>
      <c r="D5">
        <v>62.019419999999997</v>
      </c>
      <c r="E5">
        <v>24.061579999999999</v>
      </c>
      <c r="F5">
        <v>115</v>
      </c>
      <c r="G5">
        <v>69</v>
      </c>
      <c r="K5" s="9">
        <v>1972</v>
      </c>
      <c r="L5" s="10">
        <v>62.019419999999997</v>
      </c>
      <c r="M5" s="10">
        <v>24.061579999999999</v>
      </c>
      <c r="N5" s="10">
        <v>115</v>
      </c>
      <c r="O5" s="10">
        <v>69</v>
      </c>
    </row>
    <row r="6" spans="1:15" x14ac:dyDescent="0.25">
      <c r="A6">
        <v>1973</v>
      </c>
      <c r="D6">
        <v>63.52666</v>
      </c>
      <c r="E6">
        <v>25.064550000000001</v>
      </c>
      <c r="F6">
        <v>121</v>
      </c>
      <c r="G6">
        <v>67</v>
      </c>
      <c r="K6" s="9">
        <v>1973</v>
      </c>
      <c r="L6" s="10">
        <v>63.52666</v>
      </c>
      <c r="M6" s="10">
        <v>25.064550000000001</v>
      </c>
      <c r="N6" s="10">
        <v>121</v>
      </c>
      <c r="O6" s="10">
        <v>67</v>
      </c>
    </row>
    <row r="7" spans="1:15" x14ac:dyDescent="0.25">
      <c r="A7">
        <v>1974</v>
      </c>
      <c r="D7">
        <v>65.070539999999994</v>
      </c>
      <c r="E7">
        <v>26.10933</v>
      </c>
      <c r="F7">
        <v>123</v>
      </c>
      <c r="G7">
        <v>69</v>
      </c>
      <c r="K7" s="9">
        <v>1974</v>
      </c>
      <c r="L7" s="10">
        <v>65.070539999999994</v>
      </c>
      <c r="M7" s="10">
        <v>26.10933</v>
      </c>
      <c r="N7" s="10">
        <v>123</v>
      </c>
      <c r="O7" s="10">
        <v>69</v>
      </c>
    </row>
    <row r="8" spans="1:15" x14ac:dyDescent="0.25">
      <c r="A8">
        <v>1975</v>
      </c>
      <c r="D8">
        <v>66.651929999999993</v>
      </c>
      <c r="E8">
        <v>27.197659999999999</v>
      </c>
      <c r="F8">
        <v>132</v>
      </c>
      <c r="G8">
        <v>71</v>
      </c>
      <c r="K8" s="9">
        <v>1975</v>
      </c>
      <c r="L8" s="10">
        <v>66.651929999999993</v>
      </c>
      <c r="M8" s="10">
        <v>27.197659999999999</v>
      </c>
      <c r="N8" s="10">
        <v>132</v>
      </c>
      <c r="O8" s="10">
        <v>71</v>
      </c>
    </row>
    <row r="9" spans="1:15" x14ac:dyDescent="0.25">
      <c r="A9">
        <v>1976</v>
      </c>
      <c r="D9">
        <v>68.27176</v>
      </c>
      <c r="E9">
        <v>28.33135</v>
      </c>
      <c r="F9">
        <v>131</v>
      </c>
      <c r="G9">
        <v>70</v>
      </c>
      <c r="K9" s="9">
        <v>1976</v>
      </c>
      <c r="L9" s="10">
        <v>68.27176</v>
      </c>
      <c r="M9" s="10">
        <v>28.33135</v>
      </c>
      <c r="N9" s="10">
        <v>131</v>
      </c>
      <c r="O9" s="10">
        <v>70</v>
      </c>
    </row>
    <row r="10" spans="1:15" x14ac:dyDescent="0.25">
      <c r="A10">
        <v>1977</v>
      </c>
      <c r="D10">
        <v>69.930959999999999</v>
      </c>
      <c r="E10">
        <v>29.5123</v>
      </c>
      <c r="F10">
        <v>134</v>
      </c>
      <c r="G10">
        <v>79</v>
      </c>
      <c r="K10" s="9">
        <v>1977</v>
      </c>
      <c r="L10" s="10">
        <v>69.930959999999999</v>
      </c>
      <c r="M10" s="10">
        <v>29.5123</v>
      </c>
      <c r="N10" s="10">
        <v>134</v>
      </c>
      <c r="O10" s="10">
        <v>79</v>
      </c>
    </row>
    <row r="11" spans="1:15" x14ac:dyDescent="0.25">
      <c r="A11">
        <v>1978</v>
      </c>
      <c r="D11">
        <v>71.630470000000003</v>
      </c>
      <c r="E11">
        <v>30.742470000000001</v>
      </c>
      <c r="F11">
        <v>137</v>
      </c>
      <c r="G11">
        <v>79</v>
      </c>
      <c r="K11" s="9">
        <v>1978</v>
      </c>
      <c r="L11" s="10">
        <v>71.630470000000003</v>
      </c>
      <c r="M11" s="10">
        <v>30.742470000000001</v>
      </c>
      <c r="N11" s="10">
        <v>137</v>
      </c>
      <c r="O11" s="10">
        <v>79</v>
      </c>
    </row>
    <row r="12" spans="1:15" x14ac:dyDescent="0.25">
      <c r="A12">
        <v>1979</v>
      </c>
      <c r="D12">
        <v>73.371290000000002</v>
      </c>
      <c r="E12">
        <v>32.023919999999997</v>
      </c>
      <c r="F12">
        <v>140</v>
      </c>
      <c r="G12">
        <v>81</v>
      </c>
      <c r="K12" s="9">
        <v>1979</v>
      </c>
      <c r="L12" s="10">
        <v>73.371290000000002</v>
      </c>
      <c r="M12" s="10">
        <v>32.023919999999997</v>
      </c>
      <c r="N12" s="10">
        <v>140</v>
      </c>
      <c r="O12" s="10">
        <v>81</v>
      </c>
    </row>
    <row r="13" spans="1:15" x14ac:dyDescent="0.25">
      <c r="A13">
        <v>1980</v>
      </c>
      <c r="D13">
        <v>75.154420000000002</v>
      </c>
      <c r="E13">
        <v>33.358789999999999</v>
      </c>
      <c r="F13">
        <v>149</v>
      </c>
      <c r="G13">
        <v>83</v>
      </c>
      <c r="K13" s="9">
        <v>1980</v>
      </c>
      <c r="L13" s="10">
        <v>75.154420000000002</v>
      </c>
      <c r="M13" s="10">
        <v>33.358789999999999</v>
      </c>
      <c r="N13" s="10">
        <v>149</v>
      </c>
      <c r="O13" s="10">
        <v>83</v>
      </c>
    </row>
    <row r="14" spans="1:15" x14ac:dyDescent="0.25">
      <c r="A14">
        <v>1981</v>
      </c>
      <c r="D14">
        <v>76.980879999999999</v>
      </c>
      <c r="E14">
        <v>34.749299999999998</v>
      </c>
      <c r="F14">
        <v>150</v>
      </c>
      <c r="G14">
        <v>81</v>
      </c>
      <c r="K14" s="9">
        <v>1981</v>
      </c>
      <c r="L14" s="10">
        <v>76.980879999999999</v>
      </c>
      <c r="M14" s="10">
        <v>34.749299999999998</v>
      </c>
      <c r="N14" s="10">
        <v>150</v>
      </c>
      <c r="O14" s="10">
        <v>81</v>
      </c>
    </row>
    <row r="15" spans="1:15" x14ac:dyDescent="0.25">
      <c r="A15">
        <v>1982</v>
      </c>
      <c r="D15">
        <v>78.851730000000003</v>
      </c>
      <c r="E15">
        <v>36.197769999999998</v>
      </c>
      <c r="F15">
        <v>151</v>
      </c>
      <c r="G15">
        <v>78</v>
      </c>
      <c r="K15" s="9">
        <v>1982</v>
      </c>
      <c r="L15" s="10">
        <v>78.851730000000003</v>
      </c>
      <c r="M15" s="10">
        <v>36.197769999999998</v>
      </c>
      <c r="N15" s="10">
        <v>151</v>
      </c>
      <c r="O15" s="10">
        <v>78</v>
      </c>
    </row>
    <row r="16" spans="1:15" x14ac:dyDescent="0.25">
      <c r="A16">
        <v>1983</v>
      </c>
      <c r="D16">
        <v>80.768050000000002</v>
      </c>
      <c r="E16">
        <v>37.706620000000001</v>
      </c>
      <c r="F16">
        <v>153</v>
      </c>
      <c r="G16">
        <v>76</v>
      </c>
      <c r="K16" s="9">
        <v>1983</v>
      </c>
      <c r="L16" s="10">
        <v>80.768050000000002</v>
      </c>
      <c r="M16" s="10">
        <v>37.706620000000001</v>
      </c>
      <c r="N16" s="10">
        <v>153</v>
      </c>
      <c r="O16" s="10">
        <v>76</v>
      </c>
    </row>
    <row r="17" spans="1:15" x14ac:dyDescent="0.25">
      <c r="A17">
        <v>1984</v>
      </c>
      <c r="D17">
        <v>83</v>
      </c>
      <c r="E17">
        <v>39</v>
      </c>
      <c r="F17">
        <v>153</v>
      </c>
      <c r="G17">
        <v>74</v>
      </c>
      <c r="K17" s="9">
        <v>1984</v>
      </c>
      <c r="L17" s="10">
        <v>83</v>
      </c>
      <c r="M17" s="10">
        <v>39</v>
      </c>
      <c r="N17" s="10">
        <v>153</v>
      </c>
      <c r="O17" s="10">
        <v>74</v>
      </c>
    </row>
    <row r="18" spans="1:15" x14ac:dyDescent="0.25">
      <c r="A18">
        <v>1985</v>
      </c>
      <c r="D18">
        <v>84</v>
      </c>
      <c r="E18">
        <v>42</v>
      </c>
      <c r="F18">
        <v>164</v>
      </c>
      <c r="G18">
        <v>77</v>
      </c>
      <c r="K18" s="9">
        <v>1985</v>
      </c>
      <c r="L18" s="10">
        <v>84</v>
      </c>
      <c r="M18" s="10">
        <v>42</v>
      </c>
      <c r="N18" s="10">
        <v>164</v>
      </c>
      <c r="O18" s="10">
        <v>77</v>
      </c>
    </row>
    <row r="19" spans="1:15" x14ac:dyDescent="0.25">
      <c r="A19">
        <v>1986</v>
      </c>
      <c r="D19">
        <v>80</v>
      </c>
      <c r="E19">
        <v>43</v>
      </c>
      <c r="F19">
        <v>170</v>
      </c>
      <c r="G19">
        <v>81</v>
      </c>
      <c r="K19" s="9">
        <v>1986</v>
      </c>
      <c r="L19" s="10">
        <v>80</v>
      </c>
      <c r="M19" s="10">
        <v>43</v>
      </c>
      <c r="N19" s="10">
        <v>170</v>
      </c>
      <c r="O19" s="10">
        <v>81</v>
      </c>
    </row>
    <row r="20" spans="1:15" x14ac:dyDescent="0.25">
      <c r="A20">
        <v>1987</v>
      </c>
      <c r="D20">
        <v>82</v>
      </c>
      <c r="E20">
        <v>45</v>
      </c>
      <c r="F20">
        <v>179</v>
      </c>
      <c r="G20">
        <v>84</v>
      </c>
      <c r="K20" s="9">
        <v>1987</v>
      </c>
      <c r="L20" s="10">
        <v>82</v>
      </c>
      <c r="M20" s="10">
        <v>45</v>
      </c>
      <c r="N20" s="10">
        <v>179</v>
      </c>
      <c r="O20" s="10">
        <v>84</v>
      </c>
    </row>
    <row r="21" spans="1:15" x14ac:dyDescent="0.25">
      <c r="A21">
        <v>1988</v>
      </c>
      <c r="D21">
        <v>83</v>
      </c>
      <c r="E21">
        <v>45</v>
      </c>
      <c r="F21">
        <v>182</v>
      </c>
      <c r="G21">
        <v>85</v>
      </c>
      <c r="K21" s="9">
        <v>1988</v>
      </c>
      <c r="L21" s="10">
        <v>83</v>
      </c>
      <c r="M21" s="10">
        <v>45</v>
      </c>
      <c r="N21" s="10">
        <v>182</v>
      </c>
      <c r="O21" s="10">
        <v>85</v>
      </c>
    </row>
    <row r="22" spans="1:15" x14ac:dyDescent="0.25">
      <c r="A22">
        <v>1989</v>
      </c>
      <c r="D22">
        <v>87</v>
      </c>
      <c r="E22">
        <v>49</v>
      </c>
      <c r="F22">
        <v>185</v>
      </c>
      <c r="G22">
        <v>85</v>
      </c>
      <c r="K22" s="9">
        <v>1989</v>
      </c>
      <c r="L22" s="10">
        <v>87</v>
      </c>
      <c r="M22" s="10">
        <v>49</v>
      </c>
      <c r="N22" s="10">
        <v>185</v>
      </c>
      <c r="O22" s="10">
        <v>85</v>
      </c>
    </row>
    <row r="23" spans="1:15" x14ac:dyDescent="0.25">
      <c r="A23">
        <v>1990</v>
      </c>
      <c r="D23">
        <v>88</v>
      </c>
      <c r="E23">
        <v>52</v>
      </c>
      <c r="F23">
        <v>194</v>
      </c>
      <c r="G23">
        <v>89</v>
      </c>
      <c r="K23" s="9">
        <v>1990</v>
      </c>
      <c r="L23" s="10">
        <v>88</v>
      </c>
      <c r="M23" s="10">
        <v>52</v>
      </c>
      <c r="N23" s="10">
        <v>194</v>
      </c>
      <c r="O23" s="10">
        <v>89</v>
      </c>
    </row>
    <row r="24" spans="1:15" x14ac:dyDescent="0.25">
      <c r="A24">
        <v>1991</v>
      </c>
      <c r="D24">
        <v>91</v>
      </c>
      <c r="E24">
        <v>51</v>
      </c>
      <c r="F24">
        <v>198</v>
      </c>
      <c r="G24">
        <v>92</v>
      </c>
      <c r="K24" s="9">
        <v>1991</v>
      </c>
      <c r="L24" s="10">
        <v>91</v>
      </c>
      <c r="M24" s="10">
        <v>51</v>
      </c>
      <c r="N24" s="10">
        <v>198</v>
      </c>
      <c r="O24" s="10">
        <v>92</v>
      </c>
    </row>
    <row r="25" spans="1:15" x14ac:dyDescent="0.25">
      <c r="A25">
        <v>1992</v>
      </c>
      <c r="D25">
        <v>95</v>
      </c>
      <c r="E25">
        <v>57</v>
      </c>
      <c r="F25">
        <v>204</v>
      </c>
      <c r="G25">
        <v>91</v>
      </c>
      <c r="K25" s="9">
        <v>1992</v>
      </c>
      <c r="L25" s="10">
        <v>95</v>
      </c>
      <c r="M25" s="10">
        <v>57</v>
      </c>
      <c r="N25" s="10">
        <v>204</v>
      </c>
      <c r="O25" s="10">
        <v>91</v>
      </c>
    </row>
    <row r="26" spans="1:15" x14ac:dyDescent="0.25">
      <c r="A26">
        <v>1993</v>
      </c>
      <c r="D26">
        <v>100</v>
      </c>
      <c r="E26">
        <v>60</v>
      </c>
      <c r="F26">
        <v>200</v>
      </c>
      <c r="G26">
        <v>97</v>
      </c>
      <c r="K26" s="9">
        <v>1993</v>
      </c>
      <c r="L26" s="10">
        <v>100</v>
      </c>
      <c r="M26" s="10">
        <v>60</v>
      </c>
      <c r="N26" s="10">
        <v>200</v>
      </c>
      <c r="O26" s="10">
        <v>97</v>
      </c>
    </row>
    <row r="27" spans="1:15" x14ac:dyDescent="0.25">
      <c r="A27">
        <v>1994</v>
      </c>
      <c r="D27">
        <v>103</v>
      </c>
      <c r="E27">
        <v>61</v>
      </c>
      <c r="F27">
        <v>205</v>
      </c>
      <c r="G27">
        <v>96</v>
      </c>
      <c r="K27" s="9">
        <v>1994</v>
      </c>
      <c r="L27" s="10">
        <v>103</v>
      </c>
      <c r="M27" s="10">
        <v>61</v>
      </c>
      <c r="N27" s="10">
        <v>205</v>
      </c>
      <c r="O27" s="10">
        <v>96</v>
      </c>
    </row>
    <row r="28" spans="1:15" x14ac:dyDescent="0.25">
      <c r="A28">
        <v>1995</v>
      </c>
      <c r="D28">
        <v>105</v>
      </c>
      <c r="E28">
        <v>64</v>
      </c>
      <c r="F28">
        <v>208</v>
      </c>
      <c r="G28">
        <v>98</v>
      </c>
      <c r="K28" s="9">
        <v>1995</v>
      </c>
      <c r="L28" s="10">
        <v>105</v>
      </c>
      <c r="M28" s="10">
        <v>64</v>
      </c>
      <c r="N28" s="10">
        <v>208</v>
      </c>
      <c r="O28" s="10">
        <v>98</v>
      </c>
    </row>
    <row r="29" spans="1:15" x14ac:dyDescent="0.25">
      <c r="A29">
        <v>1996</v>
      </c>
      <c r="D29">
        <v>108</v>
      </c>
      <c r="E29">
        <v>70</v>
      </c>
      <c r="F29">
        <v>214</v>
      </c>
      <c r="G29">
        <v>97</v>
      </c>
      <c r="K29" s="9">
        <v>1996</v>
      </c>
      <c r="L29" s="10">
        <v>108</v>
      </c>
      <c r="M29" s="10">
        <v>70</v>
      </c>
      <c r="N29" s="10">
        <v>214</v>
      </c>
      <c r="O29" s="10">
        <v>97</v>
      </c>
    </row>
    <row r="30" spans="1:15" x14ac:dyDescent="0.25">
      <c r="A30">
        <v>1997</v>
      </c>
      <c r="D30">
        <v>109</v>
      </c>
      <c r="E30">
        <v>76</v>
      </c>
      <c r="F30">
        <v>218</v>
      </c>
      <c r="G30">
        <v>92</v>
      </c>
      <c r="K30" s="9">
        <v>1997</v>
      </c>
      <c r="L30" s="10">
        <v>109</v>
      </c>
      <c r="M30" s="10">
        <v>76</v>
      </c>
      <c r="N30" s="10">
        <v>218</v>
      </c>
      <c r="O30" s="10">
        <v>92</v>
      </c>
    </row>
    <row r="31" spans="1:15" x14ac:dyDescent="0.25">
      <c r="A31">
        <v>1998</v>
      </c>
      <c r="D31">
        <v>115</v>
      </c>
      <c r="E31">
        <v>77</v>
      </c>
      <c r="F31">
        <v>216</v>
      </c>
      <c r="G31">
        <v>89</v>
      </c>
      <c r="K31" s="9">
        <v>1998</v>
      </c>
      <c r="L31" s="10">
        <v>115</v>
      </c>
      <c r="M31" s="10">
        <v>77</v>
      </c>
      <c r="N31" s="10">
        <v>216</v>
      </c>
      <c r="O31" s="10">
        <v>89</v>
      </c>
    </row>
    <row r="32" spans="1:15" x14ac:dyDescent="0.25">
      <c r="A32">
        <v>1999</v>
      </c>
      <c r="B32">
        <v>68</v>
      </c>
      <c r="C32">
        <v>341</v>
      </c>
      <c r="D32">
        <v>107</v>
      </c>
      <c r="E32">
        <v>80</v>
      </c>
      <c r="F32">
        <v>216</v>
      </c>
      <c r="G32">
        <v>85</v>
      </c>
      <c r="K32" s="9">
        <v>1999</v>
      </c>
      <c r="L32" s="10">
        <v>107</v>
      </c>
      <c r="M32" s="10">
        <v>80</v>
      </c>
      <c r="N32" s="10">
        <v>216</v>
      </c>
      <c r="O32" s="10">
        <v>85</v>
      </c>
    </row>
    <row r="33" spans="1:15" x14ac:dyDescent="0.25">
      <c r="A33">
        <v>2000</v>
      </c>
      <c r="D33">
        <v>111</v>
      </c>
      <c r="E33">
        <v>82</v>
      </c>
      <c r="F33">
        <v>208</v>
      </c>
      <c r="G33">
        <v>83</v>
      </c>
      <c r="K33" s="9">
        <v>2000</v>
      </c>
      <c r="L33" s="10">
        <v>111</v>
      </c>
      <c r="M33" s="10">
        <v>82</v>
      </c>
      <c r="N33" s="10">
        <v>208</v>
      </c>
      <c r="O33" s="10">
        <v>83</v>
      </c>
    </row>
    <row r="34" spans="1:15" x14ac:dyDescent="0.25">
      <c r="A34">
        <v>2001</v>
      </c>
      <c r="D34">
        <v>121</v>
      </c>
      <c r="E34">
        <v>86</v>
      </c>
      <c r="F34">
        <v>200</v>
      </c>
      <c r="G34">
        <v>80</v>
      </c>
      <c r="K34" s="9">
        <v>2001</v>
      </c>
      <c r="L34" s="10">
        <v>121</v>
      </c>
      <c r="M34" s="10">
        <v>86</v>
      </c>
      <c r="N34" s="10">
        <v>200</v>
      </c>
      <c r="O34" s="10">
        <v>80</v>
      </c>
    </row>
    <row r="35" spans="1:15" x14ac:dyDescent="0.25">
      <c r="A35">
        <v>2002</v>
      </c>
      <c r="B35">
        <v>505</v>
      </c>
      <c r="C35">
        <v>501</v>
      </c>
      <c r="D35">
        <v>125</v>
      </c>
      <c r="E35">
        <v>91</v>
      </c>
      <c r="F35">
        <v>203</v>
      </c>
      <c r="G35">
        <v>82</v>
      </c>
      <c r="K35" s="9">
        <v>2002</v>
      </c>
      <c r="L35" s="10">
        <v>125</v>
      </c>
      <c r="M35" s="10">
        <v>91</v>
      </c>
      <c r="N35" s="10">
        <v>203</v>
      </c>
      <c r="O35" s="10">
        <v>82</v>
      </c>
    </row>
    <row r="36" spans="1:15" x14ac:dyDescent="0.25">
      <c r="A36">
        <v>2003</v>
      </c>
      <c r="D36">
        <v>129</v>
      </c>
      <c r="E36">
        <v>98</v>
      </c>
      <c r="F36">
        <v>204</v>
      </c>
      <c r="G36">
        <v>82</v>
      </c>
      <c r="K36" s="9">
        <v>2003</v>
      </c>
      <c r="L36" s="10">
        <v>129</v>
      </c>
      <c r="M36" s="10">
        <v>98</v>
      </c>
      <c r="N36" s="10">
        <v>204</v>
      </c>
      <c r="O36" s="10">
        <v>82</v>
      </c>
    </row>
    <row r="37" spans="1:15" x14ac:dyDescent="0.25">
      <c r="A37">
        <v>2004</v>
      </c>
      <c r="D37">
        <v>138</v>
      </c>
      <c r="E37">
        <v>100</v>
      </c>
      <c r="F37">
        <v>220</v>
      </c>
      <c r="G37">
        <v>87</v>
      </c>
      <c r="K37" s="9">
        <v>2004</v>
      </c>
      <c r="L37" s="10">
        <v>138</v>
      </c>
      <c r="M37" s="10">
        <v>100</v>
      </c>
      <c r="N37" s="10">
        <v>220</v>
      </c>
      <c r="O37" s="10">
        <v>87</v>
      </c>
    </row>
    <row r="38" spans="1:15" x14ac:dyDescent="0.25">
      <c r="A38">
        <v>2005</v>
      </c>
      <c r="D38">
        <v>138</v>
      </c>
      <c r="E38">
        <v>104</v>
      </c>
      <c r="F38">
        <v>230</v>
      </c>
      <c r="G38">
        <v>87</v>
      </c>
      <c r="K38" s="9">
        <v>2005</v>
      </c>
      <c r="L38" s="10">
        <v>138</v>
      </c>
      <c r="M38" s="10">
        <v>104</v>
      </c>
      <c r="N38" s="10">
        <v>230</v>
      </c>
      <c r="O38" s="10">
        <v>87</v>
      </c>
    </row>
    <row r="39" spans="1:15" x14ac:dyDescent="0.25">
      <c r="A39">
        <v>2006</v>
      </c>
      <c r="D39">
        <v>141</v>
      </c>
      <c r="E39">
        <v>104.86342</v>
      </c>
      <c r="F39">
        <v>239</v>
      </c>
      <c r="G39">
        <v>84</v>
      </c>
      <c r="K39" s="9">
        <v>2006</v>
      </c>
      <c r="L39" s="10">
        <v>141</v>
      </c>
      <c r="M39" s="10">
        <v>104.86342</v>
      </c>
      <c r="N39" s="10">
        <v>239</v>
      </c>
      <c r="O39" s="10">
        <v>84</v>
      </c>
    </row>
    <row r="40" spans="1:15" x14ac:dyDescent="0.25">
      <c r="A40">
        <v>2007</v>
      </c>
      <c r="D40">
        <v>140</v>
      </c>
      <c r="E40">
        <v>106.49876</v>
      </c>
      <c r="F40">
        <v>240</v>
      </c>
      <c r="G40">
        <v>87</v>
      </c>
      <c r="K40" s="9">
        <v>2007</v>
      </c>
      <c r="L40" s="10">
        <v>140</v>
      </c>
      <c r="M40" s="10">
        <v>106.49876</v>
      </c>
      <c r="N40" s="10">
        <v>240</v>
      </c>
      <c r="O40" s="10">
        <v>87</v>
      </c>
    </row>
    <row r="41" spans="1:15" x14ac:dyDescent="0.25">
      <c r="A41">
        <v>2008</v>
      </c>
      <c r="D41">
        <v>141</v>
      </c>
      <c r="E41">
        <v>108.15961</v>
      </c>
      <c r="F41">
        <v>250</v>
      </c>
      <c r="G41">
        <v>83</v>
      </c>
      <c r="K41" s="9">
        <v>2008</v>
      </c>
      <c r="L41" s="10">
        <v>141</v>
      </c>
      <c r="M41" s="10">
        <v>108.15961</v>
      </c>
      <c r="N41" s="10">
        <v>250</v>
      </c>
      <c r="O41" s="10">
        <v>83</v>
      </c>
    </row>
    <row r="42" spans="1:15" x14ac:dyDescent="0.25">
      <c r="A42">
        <v>2009</v>
      </c>
      <c r="B42">
        <v>1475</v>
      </c>
      <c r="C42">
        <v>751</v>
      </c>
      <c r="D42">
        <v>148</v>
      </c>
      <c r="E42">
        <v>109</v>
      </c>
      <c r="F42">
        <v>256</v>
      </c>
      <c r="G42">
        <v>86</v>
      </c>
      <c r="K42" s="9">
        <v>2009</v>
      </c>
      <c r="L42" s="10">
        <v>148</v>
      </c>
      <c r="M42" s="10">
        <v>109</v>
      </c>
      <c r="N42" s="10">
        <v>256</v>
      </c>
      <c r="O42" s="10">
        <v>86</v>
      </c>
    </row>
    <row r="43" spans="1:15" x14ac:dyDescent="0.25">
      <c r="A43">
        <v>2010</v>
      </c>
      <c r="D43">
        <v>152</v>
      </c>
      <c r="E43">
        <v>113.56347</v>
      </c>
      <c r="F43">
        <v>261</v>
      </c>
      <c r="G43">
        <v>86</v>
      </c>
      <c r="K43" s="9">
        <v>2010</v>
      </c>
      <c r="L43" s="10">
        <v>152</v>
      </c>
      <c r="M43" s="10">
        <v>113.56347</v>
      </c>
      <c r="N43" s="10">
        <v>261</v>
      </c>
      <c r="O43" s="10">
        <v>86</v>
      </c>
    </row>
    <row r="44" spans="1:15" x14ac:dyDescent="0.25">
      <c r="A44">
        <v>2011</v>
      </c>
      <c r="D44">
        <v>155.49077</v>
      </c>
      <c r="E44">
        <v>117.40638</v>
      </c>
      <c r="F44">
        <v>260</v>
      </c>
      <c r="G44">
        <v>88</v>
      </c>
      <c r="K44" s="9">
        <v>2011</v>
      </c>
      <c r="L44" s="10">
        <v>155.49077</v>
      </c>
      <c r="M44" s="10">
        <v>117.40638</v>
      </c>
      <c r="N44" s="10">
        <v>260</v>
      </c>
      <c r="O44" s="10">
        <v>88</v>
      </c>
    </row>
    <row r="45" spans="1:15" x14ac:dyDescent="0.25">
      <c r="A45">
        <v>2012</v>
      </c>
      <c r="D45">
        <v>159.20412999999999</v>
      </c>
      <c r="E45">
        <v>121</v>
      </c>
      <c r="F45">
        <v>255</v>
      </c>
      <c r="G45">
        <v>84</v>
      </c>
      <c r="K45" s="9">
        <v>2012</v>
      </c>
      <c r="L45" s="10">
        <v>159.20412999999999</v>
      </c>
      <c r="M45" s="10">
        <v>121</v>
      </c>
      <c r="N45" s="10">
        <v>255</v>
      </c>
      <c r="O45" s="10">
        <v>84</v>
      </c>
    </row>
    <row r="46" spans="1:15" x14ac:dyDescent="0.25">
      <c r="A46">
        <v>2013</v>
      </c>
      <c r="D46">
        <v>163.00617</v>
      </c>
      <c r="E46">
        <v>126.39412</v>
      </c>
      <c r="F46">
        <v>253</v>
      </c>
      <c r="G46">
        <v>82</v>
      </c>
      <c r="K46" s="9">
        <v>2013</v>
      </c>
      <c r="L46" s="10">
        <v>163.00617</v>
      </c>
      <c r="M46" s="10">
        <v>126.39412</v>
      </c>
      <c r="N46" s="10">
        <v>253</v>
      </c>
      <c r="O46" s="10">
        <v>82</v>
      </c>
    </row>
    <row r="47" spans="1:15" x14ac:dyDescent="0.25">
      <c r="A47">
        <v>2014</v>
      </c>
      <c r="D47">
        <v>166.89901</v>
      </c>
      <c r="E47">
        <v>131.61610999999999</v>
      </c>
      <c r="F47">
        <v>257</v>
      </c>
      <c r="G47">
        <v>78</v>
      </c>
      <c r="K47" s="9">
        <v>2014</v>
      </c>
      <c r="L47" s="10">
        <v>166.89901</v>
      </c>
      <c r="M47" s="10">
        <v>131.61610999999999</v>
      </c>
      <c r="N47" s="10">
        <v>257</v>
      </c>
      <c r="O47" s="10">
        <v>78</v>
      </c>
    </row>
    <row r="48" spans="1:15" x14ac:dyDescent="0.25">
      <c r="A48">
        <v>2015</v>
      </c>
      <c r="D48">
        <v>170.88480999999999</v>
      </c>
      <c r="E48">
        <v>137.05384000000001</v>
      </c>
      <c r="F48">
        <v>261</v>
      </c>
      <c r="G48">
        <v>79</v>
      </c>
      <c r="K48" s="9">
        <v>2015</v>
      </c>
      <c r="L48" s="10">
        <v>170.88480999999999</v>
      </c>
      <c r="M48" s="10">
        <v>137.05384000000001</v>
      </c>
      <c r="N48" s="10">
        <v>261</v>
      </c>
      <c r="O48" s="10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59"/>
  <sheetViews>
    <sheetView workbookViewId="0"/>
  </sheetViews>
  <sheetFormatPr defaultRowHeight="15" x14ac:dyDescent="0.25"/>
  <cols>
    <col min="13" max="13" width="20.140625" bestFit="1" customWidth="1"/>
    <col min="14" max="14" width="18.28515625" bestFit="1" customWidth="1"/>
    <col min="15" max="15" width="15.42578125" bestFit="1" customWidth="1"/>
    <col min="16" max="16" width="15.5703125" bestFit="1" customWidth="1"/>
    <col min="17" max="17" width="14.42578125" bestFit="1" customWidth="1"/>
    <col min="18" max="18" width="21" bestFit="1" customWidth="1"/>
    <col min="19" max="19" width="19.42578125" bestFit="1" customWidth="1"/>
    <col min="20" max="21" width="14.28515625" bestFit="1" customWidth="1"/>
    <col min="23" max="23" width="17.7109375" bestFit="1" customWidth="1"/>
    <col min="24" max="24" width="9.42578125" bestFit="1" customWidth="1"/>
    <col min="35" max="35" width="13.140625" bestFit="1" customWidth="1"/>
    <col min="36" max="36" width="12.5703125" bestFit="1" customWidth="1"/>
  </cols>
  <sheetData>
    <row r="3" spans="1:64" x14ac:dyDescent="0.25">
      <c r="AM3" t="s">
        <v>81</v>
      </c>
      <c r="AN3">
        <v>209.6503565794639</v>
      </c>
      <c r="AO3">
        <f>SUM(AO8:AO52)</f>
        <v>2929862.6125456472</v>
      </c>
      <c r="AZ3" t="s">
        <v>1</v>
      </c>
      <c r="BA3" t="s">
        <v>82</v>
      </c>
      <c r="BB3" t="s">
        <v>83</v>
      </c>
      <c r="BC3" t="s">
        <v>84</v>
      </c>
      <c r="BD3" t="s">
        <v>85</v>
      </c>
      <c r="BE3" t="s">
        <v>86</v>
      </c>
      <c r="BG3" t="s">
        <v>87</v>
      </c>
      <c r="BH3" t="s">
        <v>88</v>
      </c>
      <c r="BI3" t="s">
        <v>89</v>
      </c>
      <c r="BJ3" t="s">
        <v>90</v>
      </c>
      <c r="BK3" t="s">
        <v>91</v>
      </c>
      <c r="BL3" t="s">
        <v>92</v>
      </c>
    </row>
    <row r="4" spans="1:64" x14ac:dyDescent="0.25">
      <c r="AM4" t="s">
        <v>80</v>
      </c>
      <c r="AN4">
        <v>5.2674784679747941E-2</v>
      </c>
      <c r="AZ4">
        <v>1970</v>
      </c>
      <c r="BA4">
        <v>4509</v>
      </c>
      <c r="BB4">
        <v>55585</v>
      </c>
      <c r="BC4">
        <v>31503</v>
      </c>
      <c r="BD4">
        <v>22900</v>
      </c>
      <c r="BE4">
        <f>SUM(BA4:BD4)</f>
        <v>114497</v>
      </c>
      <c r="BG4">
        <v>5042</v>
      </c>
      <c r="BH4">
        <v>8870</v>
      </c>
      <c r="BI4">
        <v>8586</v>
      </c>
      <c r="BJ4">
        <v>14388</v>
      </c>
      <c r="BK4">
        <v>23289</v>
      </c>
      <c r="BL4">
        <f>SUM(BG4:BK4)</f>
        <v>60175</v>
      </c>
    </row>
    <row r="5" spans="1:64" x14ac:dyDescent="0.25">
      <c r="AZ5">
        <f>AZ4+1</f>
        <v>1971</v>
      </c>
      <c r="BA5">
        <v>4509</v>
      </c>
      <c r="BB5">
        <v>55585</v>
      </c>
      <c r="BC5">
        <v>31503</v>
      </c>
      <c r="BD5">
        <v>22900</v>
      </c>
      <c r="BE5">
        <f t="shared" ref="BE5:BE49" si="0">SUM(BA5:BD5)</f>
        <v>114497</v>
      </c>
      <c r="BG5">
        <v>5042</v>
      </c>
      <c r="BH5">
        <v>8870</v>
      </c>
      <c r="BI5">
        <v>8586</v>
      </c>
      <c r="BJ5">
        <v>14388</v>
      </c>
      <c r="BK5">
        <v>23289</v>
      </c>
      <c r="BL5">
        <f t="shared" ref="BL5:BL49" si="1">SUM(BG5:BK5)</f>
        <v>60175</v>
      </c>
    </row>
    <row r="6" spans="1:64" x14ac:dyDescent="0.25">
      <c r="M6" t="s">
        <v>27</v>
      </c>
      <c r="N6" t="s">
        <v>10</v>
      </c>
      <c r="O6" t="s">
        <v>10</v>
      </c>
      <c r="P6" t="s">
        <v>10</v>
      </c>
      <c r="Q6" t="s">
        <v>10</v>
      </c>
      <c r="R6" t="s">
        <v>10</v>
      </c>
      <c r="S6" t="s">
        <v>27</v>
      </c>
      <c r="T6" t="s">
        <v>28</v>
      </c>
      <c r="U6" t="s">
        <v>28</v>
      </c>
      <c r="V6" t="s">
        <v>28</v>
      </c>
      <c r="W6" t="s">
        <v>29</v>
      </c>
      <c r="X6" t="s">
        <v>10</v>
      </c>
      <c r="Y6" t="s">
        <v>11</v>
      </c>
      <c r="AZ6">
        <f t="shared" ref="AZ6:AZ49" si="2">AZ5+1</f>
        <v>1972</v>
      </c>
      <c r="BA6">
        <v>4509</v>
      </c>
      <c r="BB6">
        <v>55585</v>
      </c>
      <c r="BC6">
        <v>31503</v>
      </c>
      <c r="BD6">
        <v>22900</v>
      </c>
      <c r="BE6">
        <f t="shared" si="0"/>
        <v>114497</v>
      </c>
      <c r="BG6">
        <v>5042</v>
      </c>
      <c r="BH6">
        <v>8870</v>
      </c>
      <c r="BI6">
        <v>8586</v>
      </c>
      <c r="BJ6">
        <v>14388</v>
      </c>
      <c r="BK6">
        <v>23289</v>
      </c>
      <c r="BL6">
        <f t="shared" si="1"/>
        <v>60175</v>
      </c>
    </row>
    <row r="7" spans="1:64" x14ac:dyDescent="0.25">
      <c r="A7" s="11" t="s">
        <v>1</v>
      </c>
      <c r="B7" s="11" t="s">
        <v>30</v>
      </c>
      <c r="C7" s="11" t="s">
        <v>33</v>
      </c>
      <c r="D7" s="11" t="s">
        <v>51</v>
      </c>
      <c r="E7" s="11" t="s">
        <v>31</v>
      </c>
      <c r="F7" s="11" t="s">
        <v>32</v>
      </c>
      <c r="G7" s="11" t="s">
        <v>34</v>
      </c>
      <c r="H7" s="11" t="s">
        <v>40</v>
      </c>
      <c r="I7" s="11" t="s">
        <v>41</v>
      </c>
      <c r="L7" t="s">
        <v>1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AD7" t="s">
        <v>64</v>
      </c>
      <c r="AE7" t="s">
        <v>77</v>
      </c>
      <c r="AF7" t="s">
        <v>78</v>
      </c>
      <c r="AI7" s="7" t="s">
        <v>68</v>
      </c>
      <c r="AJ7" t="s">
        <v>79</v>
      </c>
      <c r="AZ7">
        <f t="shared" si="2"/>
        <v>1973</v>
      </c>
      <c r="BA7">
        <v>4509</v>
      </c>
      <c r="BB7">
        <v>55585</v>
      </c>
      <c r="BC7">
        <v>31503</v>
      </c>
      <c r="BD7">
        <v>22900</v>
      </c>
      <c r="BE7">
        <f t="shared" si="0"/>
        <v>114497</v>
      </c>
      <c r="BG7">
        <v>5042</v>
      </c>
      <c r="BH7">
        <v>8870</v>
      </c>
      <c r="BI7">
        <v>8586</v>
      </c>
      <c r="BJ7">
        <v>14388</v>
      </c>
      <c r="BK7">
        <v>23289</v>
      </c>
      <c r="BL7">
        <f t="shared" si="1"/>
        <v>60175</v>
      </c>
    </row>
    <row r="8" spans="1:64" x14ac:dyDescent="0.25">
      <c r="A8" s="11">
        <f t="shared" ref="A8:A53" si="3">L8</f>
        <v>1970</v>
      </c>
      <c r="B8" s="8">
        <f t="shared" ref="B8:B53" si="4">SUM(V8:W8)*1.52</f>
        <v>7254.96</v>
      </c>
      <c r="C8" s="8">
        <f t="shared" ref="C8:C53" si="5">SUM(T8:U8)*1.52</f>
        <v>2264.8000000000002</v>
      </c>
      <c r="D8" s="8">
        <f t="shared" ref="D8:D53" si="6">AP8</f>
        <v>209.6503565794639</v>
      </c>
      <c r="E8" s="8">
        <f t="shared" ref="E8:E53" si="7">SUM(R8:S8)*1.52</f>
        <v>1722.16</v>
      </c>
      <c r="F8" s="8">
        <f t="shared" ref="F8:F53" si="8">SUM(M8:Q8)*1.52+X8</f>
        <v>4227.6000000000004</v>
      </c>
      <c r="G8" s="8">
        <f t="shared" ref="G8:G53" si="9">Y8*3</f>
        <v>1908</v>
      </c>
      <c r="H8" s="8">
        <f t="shared" ref="H8:H53" si="10">BL4</f>
        <v>60175</v>
      </c>
      <c r="I8" s="8">
        <f t="shared" ref="I8:I53" si="11">BE4</f>
        <v>114497</v>
      </c>
      <c r="L8">
        <v>1970</v>
      </c>
      <c r="M8">
        <v>68</v>
      </c>
      <c r="N8">
        <v>119</v>
      </c>
      <c r="O8">
        <v>334</v>
      </c>
      <c r="P8">
        <v>97</v>
      </c>
      <c r="Q8">
        <v>837</v>
      </c>
      <c r="R8">
        <v>358</v>
      </c>
      <c r="S8">
        <v>775</v>
      </c>
      <c r="T8">
        <v>200</v>
      </c>
      <c r="U8">
        <v>1290</v>
      </c>
      <c r="V8">
        <v>3062</v>
      </c>
      <c r="W8">
        <v>1711</v>
      </c>
      <c r="X8">
        <v>2016</v>
      </c>
      <c r="Y8">
        <v>636</v>
      </c>
      <c r="AD8">
        <v>1977</v>
      </c>
      <c r="AE8">
        <v>5</v>
      </c>
      <c r="AF8">
        <v>147</v>
      </c>
      <c r="AI8" s="5">
        <v>1977</v>
      </c>
      <c r="AJ8" s="6">
        <v>147</v>
      </c>
      <c r="AL8">
        <v>1970</v>
      </c>
      <c r="AM8" t="e">
        <f t="shared" ref="AM8:AM52" si="12">VLOOKUP(AL8,hs_counts,2)</f>
        <v>#N/A</v>
      </c>
      <c r="AN8">
        <f>hs_Col_n0</f>
        <v>209.6503565794639</v>
      </c>
      <c r="AO8" t="str">
        <f>IF(ISNA(AM8),"",(AN8-AM8)^2)</f>
        <v/>
      </c>
      <c r="AP8">
        <f>IF(ISNA(AM8),AN8,AN8)</f>
        <v>209.6503565794639</v>
      </c>
      <c r="AZ8">
        <f t="shared" si="2"/>
        <v>1974</v>
      </c>
      <c r="BA8">
        <v>4509</v>
      </c>
      <c r="BB8">
        <v>55585</v>
      </c>
      <c r="BC8">
        <v>31503</v>
      </c>
      <c r="BD8">
        <v>22900</v>
      </c>
      <c r="BE8">
        <f t="shared" si="0"/>
        <v>114497</v>
      </c>
      <c r="BG8">
        <v>5042</v>
      </c>
      <c r="BH8">
        <v>8870</v>
      </c>
      <c r="BI8">
        <v>8586</v>
      </c>
      <c r="BJ8">
        <v>14388</v>
      </c>
      <c r="BK8">
        <v>23289</v>
      </c>
      <c r="BL8">
        <f t="shared" si="1"/>
        <v>60175</v>
      </c>
    </row>
    <row r="9" spans="1:64" x14ac:dyDescent="0.25">
      <c r="A9" s="11">
        <f t="shared" si="3"/>
        <v>1971</v>
      </c>
      <c r="B9" s="8">
        <f t="shared" si="4"/>
        <v>8360</v>
      </c>
      <c r="C9" s="8">
        <f t="shared" si="5"/>
        <v>2456.3200000000002</v>
      </c>
      <c r="D9" s="8">
        <f t="shared" si="6"/>
        <v>220.69364397031956</v>
      </c>
      <c r="E9" s="8">
        <f t="shared" si="7"/>
        <v>2109.7600000000002</v>
      </c>
      <c r="F9" s="8">
        <f t="shared" si="8"/>
        <v>4895.76</v>
      </c>
      <c r="G9" s="8">
        <f t="shared" si="9"/>
        <v>2445</v>
      </c>
      <c r="H9" s="8">
        <f t="shared" si="10"/>
        <v>60175</v>
      </c>
      <c r="I9" s="8">
        <f t="shared" si="11"/>
        <v>114497</v>
      </c>
      <c r="L9">
        <v>1971</v>
      </c>
      <c r="M9">
        <v>94</v>
      </c>
      <c r="N9">
        <v>167</v>
      </c>
      <c r="O9">
        <v>402</v>
      </c>
      <c r="P9">
        <v>119</v>
      </c>
      <c r="Q9">
        <v>831</v>
      </c>
      <c r="R9">
        <v>445</v>
      </c>
      <c r="S9">
        <v>943</v>
      </c>
      <c r="T9">
        <v>241</v>
      </c>
      <c r="U9">
        <v>1375</v>
      </c>
      <c r="V9">
        <v>3652</v>
      </c>
      <c r="W9">
        <v>1848</v>
      </c>
      <c r="X9">
        <v>2444</v>
      </c>
      <c r="Y9">
        <v>815</v>
      </c>
      <c r="AD9">
        <v>1978</v>
      </c>
      <c r="AE9">
        <v>6</v>
      </c>
      <c r="AF9">
        <v>302</v>
      </c>
      <c r="AI9" s="5">
        <v>1978</v>
      </c>
      <c r="AJ9" s="6">
        <v>302</v>
      </c>
      <c r="AL9">
        <f>AL8+1</f>
        <v>1971</v>
      </c>
      <c r="AM9" t="e">
        <f t="shared" si="12"/>
        <v>#N/A</v>
      </c>
      <c r="AN9">
        <f t="shared" ref="AN9:AN52" si="13">AN8+hs_col_lam*AN8</f>
        <v>220.69364397031956</v>
      </c>
      <c r="AO9" t="str">
        <f t="shared" ref="AO9:AO52" si="14">IF(ISNA(AM9),"",(AN9-AM9)^2)</f>
        <v/>
      </c>
      <c r="AP9">
        <f t="shared" ref="AP9:AP52" si="15">IF(ISNA(AM9),AN9,AN9)</f>
        <v>220.69364397031956</v>
      </c>
      <c r="AZ9">
        <f t="shared" si="2"/>
        <v>1975</v>
      </c>
      <c r="BA9">
        <v>4509</v>
      </c>
      <c r="BB9">
        <f>BB44/0.2</f>
        <v>55585</v>
      </c>
      <c r="BC9">
        <v>31503</v>
      </c>
      <c r="BD9">
        <v>22900</v>
      </c>
      <c r="BE9">
        <f t="shared" si="0"/>
        <v>114497</v>
      </c>
      <c r="BG9">
        <v>5042</v>
      </c>
      <c r="BH9">
        <v>8870</v>
      </c>
      <c r="BI9">
        <v>8586</v>
      </c>
      <c r="BJ9">
        <v>14388</v>
      </c>
      <c r="BK9">
        <v>23289</v>
      </c>
      <c r="BL9">
        <f t="shared" si="1"/>
        <v>60175</v>
      </c>
    </row>
    <row r="10" spans="1:64" x14ac:dyDescent="0.25">
      <c r="A10" s="11">
        <f t="shared" si="3"/>
        <v>1972</v>
      </c>
      <c r="B10" s="8">
        <f t="shared" si="4"/>
        <v>9524.32</v>
      </c>
      <c r="C10" s="8">
        <f t="shared" si="5"/>
        <v>2655.44</v>
      </c>
      <c r="D10" s="8">
        <f t="shared" si="6"/>
        <v>232.31863414664508</v>
      </c>
      <c r="E10" s="8">
        <f t="shared" si="7"/>
        <v>2544.48</v>
      </c>
      <c r="F10" s="8">
        <f t="shared" si="8"/>
        <v>5667.48</v>
      </c>
      <c r="G10" s="8">
        <f t="shared" si="9"/>
        <v>3084</v>
      </c>
      <c r="H10" s="8">
        <f t="shared" si="10"/>
        <v>60175</v>
      </c>
      <c r="I10" s="8">
        <f t="shared" si="11"/>
        <v>114497</v>
      </c>
      <c r="L10">
        <v>1972</v>
      </c>
      <c r="M10">
        <v>127</v>
      </c>
      <c r="N10">
        <v>227</v>
      </c>
      <c r="O10">
        <v>475</v>
      </c>
      <c r="P10">
        <v>144</v>
      </c>
      <c r="Q10">
        <v>826</v>
      </c>
      <c r="R10">
        <v>543</v>
      </c>
      <c r="S10">
        <v>1131</v>
      </c>
      <c r="T10">
        <v>287</v>
      </c>
      <c r="U10">
        <v>1460</v>
      </c>
      <c r="V10">
        <v>4285</v>
      </c>
      <c r="W10">
        <v>1981</v>
      </c>
      <c r="X10">
        <v>2933</v>
      </c>
      <c r="Y10">
        <v>1028</v>
      </c>
      <c r="AD10">
        <v>1982</v>
      </c>
      <c r="AE10">
        <v>6</v>
      </c>
      <c r="AF10">
        <v>67</v>
      </c>
      <c r="AI10" s="5">
        <v>1982</v>
      </c>
      <c r="AJ10" s="6">
        <v>67</v>
      </c>
      <c r="AL10">
        <f t="shared" ref="AL10:AL53" si="16">AL9+1</f>
        <v>1972</v>
      </c>
      <c r="AM10" t="e">
        <f t="shared" si="12"/>
        <v>#N/A</v>
      </c>
      <c r="AN10">
        <f t="shared" si="13"/>
        <v>232.31863414664508</v>
      </c>
      <c r="AO10" t="str">
        <f t="shared" si="14"/>
        <v/>
      </c>
      <c r="AP10">
        <f t="shared" si="15"/>
        <v>232.31863414664508</v>
      </c>
      <c r="AZ10">
        <f t="shared" si="2"/>
        <v>1976</v>
      </c>
      <c r="BA10">
        <v>4509</v>
      </c>
      <c r="BB10">
        <f>BB9-($BB$9-$BB$44)/(2011-1975)</f>
        <v>54349.777777777781</v>
      </c>
      <c r="BC10">
        <v>31503</v>
      </c>
      <c r="BD10">
        <v>22900</v>
      </c>
      <c r="BE10">
        <f t="shared" si="0"/>
        <v>113261.77777777778</v>
      </c>
      <c r="BG10">
        <v>5042</v>
      </c>
      <c r="BH10">
        <v>8870</v>
      </c>
      <c r="BI10">
        <v>8586</v>
      </c>
      <c r="BJ10">
        <v>14388</v>
      </c>
      <c r="BK10">
        <v>23289</v>
      </c>
      <c r="BL10">
        <f t="shared" si="1"/>
        <v>60175</v>
      </c>
    </row>
    <row r="11" spans="1:64" x14ac:dyDescent="0.25">
      <c r="A11" s="11">
        <f t="shared" si="3"/>
        <v>1973</v>
      </c>
      <c r="B11" s="8">
        <f t="shared" si="4"/>
        <v>10737.28</v>
      </c>
      <c r="C11" s="8">
        <f t="shared" si="5"/>
        <v>2859.12</v>
      </c>
      <c r="D11" s="8">
        <f t="shared" si="6"/>
        <v>244.55596817741275</v>
      </c>
      <c r="E11" s="8">
        <f t="shared" si="7"/>
        <v>3026.32</v>
      </c>
      <c r="F11" s="8">
        <f t="shared" si="8"/>
        <v>6547.76</v>
      </c>
      <c r="G11" s="8">
        <f t="shared" si="9"/>
        <v>3831</v>
      </c>
      <c r="H11" s="8">
        <f t="shared" si="10"/>
        <v>60175</v>
      </c>
      <c r="I11" s="8">
        <f t="shared" si="11"/>
        <v>114497</v>
      </c>
      <c r="L11">
        <v>1973</v>
      </c>
      <c r="M11">
        <v>165</v>
      </c>
      <c r="N11">
        <v>301</v>
      </c>
      <c r="O11">
        <v>553</v>
      </c>
      <c r="P11">
        <v>172</v>
      </c>
      <c r="Q11">
        <v>822</v>
      </c>
      <c r="R11">
        <v>652</v>
      </c>
      <c r="S11">
        <v>1339</v>
      </c>
      <c r="T11">
        <v>338</v>
      </c>
      <c r="U11">
        <v>1543</v>
      </c>
      <c r="V11">
        <v>4954</v>
      </c>
      <c r="W11">
        <v>2110</v>
      </c>
      <c r="X11">
        <v>3488</v>
      </c>
      <c r="Y11">
        <v>1277</v>
      </c>
      <c r="AD11">
        <v>1983</v>
      </c>
      <c r="AE11">
        <v>5</v>
      </c>
      <c r="AF11">
        <v>24</v>
      </c>
      <c r="AI11" s="5">
        <v>1983</v>
      </c>
      <c r="AJ11" s="6">
        <v>168</v>
      </c>
      <c r="AL11">
        <f t="shared" si="16"/>
        <v>1973</v>
      </c>
      <c r="AM11" t="e">
        <f t="shared" si="12"/>
        <v>#N/A</v>
      </c>
      <c r="AN11">
        <f t="shared" si="13"/>
        <v>244.55596817741275</v>
      </c>
      <c r="AO11" t="str">
        <f t="shared" si="14"/>
        <v/>
      </c>
      <c r="AP11">
        <f t="shared" si="15"/>
        <v>244.55596817741275</v>
      </c>
      <c r="AZ11">
        <f t="shared" si="2"/>
        <v>1977</v>
      </c>
      <c r="BA11">
        <v>4509</v>
      </c>
      <c r="BB11">
        <f t="shared" ref="BB11:BB43" si="17">BB10-($BB$9-$BB$44)/(2011-1975)</f>
        <v>53114.555555555562</v>
      </c>
      <c r="BC11">
        <v>31503</v>
      </c>
      <c r="BD11">
        <v>22900</v>
      </c>
      <c r="BE11">
        <f t="shared" si="0"/>
        <v>112026.55555555556</v>
      </c>
      <c r="BG11">
        <v>5042</v>
      </c>
      <c r="BH11">
        <v>8870</v>
      </c>
      <c r="BI11">
        <v>8586</v>
      </c>
      <c r="BJ11">
        <v>14388</v>
      </c>
      <c r="BK11">
        <v>23289</v>
      </c>
      <c r="BL11">
        <f t="shared" si="1"/>
        <v>60175</v>
      </c>
    </row>
    <row r="12" spans="1:64" x14ac:dyDescent="0.25">
      <c r="A12" s="11">
        <f t="shared" si="3"/>
        <v>1974</v>
      </c>
      <c r="B12" s="8">
        <f t="shared" si="4"/>
        <v>11985.2</v>
      </c>
      <c r="C12" s="8">
        <f t="shared" si="5"/>
        <v>3068.88</v>
      </c>
      <c r="D12" s="8">
        <f t="shared" si="6"/>
        <v>257.43790114330528</v>
      </c>
      <c r="E12" s="8">
        <f t="shared" si="7"/>
        <v>3553.76</v>
      </c>
      <c r="F12" s="8">
        <f t="shared" si="8"/>
        <v>7534.08</v>
      </c>
      <c r="G12" s="8">
        <f t="shared" si="9"/>
        <v>4692</v>
      </c>
      <c r="H12" s="8">
        <f t="shared" si="10"/>
        <v>60175</v>
      </c>
      <c r="I12" s="8">
        <f t="shared" si="11"/>
        <v>114497</v>
      </c>
      <c r="L12">
        <v>1974</v>
      </c>
      <c r="M12">
        <v>211</v>
      </c>
      <c r="N12">
        <v>390</v>
      </c>
      <c r="O12">
        <v>634</v>
      </c>
      <c r="P12">
        <v>202</v>
      </c>
      <c r="Q12">
        <v>817</v>
      </c>
      <c r="R12">
        <v>771</v>
      </c>
      <c r="S12">
        <v>1567</v>
      </c>
      <c r="T12">
        <v>394</v>
      </c>
      <c r="U12">
        <v>1625</v>
      </c>
      <c r="V12">
        <v>5651</v>
      </c>
      <c r="W12">
        <v>2234</v>
      </c>
      <c r="X12">
        <v>4108</v>
      </c>
      <c r="Y12">
        <v>1564</v>
      </c>
      <c r="AD12">
        <v>1983</v>
      </c>
      <c r="AE12">
        <v>6</v>
      </c>
      <c r="AF12">
        <v>126</v>
      </c>
      <c r="AI12" s="5">
        <v>1984</v>
      </c>
      <c r="AJ12" s="6">
        <v>249</v>
      </c>
      <c r="AL12">
        <f t="shared" si="16"/>
        <v>1974</v>
      </c>
      <c r="AM12" t="e">
        <f t="shared" si="12"/>
        <v>#N/A</v>
      </c>
      <c r="AN12">
        <f t="shared" si="13"/>
        <v>257.43790114330528</v>
      </c>
      <c r="AO12" t="str">
        <f t="shared" si="14"/>
        <v/>
      </c>
      <c r="AP12">
        <f t="shared" si="15"/>
        <v>257.43790114330528</v>
      </c>
      <c r="AZ12">
        <f t="shared" si="2"/>
        <v>1978</v>
      </c>
      <c r="BA12">
        <v>4509</v>
      </c>
      <c r="BB12">
        <f t="shared" si="17"/>
        <v>51879.333333333343</v>
      </c>
      <c r="BC12">
        <v>31503</v>
      </c>
      <c r="BD12">
        <v>22900</v>
      </c>
      <c r="BE12">
        <f t="shared" si="0"/>
        <v>110791.33333333334</v>
      </c>
      <c r="BG12">
        <v>5042</v>
      </c>
      <c r="BH12">
        <v>8870</v>
      </c>
      <c r="BI12">
        <v>8586</v>
      </c>
      <c r="BJ12">
        <v>14388</v>
      </c>
      <c r="BK12">
        <v>23289</v>
      </c>
      <c r="BL12">
        <f t="shared" si="1"/>
        <v>60175</v>
      </c>
    </row>
    <row r="13" spans="1:64" x14ac:dyDescent="0.25">
      <c r="A13" s="11">
        <f t="shared" si="3"/>
        <v>1975</v>
      </c>
      <c r="B13" s="8">
        <f t="shared" si="4"/>
        <v>13255.92</v>
      </c>
      <c r="C13" s="8">
        <f t="shared" si="5"/>
        <v>3280.16</v>
      </c>
      <c r="D13" s="8">
        <f t="shared" si="6"/>
        <v>270.99838715443514</v>
      </c>
      <c r="E13" s="8">
        <f t="shared" si="7"/>
        <v>4125.28</v>
      </c>
      <c r="F13" s="8">
        <f t="shared" si="8"/>
        <v>8628.4</v>
      </c>
      <c r="G13" s="8">
        <f t="shared" si="9"/>
        <v>5670</v>
      </c>
      <c r="H13" s="8">
        <f t="shared" si="10"/>
        <v>60175</v>
      </c>
      <c r="I13" s="8">
        <f t="shared" si="11"/>
        <v>114497</v>
      </c>
      <c r="L13">
        <v>1975</v>
      </c>
      <c r="M13">
        <v>263</v>
      </c>
      <c r="N13">
        <v>493</v>
      </c>
      <c r="O13">
        <v>717</v>
      </c>
      <c r="P13">
        <v>234</v>
      </c>
      <c r="Q13">
        <v>813</v>
      </c>
      <c r="R13">
        <v>901</v>
      </c>
      <c r="S13">
        <v>1813</v>
      </c>
      <c r="T13">
        <v>453</v>
      </c>
      <c r="U13">
        <v>1705</v>
      </c>
      <c r="V13">
        <v>6368</v>
      </c>
      <c r="W13">
        <v>2353</v>
      </c>
      <c r="X13">
        <v>4798</v>
      </c>
      <c r="Y13">
        <v>1890</v>
      </c>
      <c r="AD13">
        <v>1983</v>
      </c>
      <c r="AE13">
        <v>5</v>
      </c>
      <c r="AF13">
        <v>147</v>
      </c>
      <c r="AI13" s="5">
        <v>1985</v>
      </c>
      <c r="AJ13" s="6">
        <v>190</v>
      </c>
      <c r="AL13">
        <f t="shared" si="16"/>
        <v>1975</v>
      </c>
      <c r="AM13" t="e">
        <f t="shared" si="12"/>
        <v>#N/A</v>
      </c>
      <c r="AN13">
        <f t="shared" si="13"/>
        <v>270.99838715443514</v>
      </c>
      <c r="AO13" t="str">
        <f t="shared" si="14"/>
        <v/>
      </c>
      <c r="AP13">
        <f t="shared" si="15"/>
        <v>270.99838715443514</v>
      </c>
      <c r="AZ13">
        <f t="shared" si="2"/>
        <v>1979</v>
      </c>
      <c r="BA13">
        <v>4509</v>
      </c>
      <c r="BB13">
        <f t="shared" si="17"/>
        <v>50644.111111111124</v>
      </c>
      <c r="BC13">
        <v>31503</v>
      </c>
      <c r="BD13">
        <v>22900</v>
      </c>
      <c r="BE13">
        <f t="shared" si="0"/>
        <v>109556.11111111112</v>
      </c>
      <c r="BG13">
        <v>5042</v>
      </c>
      <c r="BH13">
        <v>8870</v>
      </c>
      <c r="BI13">
        <v>8586</v>
      </c>
      <c r="BJ13">
        <v>14388</v>
      </c>
      <c r="BK13">
        <v>23289</v>
      </c>
      <c r="BL13">
        <f t="shared" si="1"/>
        <v>60175</v>
      </c>
    </row>
    <row r="14" spans="1:64" x14ac:dyDescent="0.25">
      <c r="A14" s="11">
        <f t="shared" si="3"/>
        <v>1976</v>
      </c>
      <c r="B14" s="8">
        <f t="shared" si="4"/>
        <v>14537.28</v>
      </c>
      <c r="C14" s="8">
        <f t="shared" si="5"/>
        <v>3497.52</v>
      </c>
      <c r="D14" s="8">
        <f t="shared" si="6"/>
        <v>285.273168846354</v>
      </c>
      <c r="E14" s="8">
        <f t="shared" si="7"/>
        <v>4734.8</v>
      </c>
      <c r="F14" s="8">
        <f t="shared" si="8"/>
        <v>9837.7999999999993</v>
      </c>
      <c r="G14" s="8">
        <f t="shared" si="9"/>
        <v>6768</v>
      </c>
      <c r="H14" s="8">
        <f t="shared" si="10"/>
        <v>60175</v>
      </c>
      <c r="I14" s="8">
        <f t="shared" si="11"/>
        <v>113261.77777777778</v>
      </c>
      <c r="L14">
        <v>1976</v>
      </c>
      <c r="M14">
        <v>322</v>
      </c>
      <c r="N14">
        <v>612</v>
      </c>
      <c r="O14">
        <v>802</v>
      </c>
      <c r="P14">
        <v>269</v>
      </c>
      <c r="Q14">
        <v>810</v>
      </c>
      <c r="R14">
        <v>1039</v>
      </c>
      <c r="S14">
        <v>2076</v>
      </c>
      <c r="T14">
        <v>517</v>
      </c>
      <c r="U14">
        <v>1784</v>
      </c>
      <c r="V14">
        <v>7097</v>
      </c>
      <c r="W14">
        <v>2467</v>
      </c>
      <c r="X14">
        <v>5559</v>
      </c>
      <c r="Y14">
        <v>2256</v>
      </c>
      <c r="AD14">
        <v>1983</v>
      </c>
      <c r="AE14">
        <v>5</v>
      </c>
      <c r="AF14">
        <v>168</v>
      </c>
      <c r="AI14" s="5">
        <v>1986</v>
      </c>
      <c r="AJ14" s="6">
        <v>190</v>
      </c>
      <c r="AL14">
        <f t="shared" si="16"/>
        <v>1976</v>
      </c>
      <c r="AM14" t="e">
        <f t="shared" si="12"/>
        <v>#N/A</v>
      </c>
      <c r="AN14">
        <f t="shared" si="13"/>
        <v>285.273168846354</v>
      </c>
      <c r="AO14" t="str">
        <f t="shared" si="14"/>
        <v/>
      </c>
      <c r="AP14">
        <f t="shared" si="15"/>
        <v>285.273168846354</v>
      </c>
      <c r="AZ14">
        <f t="shared" si="2"/>
        <v>1980</v>
      </c>
      <c r="BA14">
        <v>4509</v>
      </c>
      <c r="BB14">
        <f t="shared" si="17"/>
        <v>49408.888888888905</v>
      </c>
      <c r="BC14">
        <v>31503</v>
      </c>
      <c r="BD14">
        <v>22900</v>
      </c>
      <c r="BE14">
        <f t="shared" si="0"/>
        <v>108320.88888888891</v>
      </c>
      <c r="BG14">
        <v>5042</v>
      </c>
      <c r="BH14">
        <v>8870</v>
      </c>
      <c r="BI14">
        <v>8586</v>
      </c>
      <c r="BJ14">
        <v>14388</v>
      </c>
      <c r="BK14">
        <v>23289</v>
      </c>
      <c r="BL14">
        <f t="shared" si="1"/>
        <v>60175</v>
      </c>
    </row>
    <row r="15" spans="1:64" x14ac:dyDescent="0.25">
      <c r="A15" s="11">
        <f t="shared" si="3"/>
        <v>1977</v>
      </c>
      <c r="B15" s="8">
        <f t="shared" si="4"/>
        <v>15815.6</v>
      </c>
      <c r="C15" s="8">
        <f t="shared" si="5"/>
        <v>3714.88</v>
      </c>
      <c r="D15" s="8">
        <f t="shared" si="6"/>
        <v>300.29987159024506</v>
      </c>
      <c r="E15" s="8">
        <f t="shared" si="7"/>
        <v>5382.32</v>
      </c>
      <c r="F15" s="8">
        <f t="shared" si="8"/>
        <v>11150.08</v>
      </c>
      <c r="G15" s="8">
        <f t="shared" si="9"/>
        <v>7989</v>
      </c>
      <c r="H15" s="8">
        <f t="shared" si="10"/>
        <v>60175</v>
      </c>
      <c r="I15" s="8">
        <f t="shared" si="11"/>
        <v>112026.55555555556</v>
      </c>
      <c r="L15">
        <v>1977</v>
      </c>
      <c r="M15">
        <v>386</v>
      </c>
      <c r="N15">
        <v>745</v>
      </c>
      <c r="O15">
        <v>887</v>
      </c>
      <c r="P15">
        <v>305</v>
      </c>
      <c r="Q15">
        <v>806</v>
      </c>
      <c r="R15">
        <v>1184</v>
      </c>
      <c r="S15">
        <v>2357</v>
      </c>
      <c r="T15">
        <v>584</v>
      </c>
      <c r="U15">
        <v>1860</v>
      </c>
      <c r="V15">
        <v>7831</v>
      </c>
      <c r="W15">
        <v>2574</v>
      </c>
      <c r="X15">
        <v>6394</v>
      </c>
      <c r="Y15">
        <v>2663</v>
      </c>
      <c r="AD15">
        <v>1984</v>
      </c>
      <c r="AE15">
        <v>6</v>
      </c>
      <c r="AF15">
        <v>222</v>
      </c>
      <c r="AI15" s="5">
        <v>1987</v>
      </c>
      <c r="AJ15" s="6">
        <v>944</v>
      </c>
      <c r="AL15">
        <f t="shared" si="16"/>
        <v>1977</v>
      </c>
      <c r="AM15">
        <f t="shared" si="12"/>
        <v>147</v>
      </c>
      <c r="AN15">
        <f t="shared" si="13"/>
        <v>300.29987159024506</v>
      </c>
      <c r="AO15">
        <f t="shared" si="14"/>
        <v>23500.850629585624</v>
      </c>
      <c r="AP15">
        <f t="shared" si="15"/>
        <v>300.29987159024506</v>
      </c>
      <c r="AZ15">
        <f t="shared" si="2"/>
        <v>1981</v>
      </c>
      <c r="BA15">
        <v>4509</v>
      </c>
      <c r="BB15">
        <f t="shared" si="17"/>
        <v>48173.666666666686</v>
      </c>
      <c r="BC15">
        <v>31503</v>
      </c>
      <c r="BD15">
        <v>22900</v>
      </c>
      <c r="BE15">
        <f t="shared" si="0"/>
        <v>107085.66666666669</v>
      </c>
      <c r="BG15">
        <v>5042</v>
      </c>
      <c r="BH15">
        <v>8870</v>
      </c>
      <c r="BI15">
        <v>8586</v>
      </c>
      <c r="BJ15">
        <v>14388</v>
      </c>
      <c r="BK15">
        <v>23289</v>
      </c>
      <c r="BL15">
        <f t="shared" si="1"/>
        <v>60175</v>
      </c>
    </row>
    <row r="16" spans="1:64" x14ac:dyDescent="0.25">
      <c r="A16" s="11">
        <f t="shared" si="3"/>
        <v>1978</v>
      </c>
      <c r="B16" s="8">
        <f t="shared" si="4"/>
        <v>17081.759999999998</v>
      </c>
      <c r="C16" s="8">
        <f t="shared" si="5"/>
        <v>3935.28</v>
      </c>
      <c r="D16" s="8">
        <f t="shared" si="6"/>
        <v>316.11810266561719</v>
      </c>
      <c r="E16" s="8">
        <f t="shared" si="7"/>
        <v>6063.28</v>
      </c>
      <c r="F16" s="8">
        <f t="shared" si="8"/>
        <v>12569.84</v>
      </c>
      <c r="G16" s="8">
        <f t="shared" si="9"/>
        <v>9327</v>
      </c>
      <c r="H16" s="8">
        <f t="shared" si="10"/>
        <v>60175</v>
      </c>
      <c r="I16" s="8">
        <f t="shared" si="11"/>
        <v>110791.33333333334</v>
      </c>
      <c r="L16">
        <v>1978</v>
      </c>
      <c r="M16">
        <v>456</v>
      </c>
      <c r="N16">
        <v>892</v>
      </c>
      <c r="O16">
        <v>972</v>
      </c>
      <c r="P16">
        <v>344</v>
      </c>
      <c r="Q16">
        <v>803</v>
      </c>
      <c r="R16">
        <v>1336</v>
      </c>
      <c r="S16">
        <v>2653</v>
      </c>
      <c r="T16">
        <v>655</v>
      </c>
      <c r="U16">
        <v>1934</v>
      </c>
      <c r="V16">
        <v>8562</v>
      </c>
      <c r="W16">
        <v>2676</v>
      </c>
      <c r="X16">
        <v>7300</v>
      </c>
      <c r="Y16">
        <v>3109</v>
      </c>
      <c r="AD16">
        <v>1984</v>
      </c>
      <c r="AE16">
        <v>6</v>
      </c>
      <c r="AF16">
        <v>249</v>
      </c>
      <c r="AI16" s="5">
        <v>1988</v>
      </c>
      <c r="AJ16" s="6">
        <v>543</v>
      </c>
      <c r="AL16">
        <f t="shared" si="16"/>
        <v>1978</v>
      </c>
      <c r="AM16">
        <f t="shared" si="12"/>
        <v>302</v>
      </c>
      <c r="AN16">
        <f t="shared" si="13"/>
        <v>316.11810266561719</v>
      </c>
      <c r="AO16">
        <f t="shared" si="14"/>
        <v>199.3208228769071</v>
      </c>
      <c r="AP16">
        <f t="shared" si="15"/>
        <v>316.11810266561719</v>
      </c>
      <c r="AZ16">
        <f t="shared" si="2"/>
        <v>1982</v>
      </c>
      <c r="BA16">
        <v>4509</v>
      </c>
      <c r="BB16">
        <f t="shared" si="17"/>
        <v>46938.444444444467</v>
      </c>
      <c r="BC16">
        <v>31503</v>
      </c>
      <c r="BD16">
        <v>22900</v>
      </c>
      <c r="BE16">
        <f t="shared" si="0"/>
        <v>105850.44444444447</v>
      </c>
      <c r="BG16">
        <v>5042</v>
      </c>
      <c r="BH16">
        <v>8870</v>
      </c>
      <c r="BI16">
        <v>8586</v>
      </c>
      <c r="BJ16">
        <v>14388</v>
      </c>
      <c r="BK16">
        <v>23289</v>
      </c>
      <c r="BL16">
        <f t="shared" si="1"/>
        <v>60175</v>
      </c>
    </row>
    <row r="17" spans="1:64" x14ac:dyDescent="0.25">
      <c r="A17" s="11">
        <f t="shared" si="3"/>
        <v>1979</v>
      </c>
      <c r="B17" s="8">
        <f t="shared" si="4"/>
        <v>18326.64</v>
      </c>
      <c r="C17" s="8">
        <f t="shared" si="5"/>
        <v>4157.2</v>
      </c>
      <c r="D17" s="8">
        <f t="shared" si="6"/>
        <v>332.769555656899</v>
      </c>
      <c r="E17" s="8">
        <f t="shared" si="7"/>
        <v>6770.08</v>
      </c>
      <c r="F17" s="8">
        <f t="shared" si="8"/>
        <v>14088.96</v>
      </c>
      <c r="G17" s="8">
        <f t="shared" si="9"/>
        <v>10782</v>
      </c>
      <c r="H17" s="8">
        <f t="shared" si="10"/>
        <v>60175</v>
      </c>
      <c r="I17" s="8">
        <f t="shared" si="11"/>
        <v>109556.11111111112</v>
      </c>
      <c r="L17">
        <v>1979</v>
      </c>
      <c r="M17">
        <v>531</v>
      </c>
      <c r="N17">
        <v>1051</v>
      </c>
      <c r="O17">
        <v>1057</v>
      </c>
      <c r="P17">
        <v>383</v>
      </c>
      <c r="Q17">
        <v>801</v>
      </c>
      <c r="R17">
        <v>1493</v>
      </c>
      <c r="S17">
        <v>2961</v>
      </c>
      <c r="T17">
        <v>728</v>
      </c>
      <c r="U17">
        <v>2007</v>
      </c>
      <c r="V17">
        <v>9285</v>
      </c>
      <c r="W17">
        <v>2772</v>
      </c>
      <c r="X17">
        <v>8278</v>
      </c>
      <c r="Y17">
        <v>3594</v>
      </c>
      <c r="AD17">
        <v>1985</v>
      </c>
      <c r="AE17">
        <v>5</v>
      </c>
      <c r="AF17">
        <v>190</v>
      </c>
      <c r="AI17" s="5">
        <v>1989</v>
      </c>
      <c r="AJ17" s="6">
        <v>612</v>
      </c>
      <c r="AL17">
        <f t="shared" si="16"/>
        <v>1979</v>
      </c>
      <c r="AM17">
        <f t="shared" si="12"/>
        <v>302</v>
      </c>
      <c r="AN17">
        <f t="shared" si="13"/>
        <v>332.769555656899</v>
      </c>
      <c r="AO17">
        <f t="shared" si="14"/>
        <v>946.76555532300529</v>
      </c>
      <c r="AP17">
        <f t="shared" si="15"/>
        <v>332.769555656899</v>
      </c>
      <c r="AZ17">
        <f t="shared" si="2"/>
        <v>1983</v>
      </c>
      <c r="BA17">
        <v>4509</v>
      </c>
      <c r="BB17">
        <f t="shared" si="17"/>
        <v>45703.222222222248</v>
      </c>
      <c r="BC17">
        <v>31503</v>
      </c>
      <c r="BD17">
        <v>22900</v>
      </c>
      <c r="BE17">
        <f t="shared" si="0"/>
        <v>104615.22222222225</v>
      </c>
      <c r="BG17">
        <v>5042</v>
      </c>
      <c r="BH17">
        <v>8870</v>
      </c>
      <c r="BI17">
        <v>8586</v>
      </c>
      <c r="BJ17">
        <v>14388</v>
      </c>
      <c r="BK17">
        <v>23289</v>
      </c>
      <c r="BL17">
        <f t="shared" si="1"/>
        <v>60175</v>
      </c>
    </row>
    <row r="18" spans="1:64" x14ac:dyDescent="0.25">
      <c r="A18" s="11">
        <f t="shared" si="3"/>
        <v>1980</v>
      </c>
      <c r="B18" s="8">
        <f t="shared" si="4"/>
        <v>19539.599999999999</v>
      </c>
      <c r="C18" s="8">
        <f t="shared" si="5"/>
        <v>4377.6000000000004</v>
      </c>
      <c r="D18" s="8">
        <f t="shared" si="6"/>
        <v>350.29812034910157</v>
      </c>
      <c r="E18" s="8">
        <f t="shared" si="7"/>
        <v>7499.68</v>
      </c>
      <c r="F18" s="8">
        <f t="shared" si="8"/>
        <v>15699.36</v>
      </c>
      <c r="G18" s="8">
        <f t="shared" si="9"/>
        <v>12348</v>
      </c>
      <c r="H18" s="8">
        <f t="shared" si="10"/>
        <v>60175</v>
      </c>
      <c r="I18" s="8">
        <f t="shared" si="11"/>
        <v>108320.88888888891</v>
      </c>
      <c r="L18">
        <v>1980</v>
      </c>
      <c r="M18">
        <v>609</v>
      </c>
      <c r="N18">
        <v>1222</v>
      </c>
      <c r="O18">
        <v>1140</v>
      </c>
      <c r="P18">
        <v>424</v>
      </c>
      <c r="Q18">
        <v>798</v>
      </c>
      <c r="R18">
        <v>1653</v>
      </c>
      <c r="S18">
        <v>3281</v>
      </c>
      <c r="T18">
        <v>803</v>
      </c>
      <c r="U18">
        <v>2077</v>
      </c>
      <c r="V18">
        <v>9993</v>
      </c>
      <c r="W18">
        <v>2862</v>
      </c>
      <c r="X18">
        <v>9326</v>
      </c>
      <c r="Y18">
        <v>4116</v>
      </c>
      <c r="AD18">
        <v>1985</v>
      </c>
      <c r="AE18">
        <v>6</v>
      </c>
      <c r="AF18">
        <v>131</v>
      </c>
      <c r="AI18" s="5">
        <v>1990</v>
      </c>
      <c r="AJ18" s="6">
        <v>430</v>
      </c>
      <c r="AL18">
        <f t="shared" si="16"/>
        <v>1980</v>
      </c>
      <c r="AM18">
        <f t="shared" si="12"/>
        <v>302</v>
      </c>
      <c r="AN18">
        <f t="shared" si="13"/>
        <v>350.29812034910157</v>
      </c>
      <c r="AO18">
        <f t="shared" si="14"/>
        <v>2332.7084292562986</v>
      </c>
      <c r="AP18">
        <f t="shared" si="15"/>
        <v>350.29812034910157</v>
      </c>
      <c r="AZ18">
        <f t="shared" si="2"/>
        <v>1984</v>
      </c>
      <c r="BA18">
        <v>4509</v>
      </c>
      <c r="BB18">
        <f t="shared" si="17"/>
        <v>44468.000000000029</v>
      </c>
      <c r="BC18">
        <v>31503</v>
      </c>
      <c r="BD18">
        <v>22900</v>
      </c>
      <c r="BE18">
        <f t="shared" si="0"/>
        <v>103380.00000000003</v>
      </c>
      <c r="BG18">
        <v>5042</v>
      </c>
      <c r="BH18">
        <v>8870</v>
      </c>
      <c r="BI18">
        <v>8586</v>
      </c>
      <c r="BJ18">
        <v>14388</v>
      </c>
      <c r="BK18">
        <v>23289</v>
      </c>
      <c r="BL18">
        <f t="shared" si="1"/>
        <v>60175</v>
      </c>
    </row>
    <row r="19" spans="1:64" x14ac:dyDescent="0.25">
      <c r="A19" s="11">
        <f t="shared" si="3"/>
        <v>1981</v>
      </c>
      <c r="B19" s="8">
        <f t="shared" si="4"/>
        <v>20714.560000000001</v>
      </c>
      <c r="C19" s="8">
        <f t="shared" si="5"/>
        <v>4596.4800000000005</v>
      </c>
      <c r="D19" s="8">
        <f t="shared" si="6"/>
        <v>368.74999841221091</v>
      </c>
      <c r="E19" s="8">
        <f t="shared" si="7"/>
        <v>8247.52</v>
      </c>
      <c r="F19" s="8">
        <f t="shared" si="8"/>
        <v>17396</v>
      </c>
      <c r="G19" s="8">
        <f t="shared" si="9"/>
        <v>14016</v>
      </c>
      <c r="H19" s="8">
        <f t="shared" si="10"/>
        <v>60175</v>
      </c>
      <c r="I19" s="8">
        <f t="shared" si="11"/>
        <v>107085.66666666669</v>
      </c>
      <c r="L19">
        <v>1981</v>
      </c>
      <c r="M19">
        <v>691</v>
      </c>
      <c r="N19">
        <v>1402</v>
      </c>
      <c r="O19">
        <v>1221</v>
      </c>
      <c r="P19">
        <v>465</v>
      </c>
      <c r="Q19">
        <v>796</v>
      </c>
      <c r="R19">
        <v>1816</v>
      </c>
      <c r="S19">
        <v>3610</v>
      </c>
      <c r="T19">
        <v>880</v>
      </c>
      <c r="U19">
        <v>2144</v>
      </c>
      <c r="V19">
        <v>10682</v>
      </c>
      <c r="W19">
        <v>2946</v>
      </c>
      <c r="X19">
        <v>10442</v>
      </c>
      <c r="Y19">
        <v>4672</v>
      </c>
      <c r="AD19">
        <v>1986</v>
      </c>
      <c r="AE19">
        <v>5</v>
      </c>
      <c r="AF19">
        <v>142</v>
      </c>
      <c r="AI19" s="5">
        <v>1991</v>
      </c>
      <c r="AJ19" s="6">
        <v>553</v>
      </c>
      <c r="AL19">
        <f t="shared" si="16"/>
        <v>1981</v>
      </c>
      <c r="AM19">
        <f t="shared" si="12"/>
        <v>302</v>
      </c>
      <c r="AN19">
        <f t="shared" si="13"/>
        <v>368.74999841221091</v>
      </c>
      <c r="AO19">
        <f t="shared" si="14"/>
        <v>4455.5622880301598</v>
      </c>
      <c r="AP19">
        <f t="shared" si="15"/>
        <v>368.74999841221091</v>
      </c>
      <c r="AZ19">
        <f t="shared" si="2"/>
        <v>1985</v>
      </c>
      <c r="BA19">
        <v>4509</v>
      </c>
      <c r="BB19">
        <f t="shared" si="17"/>
        <v>43232.77777777781</v>
      </c>
      <c r="BC19">
        <v>31503</v>
      </c>
      <c r="BD19">
        <v>22900</v>
      </c>
      <c r="BE19">
        <f t="shared" si="0"/>
        <v>102144.77777777781</v>
      </c>
      <c r="BG19">
        <v>5042</v>
      </c>
      <c r="BH19">
        <v>8870</v>
      </c>
      <c r="BI19">
        <v>8586</v>
      </c>
      <c r="BJ19">
        <v>14388</v>
      </c>
      <c r="BK19">
        <v>23289</v>
      </c>
      <c r="BL19">
        <f t="shared" si="1"/>
        <v>60175</v>
      </c>
    </row>
    <row r="20" spans="1:64" x14ac:dyDescent="0.25">
      <c r="A20" s="11">
        <f t="shared" si="3"/>
        <v>1982</v>
      </c>
      <c r="B20" s="8">
        <f t="shared" si="4"/>
        <v>21846.959999999999</v>
      </c>
      <c r="C20" s="8">
        <f t="shared" si="5"/>
        <v>4815.3599999999997</v>
      </c>
      <c r="D20" s="8">
        <f t="shared" si="6"/>
        <v>388.17382517923153</v>
      </c>
      <c r="E20" s="8">
        <f t="shared" si="7"/>
        <v>9006</v>
      </c>
      <c r="F20" s="8">
        <f t="shared" si="8"/>
        <v>19165.239999999998</v>
      </c>
      <c r="G20" s="8">
        <f t="shared" si="9"/>
        <v>15777</v>
      </c>
      <c r="H20" s="8">
        <f t="shared" si="10"/>
        <v>60175</v>
      </c>
      <c r="I20" s="8">
        <f t="shared" si="11"/>
        <v>105850.44444444447</v>
      </c>
      <c r="L20">
        <v>1982</v>
      </c>
      <c r="M20">
        <v>774</v>
      </c>
      <c r="N20">
        <v>1589</v>
      </c>
      <c r="O20">
        <v>1299</v>
      </c>
      <c r="P20">
        <v>506</v>
      </c>
      <c r="Q20">
        <v>794</v>
      </c>
      <c r="R20">
        <v>1981</v>
      </c>
      <c r="S20">
        <v>3944</v>
      </c>
      <c r="T20">
        <v>959</v>
      </c>
      <c r="U20">
        <v>2209</v>
      </c>
      <c r="V20">
        <v>11349</v>
      </c>
      <c r="W20">
        <v>3024</v>
      </c>
      <c r="X20">
        <v>11623</v>
      </c>
      <c r="Y20">
        <v>5259</v>
      </c>
      <c r="AD20">
        <v>1986</v>
      </c>
      <c r="AE20">
        <v>5</v>
      </c>
      <c r="AF20">
        <v>190</v>
      </c>
      <c r="AI20" s="5">
        <v>1992</v>
      </c>
      <c r="AJ20" s="6">
        <v>1270</v>
      </c>
      <c r="AL20">
        <f t="shared" si="16"/>
        <v>1982</v>
      </c>
      <c r="AM20">
        <f t="shared" si="12"/>
        <v>67</v>
      </c>
      <c r="AN20">
        <f t="shared" si="13"/>
        <v>388.17382517923153</v>
      </c>
      <c r="AO20">
        <f t="shared" si="14"/>
        <v>103152.62598025957</v>
      </c>
      <c r="AP20">
        <f t="shared" si="15"/>
        <v>388.17382517923153</v>
      </c>
      <c r="AZ20">
        <f t="shared" si="2"/>
        <v>1986</v>
      </c>
      <c r="BA20">
        <v>4509</v>
      </c>
      <c r="BB20">
        <f t="shared" si="17"/>
        <v>41997.555555555591</v>
      </c>
      <c r="BC20">
        <v>31503</v>
      </c>
      <c r="BD20">
        <v>22900</v>
      </c>
      <c r="BE20">
        <f t="shared" si="0"/>
        <v>100909.55555555559</v>
      </c>
      <c r="BG20">
        <v>5042</v>
      </c>
      <c r="BH20">
        <v>8870</v>
      </c>
      <c r="BI20">
        <v>8586</v>
      </c>
      <c r="BJ20">
        <v>14388</v>
      </c>
      <c r="BK20">
        <v>23289</v>
      </c>
      <c r="BL20">
        <f t="shared" si="1"/>
        <v>60175</v>
      </c>
    </row>
    <row r="21" spans="1:64" x14ac:dyDescent="0.25">
      <c r="A21" s="11">
        <f t="shared" si="3"/>
        <v>1983</v>
      </c>
      <c r="B21" s="8">
        <f t="shared" si="4"/>
        <v>22920.080000000002</v>
      </c>
      <c r="C21" s="8">
        <f t="shared" si="5"/>
        <v>5034.24</v>
      </c>
      <c r="D21" s="8">
        <f t="shared" si="6"/>
        <v>408.62079783886168</v>
      </c>
      <c r="E21" s="8">
        <f t="shared" si="7"/>
        <v>9761.44</v>
      </c>
      <c r="F21" s="8">
        <f t="shared" si="8"/>
        <v>21016.639999999999</v>
      </c>
      <c r="G21" s="8">
        <f t="shared" si="9"/>
        <v>17625</v>
      </c>
      <c r="H21" s="8">
        <f t="shared" si="10"/>
        <v>60175</v>
      </c>
      <c r="I21" s="8">
        <f t="shared" si="11"/>
        <v>104615.22222222225</v>
      </c>
      <c r="L21">
        <v>1983</v>
      </c>
      <c r="M21">
        <v>859</v>
      </c>
      <c r="N21">
        <v>1783</v>
      </c>
      <c r="O21">
        <v>1374</v>
      </c>
      <c r="P21">
        <v>548</v>
      </c>
      <c r="Q21">
        <v>793</v>
      </c>
      <c r="R21">
        <v>2145</v>
      </c>
      <c r="S21">
        <v>4277</v>
      </c>
      <c r="T21">
        <v>1039</v>
      </c>
      <c r="U21">
        <v>2273</v>
      </c>
      <c r="V21">
        <v>11985</v>
      </c>
      <c r="W21">
        <v>3094</v>
      </c>
      <c r="X21">
        <v>12874</v>
      </c>
      <c r="Y21">
        <v>5875</v>
      </c>
      <c r="AD21">
        <v>1987</v>
      </c>
      <c r="AE21">
        <v>4</v>
      </c>
      <c r="AF21">
        <v>944</v>
      </c>
      <c r="AI21" s="5">
        <v>1993</v>
      </c>
      <c r="AJ21" s="6">
        <v>570</v>
      </c>
      <c r="AL21">
        <f t="shared" si="16"/>
        <v>1983</v>
      </c>
      <c r="AM21">
        <f t="shared" si="12"/>
        <v>168</v>
      </c>
      <c r="AN21">
        <f t="shared" si="13"/>
        <v>408.62079783886168</v>
      </c>
      <c r="AO21">
        <f t="shared" si="14"/>
        <v>57898.368352610341</v>
      </c>
      <c r="AP21">
        <f t="shared" si="15"/>
        <v>408.62079783886168</v>
      </c>
      <c r="AZ21">
        <f t="shared" si="2"/>
        <v>1987</v>
      </c>
      <c r="BA21">
        <v>4509</v>
      </c>
      <c r="BB21">
        <f t="shared" si="17"/>
        <v>40762.333333333372</v>
      </c>
      <c r="BC21">
        <v>31503</v>
      </c>
      <c r="BD21">
        <v>22900</v>
      </c>
      <c r="BE21">
        <f t="shared" si="0"/>
        <v>99674.333333333372</v>
      </c>
      <c r="BG21">
        <v>5042</v>
      </c>
      <c r="BH21">
        <v>8870</v>
      </c>
      <c r="BI21">
        <v>8586</v>
      </c>
      <c r="BJ21">
        <v>14388</v>
      </c>
      <c r="BK21">
        <v>23289</v>
      </c>
      <c r="BL21">
        <f t="shared" si="1"/>
        <v>60175</v>
      </c>
    </row>
    <row r="22" spans="1:64" x14ac:dyDescent="0.25">
      <c r="A22" s="11">
        <f t="shared" si="3"/>
        <v>1984</v>
      </c>
      <c r="B22" s="8">
        <f t="shared" si="4"/>
        <v>23944.560000000001</v>
      </c>
      <c r="C22" s="8">
        <f t="shared" si="5"/>
        <v>5250.08</v>
      </c>
      <c r="D22" s="8">
        <f t="shared" si="6"/>
        <v>430.1448103806905</v>
      </c>
      <c r="E22" s="8">
        <f t="shared" si="7"/>
        <v>10518.4</v>
      </c>
      <c r="F22" s="8">
        <f t="shared" si="8"/>
        <v>22935.040000000001</v>
      </c>
      <c r="G22" s="8">
        <f t="shared" si="9"/>
        <v>19551</v>
      </c>
      <c r="H22" s="8">
        <f t="shared" si="10"/>
        <v>60175</v>
      </c>
      <c r="I22" s="8">
        <f t="shared" si="11"/>
        <v>103380.00000000003</v>
      </c>
      <c r="L22">
        <v>1984</v>
      </c>
      <c r="M22">
        <v>944</v>
      </c>
      <c r="N22">
        <v>1981</v>
      </c>
      <c r="O22">
        <v>1446</v>
      </c>
      <c r="P22">
        <v>590</v>
      </c>
      <c r="Q22">
        <v>791</v>
      </c>
      <c r="R22">
        <v>2308</v>
      </c>
      <c r="S22">
        <v>4612</v>
      </c>
      <c r="T22">
        <v>1120</v>
      </c>
      <c r="U22">
        <v>2334</v>
      </c>
      <c r="V22">
        <v>12597</v>
      </c>
      <c r="W22">
        <v>3156</v>
      </c>
      <c r="X22">
        <v>14192</v>
      </c>
      <c r="Y22">
        <v>6517</v>
      </c>
      <c r="AD22">
        <v>1987</v>
      </c>
      <c r="AE22">
        <v>5</v>
      </c>
      <c r="AF22">
        <v>334</v>
      </c>
      <c r="AI22" s="5">
        <v>1994</v>
      </c>
      <c r="AJ22" s="6">
        <v>1222</v>
      </c>
      <c r="AL22">
        <f t="shared" si="16"/>
        <v>1984</v>
      </c>
      <c r="AM22">
        <f t="shared" si="12"/>
        <v>249</v>
      </c>
      <c r="AN22">
        <f t="shared" si="13"/>
        <v>430.1448103806905</v>
      </c>
      <c r="AO22">
        <f t="shared" si="14"/>
        <v>32813.442327856319</v>
      </c>
      <c r="AP22">
        <f t="shared" si="15"/>
        <v>430.1448103806905</v>
      </c>
      <c r="AZ22">
        <f t="shared" si="2"/>
        <v>1988</v>
      </c>
      <c r="BA22">
        <v>4509</v>
      </c>
      <c r="BB22">
        <f t="shared" si="17"/>
        <v>39527.111111111153</v>
      </c>
      <c r="BC22">
        <v>31503</v>
      </c>
      <c r="BD22">
        <v>22900</v>
      </c>
      <c r="BE22">
        <f t="shared" si="0"/>
        <v>98439.111111111153</v>
      </c>
      <c r="BG22">
        <v>5042</v>
      </c>
      <c r="BH22">
        <v>8870</v>
      </c>
      <c r="BI22">
        <v>8586</v>
      </c>
      <c r="BJ22">
        <v>14388</v>
      </c>
      <c r="BK22">
        <v>23289</v>
      </c>
      <c r="BL22">
        <f t="shared" si="1"/>
        <v>60175</v>
      </c>
    </row>
    <row r="23" spans="1:64" x14ac:dyDescent="0.25">
      <c r="A23" s="11">
        <f t="shared" si="3"/>
        <v>1985</v>
      </c>
      <c r="B23" s="8">
        <f t="shared" si="4"/>
        <v>24928</v>
      </c>
      <c r="C23" s="8">
        <f t="shared" si="5"/>
        <v>5462.88</v>
      </c>
      <c r="D23" s="8">
        <f t="shared" si="6"/>
        <v>452.80259564860438</v>
      </c>
      <c r="E23" s="8">
        <f t="shared" si="7"/>
        <v>11273.84</v>
      </c>
      <c r="F23" s="8">
        <f t="shared" si="8"/>
        <v>24908.36</v>
      </c>
      <c r="G23" s="8">
        <f t="shared" si="9"/>
        <v>21546</v>
      </c>
      <c r="H23" s="8">
        <f t="shared" si="10"/>
        <v>60175</v>
      </c>
      <c r="I23" s="8">
        <f t="shared" si="11"/>
        <v>102144.77777777781</v>
      </c>
      <c r="L23">
        <v>1985</v>
      </c>
      <c r="M23">
        <v>1028</v>
      </c>
      <c r="N23">
        <v>2180</v>
      </c>
      <c r="O23">
        <v>1514</v>
      </c>
      <c r="P23">
        <v>631</v>
      </c>
      <c r="Q23">
        <v>790</v>
      </c>
      <c r="R23">
        <v>2468</v>
      </c>
      <c r="S23">
        <v>4949</v>
      </c>
      <c r="T23">
        <v>1202</v>
      </c>
      <c r="U23">
        <v>2392</v>
      </c>
      <c r="V23">
        <v>13186</v>
      </c>
      <c r="W23">
        <v>3214</v>
      </c>
      <c r="X23">
        <v>15571</v>
      </c>
      <c r="Y23">
        <v>7182</v>
      </c>
      <c r="AD23">
        <v>1988</v>
      </c>
      <c r="AE23">
        <v>5</v>
      </c>
      <c r="AF23">
        <v>289</v>
      </c>
      <c r="AI23" s="5">
        <v>1995</v>
      </c>
      <c r="AJ23" s="6">
        <v>944</v>
      </c>
      <c r="AL23">
        <f t="shared" si="16"/>
        <v>1985</v>
      </c>
      <c r="AM23">
        <f t="shared" si="12"/>
        <v>190</v>
      </c>
      <c r="AN23">
        <f t="shared" si="13"/>
        <v>452.80259564860438</v>
      </c>
      <c r="AO23">
        <f t="shared" si="14"/>
        <v>69065.204279643847</v>
      </c>
      <c r="AP23">
        <f t="shared" si="15"/>
        <v>452.80259564860438</v>
      </c>
      <c r="AZ23">
        <f t="shared" si="2"/>
        <v>1989</v>
      </c>
      <c r="BA23">
        <v>4509</v>
      </c>
      <c r="BB23">
        <f t="shared" si="17"/>
        <v>38291.888888888934</v>
      </c>
      <c r="BC23">
        <v>31503</v>
      </c>
      <c r="BD23">
        <v>22900</v>
      </c>
      <c r="BE23">
        <f t="shared" si="0"/>
        <v>97203.888888888934</v>
      </c>
      <c r="BG23">
        <v>5042</v>
      </c>
      <c r="BH23">
        <v>8870</v>
      </c>
      <c r="BI23">
        <v>8586</v>
      </c>
      <c r="BJ23">
        <v>14388</v>
      </c>
      <c r="BK23">
        <v>23289</v>
      </c>
      <c r="BL23">
        <f t="shared" si="1"/>
        <v>60175</v>
      </c>
    </row>
    <row r="24" spans="1:64" x14ac:dyDescent="0.25">
      <c r="A24" s="11">
        <f t="shared" si="3"/>
        <v>1986</v>
      </c>
      <c r="B24" s="8">
        <f t="shared" si="4"/>
        <v>25870.400000000001</v>
      </c>
      <c r="C24" s="8">
        <f t="shared" si="5"/>
        <v>5669.6</v>
      </c>
      <c r="D24" s="8">
        <f t="shared" si="6"/>
        <v>476.65387487682557</v>
      </c>
      <c r="E24" s="8">
        <f t="shared" si="7"/>
        <v>12017.12</v>
      </c>
      <c r="F24" s="8">
        <f t="shared" si="8"/>
        <v>26930.04</v>
      </c>
      <c r="G24" s="8">
        <f t="shared" si="9"/>
        <v>23595</v>
      </c>
      <c r="H24" s="8">
        <f t="shared" si="10"/>
        <v>60175</v>
      </c>
      <c r="I24" s="8">
        <f t="shared" si="11"/>
        <v>100909.55555555559</v>
      </c>
      <c r="L24">
        <v>1986</v>
      </c>
      <c r="M24">
        <v>1110</v>
      </c>
      <c r="N24">
        <v>2380</v>
      </c>
      <c r="O24">
        <v>1578</v>
      </c>
      <c r="P24">
        <v>671</v>
      </c>
      <c r="Q24">
        <v>788</v>
      </c>
      <c r="R24">
        <v>2626</v>
      </c>
      <c r="S24">
        <v>5280</v>
      </c>
      <c r="T24">
        <v>1284</v>
      </c>
      <c r="U24">
        <v>2446</v>
      </c>
      <c r="V24">
        <v>13749</v>
      </c>
      <c r="W24">
        <v>3271</v>
      </c>
      <c r="X24">
        <v>17009</v>
      </c>
      <c r="Y24">
        <v>7865</v>
      </c>
      <c r="AD24">
        <v>1988</v>
      </c>
      <c r="AE24">
        <v>5</v>
      </c>
      <c r="AF24">
        <v>543</v>
      </c>
      <c r="AI24" s="5">
        <v>1996</v>
      </c>
      <c r="AJ24" s="6">
        <v>1032</v>
      </c>
      <c r="AL24">
        <f t="shared" si="16"/>
        <v>1986</v>
      </c>
      <c r="AM24">
        <f t="shared" si="12"/>
        <v>190</v>
      </c>
      <c r="AN24">
        <f t="shared" si="13"/>
        <v>476.65387487682557</v>
      </c>
      <c r="AO24">
        <f t="shared" si="14"/>
        <v>82170.443981898774</v>
      </c>
      <c r="AP24">
        <f t="shared" si="15"/>
        <v>476.65387487682557</v>
      </c>
      <c r="AZ24">
        <f t="shared" si="2"/>
        <v>1990</v>
      </c>
      <c r="BA24">
        <v>4509</v>
      </c>
      <c r="BB24">
        <f t="shared" si="17"/>
        <v>37056.666666666715</v>
      </c>
      <c r="BC24">
        <v>31503</v>
      </c>
      <c r="BD24">
        <v>22900</v>
      </c>
      <c r="BE24">
        <f t="shared" si="0"/>
        <v>95968.666666666715</v>
      </c>
      <c r="BG24">
        <v>5042</v>
      </c>
      <c r="BH24">
        <v>8870</v>
      </c>
      <c r="BI24">
        <v>8586</v>
      </c>
      <c r="BJ24">
        <v>14388</v>
      </c>
      <c r="BK24">
        <v>23289</v>
      </c>
      <c r="BL24">
        <f t="shared" si="1"/>
        <v>60175</v>
      </c>
    </row>
    <row r="25" spans="1:64" x14ac:dyDescent="0.25">
      <c r="A25" s="11">
        <f t="shared" si="3"/>
        <v>1987</v>
      </c>
      <c r="B25" s="8">
        <f t="shared" si="4"/>
        <v>26773.279999999999</v>
      </c>
      <c r="C25" s="8">
        <f t="shared" si="5"/>
        <v>5874.8</v>
      </c>
      <c r="D25" s="8">
        <f t="shared" si="6"/>
        <v>501.76151510272985</v>
      </c>
      <c r="E25" s="8">
        <f t="shared" si="7"/>
        <v>12757.36</v>
      </c>
      <c r="F25" s="8">
        <f t="shared" si="8"/>
        <v>28999.16</v>
      </c>
      <c r="G25" s="8">
        <f t="shared" si="9"/>
        <v>25677</v>
      </c>
      <c r="H25" s="8">
        <f t="shared" si="10"/>
        <v>60175</v>
      </c>
      <c r="I25" s="8">
        <f t="shared" si="11"/>
        <v>99674.333333333372</v>
      </c>
      <c r="L25">
        <v>1987</v>
      </c>
      <c r="M25">
        <v>1191</v>
      </c>
      <c r="N25">
        <v>2580</v>
      </c>
      <c r="O25">
        <v>1639</v>
      </c>
      <c r="P25">
        <v>711</v>
      </c>
      <c r="Q25">
        <v>787</v>
      </c>
      <c r="R25">
        <v>2784</v>
      </c>
      <c r="S25">
        <v>5609</v>
      </c>
      <c r="T25">
        <v>1366</v>
      </c>
      <c r="U25">
        <v>2499</v>
      </c>
      <c r="V25">
        <v>14281</v>
      </c>
      <c r="W25">
        <v>3333</v>
      </c>
      <c r="X25">
        <v>18499</v>
      </c>
      <c r="Y25">
        <v>8559</v>
      </c>
      <c r="AD25">
        <v>1989</v>
      </c>
      <c r="AE25">
        <v>5</v>
      </c>
      <c r="AF25">
        <v>612</v>
      </c>
      <c r="AI25" s="5">
        <v>1997</v>
      </c>
      <c r="AJ25" s="6">
        <v>345</v>
      </c>
      <c r="AL25">
        <f t="shared" si="16"/>
        <v>1987</v>
      </c>
      <c r="AM25">
        <f t="shared" si="12"/>
        <v>944</v>
      </c>
      <c r="AN25">
        <f t="shared" si="13"/>
        <v>501.76151510272985</v>
      </c>
      <c r="AO25">
        <f t="shared" si="14"/>
        <v>195574.87752423304</v>
      </c>
      <c r="AP25">
        <f t="shared" si="15"/>
        <v>501.76151510272985</v>
      </c>
      <c r="AZ25">
        <f t="shared" si="2"/>
        <v>1991</v>
      </c>
      <c r="BA25">
        <v>4509</v>
      </c>
      <c r="BB25">
        <f t="shared" si="17"/>
        <v>35821.444444444496</v>
      </c>
      <c r="BC25">
        <v>31503</v>
      </c>
      <c r="BD25">
        <v>22900</v>
      </c>
      <c r="BE25">
        <f t="shared" si="0"/>
        <v>94733.444444444496</v>
      </c>
      <c r="BG25">
        <v>5042</v>
      </c>
      <c r="BH25">
        <v>8870</v>
      </c>
      <c r="BI25">
        <v>8586</v>
      </c>
      <c r="BJ25">
        <v>14388</v>
      </c>
      <c r="BK25">
        <v>23289</v>
      </c>
      <c r="BL25">
        <f t="shared" si="1"/>
        <v>60175</v>
      </c>
    </row>
    <row r="26" spans="1:64" x14ac:dyDescent="0.25">
      <c r="A26" s="11">
        <f t="shared" si="3"/>
        <v>1988</v>
      </c>
      <c r="B26" s="8">
        <f t="shared" si="4"/>
        <v>27612.32</v>
      </c>
      <c r="C26" s="8">
        <f t="shared" si="5"/>
        <v>6075.4400000000005</v>
      </c>
      <c r="D26" s="8">
        <f t="shared" si="6"/>
        <v>528.19169487135025</v>
      </c>
      <c r="E26" s="8">
        <f t="shared" si="7"/>
        <v>13471.76</v>
      </c>
      <c r="F26" s="8">
        <f t="shared" si="8"/>
        <v>31101.64</v>
      </c>
      <c r="G26" s="8">
        <f t="shared" si="9"/>
        <v>27777</v>
      </c>
      <c r="H26" s="8">
        <f t="shared" si="10"/>
        <v>60175</v>
      </c>
      <c r="I26" s="8">
        <f t="shared" si="11"/>
        <v>98439.111111111153</v>
      </c>
      <c r="L26">
        <v>1988</v>
      </c>
      <c r="M26">
        <v>1271</v>
      </c>
      <c r="N26">
        <v>2780</v>
      </c>
      <c r="O26">
        <v>1696</v>
      </c>
      <c r="P26">
        <v>749</v>
      </c>
      <c r="Q26">
        <v>786</v>
      </c>
      <c r="R26">
        <v>2936</v>
      </c>
      <c r="S26">
        <v>5927</v>
      </c>
      <c r="T26">
        <v>1448</v>
      </c>
      <c r="U26">
        <v>2549</v>
      </c>
      <c r="V26">
        <v>14779</v>
      </c>
      <c r="W26">
        <v>3387</v>
      </c>
      <c r="X26">
        <v>20033</v>
      </c>
      <c r="Y26">
        <v>9259</v>
      </c>
      <c r="AD26">
        <v>1989</v>
      </c>
      <c r="AE26">
        <v>6</v>
      </c>
      <c r="AF26">
        <v>521</v>
      </c>
      <c r="AI26" s="5">
        <v>1998</v>
      </c>
      <c r="AJ26" s="6">
        <v>968</v>
      </c>
      <c r="AL26">
        <f t="shared" si="16"/>
        <v>1988</v>
      </c>
      <c r="AM26">
        <f t="shared" si="12"/>
        <v>543</v>
      </c>
      <c r="AN26">
        <f t="shared" si="13"/>
        <v>528.19169487135025</v>
      </c>
      <c r="AO26">
        <f t="shared" si="14"/>
        <v>219.28590078319448</v>
      </c>
      <c r="AP26">
        <f t="shared" si="15"/>
        <v>528.19169487135025</v>
      </c>
      <c r="AZ26">
        <f t="shared" si="2"/>
        <v>1992</v>
      </c>
      <c r="BA26">
        <v>4509</v>
      </c>
      <c r="BB26">
        <f t="shared" si="17"/>
        <v>34586.222222222277</v>
      </c>
      <c r="BC26">
        <v>31503</v>
      </c>
      <c r="BD26">
        <v>22900</v>
      </c>
      <c r="BE26">
        <f t="shared" si="0"/>
        <v>93498.222222222277</v>
      </c>
      <c r="BG26">
        <v>5042</v>
      </c>
      <c r="BH26">
        <v>8870</v>
      </c>
      <c r="BI26">
        <v>8586</v>
      </c>
      <c r="BJ26">
        <v>14388</v>
      </c>
      <c r="BK26">
        <v>23289</v>
      </c>
      <c r="BL26">
        <f t="shared" si="1"/>
        <v>60175</v>
      </c>
    </row>
    <row r="27" spans="1:64" x14ac:dyDescent="0.25">
      <c r="A27" s="11">
        <f t="shared" si="3"/>
        <v>1989</v>
      </c>
      <c r="B27" s="8">
        <f t="shared" si="4"/>
        <v>28402.720000000001</v>
      </c>
      <c r="C27" s="8">
        <f t="shared" si="5"/>
        <v>6266.96</v>
      </c>
      <c r="D27" s="8">
        <f t="shared" si="6"/>
        <v>556.01407866832972</v>
      </c>
      <c r="E27" s="8">
        <f t="shared" si="7"/>
        <v>14164.880000000001</v>
      </c>
      <c r="F27" s="8">
        <f t="shared" si="8"/>
        <v>33218.880000000005</v>
      </c>
      <c r="G27" s="8">
        <f t="shared" si="9"/>
        <v>29892</v>
      </c>
      <c r="H27" s="8">
        <f t="shared" si="10"/>
        <v>60175</v>
      </c>
      <c r="I27" s="8">
        <f t="shared" si="11"/>
        <v>97203.888888888934</v>
      </c>
      <c r="L27">
        <v>1989</v>
      </c>
      <c r="M27">
        <v>1348</v>
      </c>
      <c r="N27">
        <v>2977</v>
      </c>
      <c r="O27">
        <v>1748</v>
      </c>
      <c r="P27">
        <v>786</v>
      </c>
      <c r="Q27">
        <v>785</v>
      </c>
      <c r="R27">
        <v>3084</v>
      </c>
      <c r="S27">
        <v>6235</v>
      </c>
      <c r="T27">
        <v>1528</v>
      </c>
      <c r="U27">
        <v>2595</v>
      </c>
      <c r="V27">
        <v>15250</v>
      </c>
      <c r="W27">
        <v>3436</v>
      </c>
      <c r="X27">
        <v>21600</v>
      </c>
      <c r="Y27">
        <v>9964</v>
      </c>
      <c r="AD27">
        <v>1990</v>
      </c>
      <c r="AE27">
        <v>5</v>
      </c>
      <c r="AF27">
        <v>430</v>
      </c>
      <c r="AI27" s="5">
        <v>1999</v>
      </c>
      <c r="AJ27" s="6">
        <v>759</v>
      </c>
      <c r="AL27">
        <f t="shared" si="16"/>
        <v>1989</v>
      </c>
      <c r="AM27">
        <f t="shared" si="12"/>
        <v>612</v>
      </c>
      <c r="AN27">
        <f t="shared" si="13"/>
        <v>556.01407866832972</v>
      </c>
      <c r="AO27">
        <f t="shared" si="14"/>
        <v>3134.4233873559738</v>
      </c>
      <c r="AP27">
        <f t="shared" si="15"/>
        <v>556.01407866832972</v>
      </c>
      <c r="AZ27">
        <f t="shared" si="2"/>
        <v>1993</v>
      </c>
      <c r="BA27">
        <v>4509</v>
      </c>
      <c r="BB27">
        <f t="shared" si="17"/>
        <v>33351.000000000058</v>
      </c>
      <c r="BC27">
        <v>31503</v>
      </c>
      <c r="BD27">
        <v>22900</v>
      </c>
      <c r="BE27">
        <f t="shared" si="0"/>
        <v>92263.000000000058</v>
      </c>
      <c r="BG27">
        <v>5042</v>
      </c>
      <c r="BH27">
        <v>8870</v>
      </c>
      <c r="BI27">
        <v>8586</v>
      </c>
      <c r="BJ27">
        <v>14388</v>
      </c>
      <c r="BK27">
        <v>23289</v>
      </c>
      <c r="BL27">
        <f t="shared" si="1"/>
        <v>60175</v>
      </c>
    </row>
    <row r="28" spans="1:64" x14ac:dyDescent="0.25">
      <c r="A28" s="11">
        <f t="shared" si="3"/>
        <v>1990</v>
      </c>
      <c r="B28" s="8">
        <f t="shared" si="4"/>
        <v>29133.84</v>
      </c>
      <c r="C28" s="8">
        <f t="shared" si="5"/>
        <v>6450.88</v>
      </c>
      <c r="D28" s="8">
        <f t="shared" si="6"/>
        <v>585.30200054109241</v>
      </c>
      <c r="E28" s="8">
        <f t="shared" si="7"/>
        <v>14833.68</v>
      </c>
      <c r="F28" s="8">
        <f t="shared" si="8"/>
        <v>35353.4</v>
      </c>
      <c r="G28" s="8">
        <f t="shared" si="9"/>
        <v>32007</v>
      </c>
      <c r="H28" s="8">
        <f t="shared" si="10"/>
        <v>60175</v>
      </c>
      <c r="I28" s="8">
        <f t="shared" si="11"/>
        <v>95968.666666666715</v>
      </c>
      <c r="L28">
        <v>1990</v>
      </c>
      <c r="M28">
        <v>1421</v>
      </c>
      <c r="N28">
        <v>3169</v>
      </c>
      <c r="O28">
        <v>1797</v>
      </c>
      <c r="P28">
        <v>823</v>
      </c>
      <c r="Q28">
        <v>785</v>
      </c>
      <c r="R28">
        <v>3224</v>
      </c>
      <c r="S28">
        <v>6535</v>
      </c>
      <c r="T28">
        <v>1606</v>
      </c>
      <c r="U28">
        <v>2638</v>
      </c>
      <c r="V28">
        <v>15689</v>
      </c>
      <c r="W28">
        <v>3478</v>
      </c>
      <c r="X28">
        <v>23201</v>
      </c>
      <c r="Y28">
        <v>10669</v>
      </c>
      <c r="AD28">
        <v>1991</v>
      </c>
      <c r="AE28">
        <v>4</v>
      </c>
      <c r="AF28">
        <v>409</v>
      </c>
      <c r="AI28" s="5">
        <v>2000</v>
      </c>
      <c r="AJ28" s="6">
        <v>543</v>
      </c>
      <c r="AL28">
        <f t="shared" si="16"/>
        <v>1990</v>
      </c>
      <c r="AM28">
        <f t="shared" si="12"/>
        <v>430</v>
      </c>
      <c r="AN28">
        <f t="shared" si="13"/>
        <v>585.30200054109241</v>
      </c>
      <c r="AO28">
        <f t="shared" si="14"/>
        <v>24118.711372065467</v>
      </c>
      <c r="AP28">
        <f t="shared" si="15"/>
        <v>585.30200054109241</v>
      </c>
      <c r="AZ28">
        <f t="shared" si="2"/>
        <v>1994</v>
      </c>
      <c r="BA28">
        <v>4509</v>
      </c>
      <c r="BB28">
        <f t="shared" si="17"/>
        <v>32115.777777777836</v>
      </c>
      <c r="BC28">
        <v>31503</v>
      </c>
      <c r="BD28">
        <v>22900</v>
      </c>
      <c r="BE28">
        <f t="shared" si="0"/>
        <v>91027.777777777839</v>
      </c>
      <c r="BG28">
        <v>5042</v>
      </c>
      <c r="BH28">
        <v>8870</v>
      </c>
      <c r="BI28">
        <v>8586</v>
      </c>
      <c r="BJ28">
        <v>14388</v>
      </c>
      <c r="BK28">
        <v>23289</v>
      </c>
      <c r="BL28">
        <f t="shared" si="1"/>
        <v>60175</v>
      </c>
    </row>
    <row r="29" spans="1:64" x14ac:dyDescent="0.25">
      <c r="A29" s="11">
        <f t="shared" si="3"/>
        <v>1991</v>
      </c>
      <c r="B29" s="8">
        <f t="shared" si="4"/>
        <v>29820.880000000001</v>
      </c>
      <c r="C29" s="8">
        <f t="shared" si="5"/>
        <v>6622.64</v>
      </c>
      <c r="D29" s="8">
        <f t="shared" si="6"/>
        <v>616.13265739222015</v>
      </c>
      <c r="E29" s="8">
        <f t="shared" si="7"/>
        <v>15481.2</v>
      </c>
      <c r="F29" s="8">
        <f t="shared" si="8"/>
        <v>37475.64</v>
      </c>
      <c r="G29" s="8">
        <f t="shared" si="9"/>
        <v>34119</v>
      </c>
      <c r="H29" s="8">
        <f t="shared" si="10"/>
        <v>60175</v>
      </c>
      <c r="I29" s="8">
        <f t="shared" si="11"/>
        <v>94733.444444444496</v>
      </c>
      <c r="L29">
        <v>1991</v>
      </c>
      <c r="M29">
        <v>1493</v>
      </c>
      <c r="N29">
        <v>3356</v>
      </c>
      <c r="O29">
        <v>1842</v>
      </c>
      <c r="P29">
        <v>857</v>
      </c>
      <c r="Q29">
        <v>784</v>
      </c>
      <c r="R29">
        <v>3360</v>
      </c>
      <c r="S29">
        <v>6825</v>
      </c>
      <c r="T29">
        <v>1681</v>
      </c>
      <c r="U29">
        <v>2676</v>
      </c>
      <c r="V29">
        <v>16099</v>
      </c>
      <c r="W29">
        <v>3520</v>
      </c>
      <c r="X29">
        <v>24811</v>
      </c>
      <c r="Y29">
        <v>11373</v>
      </c>
      <c r="AD29">
        <v>1991</v>
      </c>
      <c r="AE29">
        <v>5</v>
      </c>
      <c r="AF29">
        <v>553</v>
      </c>
      <c r="AI29" s="5">
        <v>2001</v>
      </c>
      <c r="AJ29" s="6">
        <v>826</v>
      </c>
      <c r="AL29">
        <f t="shared" si="16"/>
        <v>1991</v>
      </c>
      <c r="AM29">
        <f t="shared" si="12"/>
        <v>553</v>
      </c>
      <c r="AN29">
        <f t="shared" si="13"/>
        <v>616.13265739222015</v>
      </c>
      <c r="AO29">
        <f t="shared" si="14"/>
        <v>3985.7324294034502</v>
      </c>
      <c r="AP29">
        <f t="shared" si="15"/>
        <v>616.13265739222015</v>
      </c>
      <c r="AZ29">
        <f t="shared" si="2"/>
        <v>1995</v>
      </c>
      <c r="BA29">
        <v>4509</v>
      </c>
      <c r="BB29">
        <f t="shared" si="17"/>
        <v>30880.555555555613</v>
      </c>
      <c r="BC29">
        <v>31503</v>
      </c>
      <c r="BD29">
        <v>22900</v>
      </c>
      <c r="BE29">
        <f t="shared" si="0"/>
        <v>89792.55555555562</v>
      </c>
      <c r="BG29">
        <v>5042</v>
      </c>
      <c r="BH29">
        <v>8870</v>
      </c>
      <c r="BI29">
        <v>8586</v>
      </c>
      <c r="BJ29">
        <v>14388</v>
      </c>
      <c r="BK29">
        <v>23289</v>
      </c>
      <c r="BL29">
        <f t="shared" si="1"/>
        <v>60175</v>
      </c>
    </row>
    <row r="30" spans="1:64" x14ac:dyDescent="0.25">
      <c r="A30" s="11">
        <f t="shared" si="3"/>
        <v>1992</v>
      </c>
      <c r="B30" s="8">
        <f t="shared" si="4"/>
        <v>30442.560000000001</v>
      </c>
      <c r="C30" s="8">
        <f t="shared" si="5"/>
        <v>6788.32</v>
      </c>
      <c r="D30" s="8">
        <f t="shared" si="6"/>
        <v>648.58731245451622</v>
      </c>
      <c r="E30" s="8">
        <f t="shared" si="7"/>
        <v>16092.24</v>
      </c>
      <c r="F30" s="8">
        <f t="shared" si="8"/>
        <v>39600.120000000003</v>
      </c>
      <c r="G30" s="8">
        <f t="shared" si="9"/>
        <v>36216</v>
      </c>
      <c r="H30" s="8">
        <f t="shared" si="10"/>
        <v>60175</v>
      </c>
      <c r="I30" s="8">
        <f t="shared" si="11"/>
        <v>93498.222222222277</v>
      </c>
      <c r="L30">
        <v>1992</v>
      </c>
      <c r="M30">
        <v>1562</v>
      </c>
      <c r="N30">
        <v>3537</v>
      </c>
      <c r="O30">
        <v>1884</v>
      </c>
      <c r="P30">
        <v>891</v>
      </c>
      <c r="Q30">
        <v>782</v>
      </c>
      <c r="R30">
        <v>3487</v>
      </c>
      <c r="S30">
        <v>7100</v>
      </c>
      <c r="T30">
        <v>1754</v>
      </c>
      <c r="U30">
        <v>2712</v>
      </c>
      <c r="V30">
        <v>16473</v>
      </c>
      <c r="W30">
        <v>3555</v>
      </c>
      <c r="X30">
        <v>26443</v>
      </c>
      <c r="Y30">
        <v>12072</v>
      </c>
      <c r="AD30">
        <v>1992</v>
      </c>
      <c r="AE30">
        <v>4</v>
      </c>
      <c r="AF30">
        <v>1270</v>
      </c>
      <c r="AI30" s="5">
        <v>2002</v>
      </c>
      <c r="AJ30" s="6">
        <v>869</v>
      </c>
      <c r="AL30">
        <f t="shared" si="16"/>
        <v>1992</v>
      </c>
      <c r="AM30">
        <f t="shared" si="12"/>
        <v>1270</v>
      </c>
      <c r="AN30">
        <f t="shared" si="13"/>
        <v>648.58731245451622</v>
      </c>
      <c r="AO30">
        <f t="shared" si="14"/>
        <v>386153.72824250103</v>
      </c>
      <c r="AP30">
        <f t="shared" si="15"/>
        <v>648.58731245451622</v>
      </c>
      <c r="AZ30">
        <f t="shared" si="2"/>
        <v>1996</v>
      </c>
      <c r="BA30">
        <v>4509</v>
      </c>
      <c r="BB30">
        <f t="shared" si="17"/>
        <v>29645.33333333339</v>
      </c>
      <c r="BC30">
        <v>31503</v>
      </c>
      <c r="BD30">
        <v>22900</v>
      </c>
      <c r="BE30">
        <f t="shared" si="0"/>
        <v>88557.333333333387</v>
      </c>
      <c r="BG30">
        <v>5042</v>
      </c>
      <c r="BH30">
        <v>8870</v>
      </c>
      <c r="BI30">
        <v>8586</v>
      </c>
      <c r="BJ30">
        <v>14388</v>
      </c>
      <c r="BK30">
        <v>23289</v>
      </c>
      <c r="BL30">
        <f t="shared" si="1"/>
        <v>60175</v>
      </c>
    </row>
    <row r="31" spans="1:64" x14ac:dyDescent="0.25">
      <c r="A31" s="11">
        <f t="shared" si="3"/>
        <v>1993</v>
      </c>
      <c r="B31" s="8">
        <f t="shared" si="4"/>
        <v>31001.920000000002</v>
      </c>
      <c r="C31" s="8">
        <f t="shared" si="5"/>
        <v>6941.84</v>
      </c>
      <c r="D31" s="8">
        <f t="shared" si="6"/>
        <v>682.75150948407429</v>
      </c>
      <c r="E31" s="8">
        <f t="shared" si="7"/>
        <v>16671.36</v>
      </c>
      <c r="F31" s="8">
        <f t="shared" si="8"/>
        <v>41715.279999999999</v>
      </c>
      <c r="G31" s="8">
        <f t="shared" si="9"/>
        <v>38298</v>
      </c>
      <c r="H31" s="8">
        <f t="shared" si="10"/>
        <v>60175</v>
      </c>
      <c r="I31" s="8">
        <f t="shared" si="11"/>
        <v>92263.000000000058</v>
      </c>
      <c r="L31">
        <v>1993</v>
      </c>
      <c r="M31">
        <v>1628</v>
      </c>
      <c r="N31">
        <v>3711</v>
      </c>
      <c r="O31">
        <v>1922</v>
      </c>
      <c r="P31">
        <v>923</v>
      </c>
      <c r="Q31">
        <v>780</v>
      </c>
      <c r="R31">
        <v>3607</v>
      </c>
      <c r="S31">
        <v>7361</v>
      </c>
      <c r="T31">
        <v>1823</v>
      </c>
      <c r="U31">
        <v>2744</v>
      </c>
      <c r="V31">
        <v>16812</v>
      </c>
      <c r="W31">
        <v>3584</v>
      </c>
      <c r="X31">
        <v>28090</v>
      </c>
      <c r="Y31">
        <v>12766</v>
      </c>
      <c r="AD31">
        <v>1992</v>
      </c>
      <c r="AE31">
        <v>5</v>
      </c>
      <c r="AF31">
        <v>1176</v>
      </c>
      <c r="AI31" s="5">
        <v>2003</v>
      </c>
      <c r="AJ31" s="6">
        <v>1179</v>
      </c>
      <c r="AL31">
        <f t="shared" si="16"/>
        <v>1993</v>
      </c>
      <c r="AM31">
        <f t="shared" si="12"/>
        <v>570</v>
      </c>
      <c r="AN31">
        <f t="shared" si="13"/>
        <v>682.75150948407429</v>
      </c>
      <c r="AO31">
        <f t="shared" si="14"/>
        <v>12712.902890937296</v>
      </c>
      <c r="AP31">
        <f t="shared" si="15"/>
        <v>682.75150948407429</v>
      </c>
      <c r="AZ31">
        <f t="shared" si="2"/>
        <v>1997</v>
      </c>
      <c r="BA31">
        <v>4509</v>
      </c>
      <c r="BB31">
        <f t="shared" si="17"/>
        <v>28410.111111111168</v>
      </c>
      <c r="BC31">
        <v>31503</v>
      </c>
      <c r="BD31">
        <v>22900</v>
      </c>
      <c r="BE31">
        <f t="shared" si="0"/>
        <v>87322.111111111168</v>
      </c>
      <c r="BG31">
        <v>5042</v>
      </c>
      <c r="BH31">
        <v>8870</v>
      </c>
      <c r="BI31">
        <v>8586</v>
      </c>
      <c r="BJ31">
        <v>14388</v>
      </c>
      <c r="BK31">
        <v>23289</v>
      </c>
      <c r="BL31">
        <f t="shared" si="1"/>
        <v>60175</v>
      </c>
    </row>
    <row r="32" spans="1:64" x14ac:dyDescent="0.25">
      <c r="A32" s="11">
        <f t="shared" si="3"/>
        <v>1994</v>
      </c>
      <c r="B32" s="8">
        <f t="shared" si="4"/>
        <v>31535.439999999999</v>
      </c>
      <c r="C32" s="8">
        <f t="shared" si="5"/>
        <v>7086.24</v>
      </c>
      <c r="D32" s="8">
        <f t="shared" si="6"/>
        <v>718.71529823592084</v>
      </c>
      <c r="E32" s="8">
        <f t="shared" si="7"/>
        <v>17218.560000000001</v>
      </c>
      <c r="F32" s="8">
        <f t="shared" si="8"/>
        <v>43812.04</v>
      </c>
      <c r="G32" s="8">
        <f t="shared" si="9"/>
        <v>40347</v>
      </c>
      <c r="H32" s="8">
        <f t="shared" si="10"/>
        <v>60175</v>
      </c>
      <c r="I32" s="8">
        <f t="shared" si="11"/>
        <v>91027.777777777839</v>
      </c>
      <c r="L32">
        <v>1994</v>
      </c>
      <c r="M32">
        <v>1689</v>
      </c>
      <c r="N32">
        <v>3875</v>
      </c>
      <c r="O32">
        <v>1956</v>
      </c>
      <c r="P32">
        <v>954</v>
      </c>
      <c r="Q32">
        <v>778</v>
      </c>
      <c r="R32">
        <v>3720</v>
      </c>
      <c r="S32">
        <v>7608</v>
      </c>
      <c r="T32">
        <v>1888</v>
      </c>
      <c r="U32">
        <v>2774</v>
      </c>
      <c r="V32">
        <v>17134</v>
      </c>
      <c r="W32">
        <v>3613</v>
      </c>
      <c r="X32">
        <v>29749</v>
      </c>
      <c r="Y32">
        <v>13449</v>
      </c>
      <c r="AD32">
        <v>1992</v>
      </c>
      <c r="AE32">
        <v>5</v>
      </c>
      <c r="AF32">
        <v>901</v>
      </c>
      <c r="AI32" s="5">
        <v>2005</v>
      </c>
      <c r="AJ32" s="6">
        <v>1746</v>
      </c>
      <c r="AL32">
        <f t="shared" si="16"/>
        <v>1994</v>
      </c>
      <c r="AM32">
        <f t="shared" si="12"/>
        <v>1222</v>
      </c>
      <c r="AN32">
        <f t="shared" si="13"/>
        <v>718.71529823592084</v>
      </c>
      <c r="AO32">
        <f t="shared" si="14"/>
        <v>253295.49102975809</v>
      </c>
      <c r="AP32">
        <f t="shared" si="15"/>
        <v>718.71529823592084</v>
      </c>
      <c r="AZ32">
        <f t="shared" si="2"/>
        <v>1998</v>
      </c>
      <c r="BA32">
        <v>4509</v>
      </c>
      <c r="BB32">
        <f t="shared" si="17"/>
        <v>27174.888888888945</v>
      </c>
      <c r="BC32">
        <v>31503</v>
      </c>
      <c r="BD32">
        <v>22900</v>
      </c>
      <c r="BE32">
        <f t="shared" si="0"/>
        <v>86086.888888888949</v>
      </c>
      <c r="BG32">
        <v>5042</v>
      </c>
      <c r="BH32">
        <v>8870</v>
      </c>
      <c r="BI32">
        <v>8586</v>
      </c>
      <c r="BJ32">
        <v>14388</v>
      </c>
      <c r="BK32">
        <v>23289</v>
      </c>
      <c r="BL32">
        <f t="shared" si="1"/>
        <v>60175</v>
      </c>
    </row>
    <row r="33" spans="1:64" x14ac:dyDescent="0.25">
      <c r="A33" s="11">
        <f t="shared" si="3"/>
        <v>1995</v>
      </c>
      <c r="B33" s="8">
        <f t="shared" si="4"/>
        <v>32024.880000000001</v>
      </c>
      <c r="C33" s="8">
        <f t="shared" si="5"/>
        <v>7223.04</v>
      </c>
      <c r="D33" s="8">
        <f t="shared" si="6"/>
        <v>756.57347181653881</v>
      </c>
      <c r="E33" s="8">
        <f t="shared" si="7"/>
        <v>17752.080000000002</v>
      </c>
      <c r="F33" s="8">
        <f t="shared" si="8"/>
        <v>45855.520000000004</v>
      </c>
      <c r="G33" s="8">
        <f t="shared" si="9"/>
        <v>42357</v>
      </c>
      <c r="H33" s="8">
        <f t="shared" si="10"/>
        <v>60175</v>
      </c>
      <c r="I33" s="8">
        <f t="shared" si="11"/>
        <v>89792.55555555562</v>
      </c>
      <c r="L33">
        <v>1995</v>
      </c>
      <c r="M33">
        <v>1748</v>
      </c>
      <c r="N33">
        <v>4030</v>
      </c>
      <c r="O33">
        <v>1987</v>
      </c>
      <c r="P33">
        <v>984</v>
      </c>
      <c r="Q33">
        <v>777</v>
      </c>
      <c r="R33">
        <v>3828</v>
      </c>
      <c r="S33">
        <v>7851</v>
      </c>
      <c r="T33">
        <v>1949</v>
      </c>
      <c r="U33">
        <v>2803</v>
      </c>
      <c r="V33">
        <v>17431</v>
      </c>
      <c r="W33">
        <v>3638</v>
      </c>
      <c r="X33">
        <v>31376</v>
      </c>
      <c r="Y33">
        <v>14119</v>
      </c>
      <c r="AD33">
        <v>1993</v>
      </c>
      <c r="AE33">
        <v>5</v>
      </c>
      <c r="AF33">
        <v>570</v>
      </c>
      <c r="AI33" s="5">
        <v>2006</v>
      </c>
      <c r="AJ33" s="6">
        <v>2091</v>
      </c>
      <c r="AL33">
        <f t="shared" si="16"/>
        <v>1995</v>
      </c>
      <c r="AM33">
        <f t="shared" si="12"/>
        <v>944</v>
      </c>
      <c r="AN33">
        <f t="shared" si="13"/>
        <v>756.57347181653881</v>
      </c>
      <c r="AO33">
        <f t="shared" si="14"/>
        <v>35128.703466905768</v>
      </c>
      <c r="AP33">
        <f t="shared" si="15"/>
        <v>756.57347181653881</v>
      </c>
      <c r="AZ33">
        <f t="shared" si="2"/>
        <v>1999</v>
      </c>
      <c r="BA33">
        <v>4509</v>
      </c>
      <c r="BB33">
        <f t="shared" si="17"/>
        <v>25939.666666666722</v>
      </c>
      <c r="BC33">
        <v>31503</v>
      </c>
      <c r="BD33">
        <v>22900</v>
      </c>
      <c r="BE33">
        <f t="shared" si="0"/>
        <v>84851.666666666715</v>
      </c>
      <c r="BG33">
        <v>5042</v>
      </c>
      <c r="BH33">
        <v>8870</v>
      </c>
      <c r="BI33">
        <v>8586</v>
      </c>
      <c r="BJ33">
        <v>14388</v>
      </c>
      <c r="BK33">
        <v>23289</v>
      </c>
      <c r="BL33">
        <f t="shared" si="1"/>
        <v>60175</v>
      </c>
    </row>
    <row r="34" spans="1:64" x14ac:dyDescent="0.25">
      <c r="A34" s="11">
        <f t="shared" si="3"/>
        <v>1996</v>
      </c>
      <c r="B34" s="8">
        <f t="shared" si="4"/>
        <v>32462.639999999999</v>
      </c>
      <c r="C34" s="8">
        <f t="shared" si="5"/>
        <v>7353.76</v>
      </c>
      <c r="D34" s="8">
        <f t="shared" si="6"/>
        <v>796.42581653888431</v>
      </c>
      <c r="E34" s="8">
        <f t="shared" si="7"/>
        <v>18262.8</v>
      </c>
      <c r="F34" s="8">
        <f t="shared" si="8"/>
        <v>47864.56</v>
      </c>
      <c r="G34" s="8">
        <f t="shared" si="9"/>
        <v>44325</v>
      </c>
      <c r="H34" s="8">
        <f t="shared" si="10"/>
        <v>60175</v>
      </c>
      <c r="I34" s="8">
        <f t="shared" si="11"/>
        <v>88557.333333333387</v>
      </c>
      <c r="L34">
        <v>1996</v>
      </c>
      <c r="M34">
        <v>1801</v>
      </c>
      <c r="N34">
        <v>4173</v>
      </c>
      <c r="O34">
        <v>2015</v>
      </c>
      <c r="P34">
        <v>1013</v>
      </c>
      <c r="Q34">
        <v>776</v>
      </c>
      <c r="R34">
        <v>3926</v>
      </c>
      <c r="S34">
        <v>8089</v>
      </c>
      <c r="T34">
        <v>2007</v>
      </c>
      <c r="U34">
        <v>2831</v>
      </c>
      <c r="V34">
        <v>17694</v>
      </c>
      <c r="W34">
        <v>3663</v>
      </c>
      <c r="X34">
        <v>33002</v>
      </c>
      <c r="Y34">
        <v>14775</v>
      </c>
      <c r="AD34">
        <v>1994</v>
      </c>
      <c r="AE34">
        <v>4</v>
      </c>
      <c r="AF34">
        <v>1222</v>
      </c>
      <c r="AI34" s="5">
        <v>2007</v>
      </c>
      <c r="AJ34" s="6">
        <v>1610</v>
      </c>
      <c r="AL34">
        <f t="shared" si="16"/>
        <v>1996</v>
      </c>
      <c r="AM34">
        <f t="shared" si="12"/>
        <v>1032</v>
      </c>
      <c r="AN34">
        <f t="shared" si="13"/>
        <v>796.42581653888431</v>
      </c>
      <c r="AO34">
        <f t="shared" si="14"/>
        <v>55495.195913371397</v>
      </c>
      <c r="AP34">
        <f t="shared" si="15"/>
        <v>796.42581653888431</v>
      </c>
      <c r="AZ34">
        <f t="shared" si="2"/>
        <v>2000</v>
      </c>
      <c r="BA34">
        <v>4509</v>
      </c>
      <c r="BB34">
        <f t="shared" si="17"/>
        <v>24704.4444444445</v>
      </c>
      <c r="BC34">
        <v>31503</v>
      </c>
      <c r="BD34">
        <v>22900</v>
      </c>
      <c r="BE34">
        <f t="shared" si="0"/>
        <v>83616.444444444496</v>
      </c>
      <c r="BG34">
        <v>5042</v>
      </c>
      <c r="BH34">
        <v>8870</v>
      </c>
      <c r="BI34">
        <v>8586</v>
      </c>
      <c r="BJ34">
        <v>14388</v>
      </c>
      <c r="BK34">
        <v>23289</v>
      </c>
      <c r="BL34">
        <f t="shared" si="1"/>
        <v>60175</v>
      </c>
    </row>
    <row r="35" spans="1:64" x14ac:dyDescent="0.25">
      <c r="A35" s="11">
        <f t="shared" si="3"/>
        <v>1997</v>
      </c>
      <c r="B35" s="8">
        <f t="shared" si="4"/>
        <v>32865.440000000002</v>
      </c>
      <c r="C35" s="8">
        <f t="shared" si="5"/>
        <v>7482.96</v>
      </c>
      <c r="D35" s="8">
        <f t="shared" si="6"/>
        <v>838.37737493846248</v>
      </c>
      <c r="E35" s="8">
        <f t="shared" si="7"/>
        <v>18759.84</v>
      </c>
      <c r="F35" s="8">
        <f t="shared" si="8"/>
        <v>49802.64</v>
      </c>
      <c r="G35" s="8">
        <f t="shared" si="9"/>
        <v>46251</v>
      </c>
      <c r="H35" s="8">
        <f t="shared" si="10"/>
        <v>60175</v>
      </c>
      <c r="I35" s="8">
        <f t="shared" si="11"/>
        <v>87322.111111111168</v>
      </c>
      <c r="L35">
        <v>1997</v>
      </c>
      <c r="M35">
        <v>1850</v>
      </c>
      <c r="N35">
        <v>4305</v>
      </c>
      <c r="O35">
        <v>2039</v>
      </c>
      <c r="P35">
        <v>1039</v>
      </c>
      <c r="Q35">
        <v>774</v>
      </c>
      <c r="R35">
        <v>4022</v>
      </c>
      <c r="S35">
        <v>8320</v>
      </c>
      <c r="T35">
        <v>2063</v>
      </c>
      <c r="U35">
        <v>2860</v>
      </c>
      <c r="V35">
        <v>17936</v>
      </c>
      <c r="W35">
        <v>3686</v>
      </c>
      <c r="X35">
        <v>34592</v>
      </c>
      <c r="Y35">
        <v>15417</v>
      </c>
      <c r="AD35">
        <v>1995</v>
      </c>
      <c r="AE35">
        <v>4</v>
      </c>
      <c r="AF35">
        <v>944</v>
      </c>
      <c r="AI35" s="5">
        <v>2014</v>
      </c>
      <c r="AJ35" s="6">
        <v>1912</v>
      </c>
      <c r="AL35">
        <f t="shared" si="16"/>
        <v>1997</v>
      </c>
      <c r="AM35">
        <f t="shared" si="12"/>
        <v>345</v>
      </c>
      <c r="AN35">
        <f t="shared" si="13"/>
        <v>838.37737493846248</v>
      </c>
      <c r="AO35">
        <f t="shared" si="14"/>
        <v>243421.23410116817</v>
      </c>
      <c r="AP35">
        <f t="shared" si="15"/>
        <v>838.37737493846248</v>
      </c>
      <c r="AZ35">
        <f t="shared" si="2"/>
        <v>2001</v>
      </c>
      <c r="BA35">
        <v>4509</v>
      </c>
      <c r="BB35">
        <f t="shared" si="17"/>
        <v>23469.222222222277</v>
      </c>
      <c r="BC35">
        <v>31503</v>
      </c>
      <c r="BD35">
        <v>22900</v>
      </c>
      <c r="BE35">
        <f t="shared" si="0"/>
        <v>82381.222222222277</v>
      </c>
      <c r="BG35">
        <v>5042</v>
      </c>
      <c r="BH35">
        <v>8870</v>
      </c>
      <c r="BI35">
        <v>8586</v>
      </c>
      <c r="BJ35">
        <v>14388</v>
      </c>
      <c r="BK35">
        <v>23289</v>
      </c>
      <c r="BL35">
        <f t="shared" si="1"/>
        <v>60175</v>
      </c>
    </row>
    <row r="36" spans="1:64" x14ac:dyDescent="0.25">
      <c r="A36" s="11">
        <f t="shared" si="3"/>
        <v>1998</v>
      </c>
      <c r="B36" s="8">
        <f t="shared" si="4"/>
        <v>33236.32</v>
      </c>
      <c r="C36" s="8">
        <f t="shared" si="5"/>
        <v>7601.52</v>
      </c>
      <c r="D36" s="8">
        <f t="shared" si="6"/>
        <v>882.5387226437183</v>
      </c>
      <c r="E36" s="8">
        <f t="shared" si="7"/>
        <v>19234.080000000002</v>
      </c>
      <c r="F36" s="8">
        <f t="shared" si="8"/>
        <v>51700.880000000005</v>
      </c>
      <c r="G36" s="8">
        <f t="shared" si="9"/>
        <v>48123</v>
      </c>
      <c r="H36" s="8">
        <f t="shared" si="10"/>
        <v>60175</v>
      </c>
      <c r="I36" s="8">
        <f t="shared" si="11"/>
        <v>86086.888888888949</v>
      </c>
      <c r="L36">
        <v>1998</v>
      </c>
      <c r="M36">
        <v>1894</v>
      </c>
      <c r="N36">
        <v>4429</v>
      </c>
      <c r="O36">
        <v>2060</v>
      </c>
      <c r="P36">
        <v>1064</v>
      </c>
      <c r="Q36">
        <v>772</v>
      </c>
      <c r="R36">
        <v>4112</v>
      </c>
      <c r="S36">
        <v>8542</v>
      </c>
      <c r="T36">
        <v>2115</v>
      </c>
      <c r="U36">
        <v>2886</v>
      </c>
      <c r="V36">
        <v>18159</v>
      </c>
      <c r="W36">
        <v>3707</v>
      </c>
      <c r="X36">
        <v>36168</v>
      </c>
      <c r="Y36">
        <v>16041</v>
      </c>
      <c r="AD36">
        <v>1996</v>
      </c>
      <c r="AE36">
        <v>5</v>
      </c>
      <c r="AF36">
        <v>1032</v>
      </c>
      <c r="AI36" s="5" t="s">
        <v>71</v>
      </c>
      <c r="AJ36" s="6">
        <v>2091</v>
      </c>
      <c r="AL36">
        <f t="shared" si="16"/>
        <v>1998</v>
      </c>
      <c r="AM36">
        <f t="shared" si="12"/>
        <v>968</v>
      </c>
      <c r="AN36">
        <f t="shared" si="13"/>
        <v>882.5387226437183</v>
      </c>
      <c r="AO36">
        <f t="shared" si="14"/>
        <v>7303.6299273673067</v>
      </c>
      <c r="AP36">
        <f t="shared" si="15"/>
        <v>882.5387226437183</v>
      </c>
      <c r="AZ36">
        <f t="shared" si="2"/>
        <v>2002</v>
      </c>
      <c r="BA36">
        <v>4509</v>
      </c>
      <c r="BB36">
        <f t="shared" si="17"/>
        <v>22234.000000000055</v>
      </c>
      <c r="BC36">
        <v>31503</v>
      </c>
      <c r="BD36">
        <v>22900</v>
      </c>
      <c r="BE36">
        <f t="shared" si="0"/>
        <v>81146.000000000058</v>
      </c>
      <c r="BG36">
        <v>5042</v>
      </c>
      <c r="BH36">
        <v>8870</v>
      </c>
      <c r="BI36">
        <v>8586</v>
      </c>
      <c r="BJ36">
        <v>14388</v>
      </c>
      <c r="BK36">
        <v>23289</v>
      </c>
      <c r="BL36">
        <f t="shared" si="1"/>
        <v>60175</v>
      </c>
    </row>
    <row r="37" spans="1:64" x14ac:dyDescent="0.25">
      <c r="A37" s="11">
        <f t="shared" si="3"/>
        <v>1999</v>
      </c>
      <c r="B37" s="8">
        <f t="shared" si="4"/>
        <v>33575.279999999999</v>
      </c>
      <c r="C37" s="8">
        <f t="shared" si="5"/>
        <v>7715.52</v>
      </c>
      <c r="D37" s="8">
        <f t="shared" si="6"/>
        <v>929.02625983051598</v>
      </c>
      <c r="E37" s="8">
        <f t="shared" si="7"/>
        <v>19680.96</v>
      </c>
      <c r="F37" s="8">
        <f t="shared" si="8"/>
        <v>53582.400000000001</v>
      </c>
      <c r="G37" s="8">
        <f t="shared" si="9"/>
        <v>49956</v>
      </c>
      <c r="H37" s="8">
        <f t="shared" si="10"/>
        <v>60175</v>
      </c>
      <c r="I37" s="8">
        <f t="shared" si="11"/>
        <v>84851.666666666715</v>
      </c>
      <c r="L37">
        <v>1999</v>
      </c>
      <c r="M37">
        <v>1936</v>
      </c>
      <c r="N37">
        <v>4544</v>
      </c>
      <c r="O37">
        <v>2081</v>
      </c>
      <c r="P37">
        <v>1088</v>
      </c>
      <c r="Q37">
        <v>771</v>
      </c>
      <c r="R37">
        <v>4195</v>
      </c>
      <c r="S37">
        <v>8753</v>
      </c>
      <c r="T37">
        <v>2164</v>
      </c>
      <c r="U37">
        <v>2912</v>
      </c>
      <c r="V37">
        <v>18362</v>
      </c>
      <c r="W37">
        <v>3727</v>
      </c>
      <c r="X37">
        <v>37744</v>
      </c>
      <c r="Y37">
        <v>16652</v>
      </c>
      <c r="AD37">
        <v>1996</v>
      </c>
      <c r="AE37">
        <v>5</v>
      </c>
      <c r="AF37">
        <v>965</v>
      </c>
      <c r="AL37">
        <f t="shared" si="16"/>
        <v>1999</v>
      </c>
      <c r="AM37">
        <f t="shared" si="12"/>
        <v>759</v>
      </c>
      <c r="AN37">
        <f t="shared" si="13"/>
        <v>929.02625983051598</v>
      </c>
      <c r="AO37">
        <f t="shared" si="14"/>
        <v>28908.929031954132</v>
      </c>
      <c r="AP37">
        <f t="shared" si="15"/>
        <v>929.02625983051598</v>
      </c>
      <c r="AZ37">
        <f t="shared" si="2"/>
        <v>2003</v>
      </c>
      <c r="BA37">
        <v>4509</v>
      </c>
      <c r="BB37">
        <f t="shared" si="17"/>
        <v>20998.777777777832</v>
      </c>
      <c r="BC37">
        <v>31503</v>
      </c>
      <c r="BD37">
        <v>22900</v>
      </c>
      <c r="BE37">
        <f t="shared" si="0"/>
        <v>79910.777777777839</v>
      </c>
      <c r="BG37">
        <v>5042</v>
      </c>
      <c r="BH37">
        <v>8870</v>
      </c>
      <c r="BI37">
        <v>8586</v>
      </c>
      <c r="BJ37">
        <v>14388</v>
      </c>
      <c r="BK37">
        <v>23289</v>
      </c>
      <c r="BL37">
        <f t="shared" si="1"/>
        <v>60175</v>
      </c>
    </row>
    <row r="38" spans="1:64" x14ac:dyDescent="0.25">
      <c r="A38" s="11">
        <f t="shared" si="3"/>
        <v>2000</v>
      </c>
      <c r="B38" s="8">
        <f t="shared" si="4"/>
        <v>33883.840000000004</v>
      </c>
      <c r="C38" s="8">
        <f t="shared" si="5"/>
        <v>7823.4400000000005</v>
      </c>
      <c r="D38" s="8">
        <f t="shared" si="6"/>
        <v>977.96251802891993</v>
      </c>
      <c r="E38" s="8">
        <f t="shared" si="7"/>
        <v>20121.760000000002</v>
      </c>
      <c r="F38" s="8">
        <f t="shared" si="8"/>
        <v>55434.28</v>
      </c>
      <c r="G38" s="8">
        <f t="shared" si="9"/>
        <v>51729</v>
      </c>
      <c r="H38" s="8">
        <f t="shared" si="10"/>
        <v>60175</v>
      </c>
      <c r="I38" s="8">
        <f t="shared" si="11"/>
        <v>83616.444444444496</v>
      </c>
      <c r="L38">
        <v>2000</v>
      </c>
      <c r="M38">
        <v>1975</v>
      </c>
      <c r="N38">
        <v>4657</v>
      </c>
      <c r="O38">
        <v>2100</v>
      </c>
      <c r="P38">
        <v>1111</v>
      </c>
      <c r="Q38">
        <v>771</v>
      </c>
      <c r="R38">
        <v>4277</v>
      </c>
      <c r="S38">
        <v>8961</v>
      </c>
      <c r="T38">
        <v>2211</v>
      </c>
      <c r="U38">
        <v>2936</v>
      </c>
      <c r="V38">
        <v>18548</v>
      </c>
      <c r="W38">
        <v>3744</v>
      </c>
      <c r="X38">
        <v>39301</v>
      </c>
      <c r="Y38">
        <v>17243</v>
      </c>
      <c r="AD38">
        <v>1996</v>
      </c>
      <c r="AE38">
        <v>5</v>
      </c>
      <c r="AF38">
        <v>837</v>
      </c>
      <c r="AL38">
        <f t="shared" si="16"/>
        <v>2000</v>
      </c>
      <c r="AM38">
        <f t="shared" si="12"/>
        <v>543</v>
      </c>
      <c r="AN38">
        <f t="shared" si="13"/>
        <v>977.96251802891993</v>
      </c>
      <c r="AO38">
        <f t="shared" si="14"/>
        <v>189192.39209005851</v>
      </c>
      <c r="AP38">
        <f t="shared" si="15"/>
        <v>977.96251802891993</v>
      </c>
      <c r="AZ38">
        <f t="shared" si="2"/>
        <v>2004</v>
      </c>
      <c r="BA38">
        <v>4509</v>
      </c>
      <c r="BB38">
        <f t="shared" si="17"/>
        <v>19763.555555555609</v>
      </c>
      <c r="BC38">
        <v>31503</v>
      </c>
      <c r="BD38">
        <v>22900</v>
      </c>
      <c r="BE38">
        <f t="shared" si="0"/>
        <v>78675.555555555606</v>
      </c>
      <c r="BG38">
        <v>5042</v>
      </c>
      <c r="BH38">
        <v>8870</v>
      </c>
      <c r="BI38">
        <v>8586</v>
      </c>
      <c r="BJ38">
        <v>14388</v>
      </c>
      <c r="BK38">
        <v>23289</v>
      </c>
      <c r="BL38">
        <f t="shared" si="1"/>
        <v>60175</v>
      </c>
    </row>
    <row r="39" spans="1:64" x14ac:dyDescent="0.25">
      <c r="A39" s="11">
        <f t="shared" si="3"/>
        <v>2001</v>
      </c>
      <c r="B39" s="8">
        <f t="shared" si="4"/>
        <v>34172.639999999999</v>
      </c>
      <c r="C39" s="8">
        <f t="shared" si="5"/>
        <v>7931.36</v>
      </c>
      <c r="D39" s="8">
        <f t="shared" si="6"/>
        <v>1029.4764830909573</v>
      </c>
      <c r="E39" s="8">
        <f t="shared" si="7"/>
        <v>20538.240000000002</v>
      </c>
      <c r="F39" s="8">
        <f t="shared" si="8"/>
        <v>57233.880000000005</v>
      </c>
      <c r="G39" s="8">
        <f t="shared" si="9"/>
        <v>53442</v>
      </c>
      <c r="H39" s="8">
        <f t="shared" si="10"/>
        <v>60175</v>
      </c>
      <c r="I39" s="8">
        <f t="shared" si="11"/>
        <v>82381.222222222277</v>
      </c>
      <c r="L39">
        <v>2001</v>
      </c>
      <c r="M39">
        <v>2012</v>
      </c>
      <c r="N39">
        <v>4761</v>
      </c>
      <c r="O39">
        <v>2118</v>
      </c>
      <c r="P39">
        <v>1133</v>
      </c>
      <c r="Q39">
        <v>770</v>
      </c>
      <c r="R39">
        <v>4354</v>
      </c>
      <c r="S39">
        <v>9158</v>
      </c>
      <c r="T39">
        <v>2258</v>
      </c>
      <c r="U39">
        <v>2960</v>
      </c>
      <c r="V39">
        <v>18722</v>
      </c>
      <c r="W39">
        <v>3760</v>
      </c>
      <c r="X39">
        <v>40827</v>
      </c>
      <c r="Y39">
        <v>17814</v>
      </c>
      <c r="AD39">
        <v>1996</v>
      </c>
      <c r="AE39">
        <v>5</v>
      </c>
      <c r="AF39">
        <v>789</v>
      </c>
      <c r="AL39">
        <f t="shared" si="16"/>
        <v>2001</v>
      </c>
      <c r="AM39">
        <f t="shared" si="12"/>
        <v>826</v>
      </c>
      <c r="AN39">
        <f t="shared" si="13"/>
        <v>1029.4764830909573</v>
      </c>
      <c r="AO39">
        <f t="shared" si="14"/>
        <v>41402.67917106465</v>
      </c>
      <c r="AP39">
        <f t="shared" si="15"/>
        <v>1029.4764830909573</v>
      </c>
      <c r="AZ39">
        <f t="shared" si="2"/>
        <v>2005</v>
      </c>
      <c r="BA39">
        <v>4509</v>
      </c>
      <c r="BB39">
        <f t="shared" si="17"/>
        <v>18528.333333333387</v>
      </c>
      <c r="BC39">
        <v>31503</v>
      </c>
      <c r="BD39">
        <v>22900</v>
      </c>
      <c r="BE39">
        <f t="shared" si="0"/>
        <v>77440.333333333387</v>
      </c>
      <c r="BG39">
        <v>5042</v>
      </c>
      <c r="BH39">
        <v>8870</v>
      </c>
      <c r="BI39">
        <v>8586</v>
      </c>
      <c r="BJ39">
        <v>14388</v>
      </c>
      <c r="BK39">
        <v>23289</v>
      </c>
      <c r="BL39">
        <f t="shared" si="1"/>
        <v>60175</v>
      </c>
    </row>
    <row r="40" spans="1:64" x14ac:dyDescent="0.25">
      <c r="A40" s="11">
        <f t="shared" si="3"/>
        <v>2002</v>
      </c>
      <c r="B40" s="8">
        <f t="shared" si="4"/>
        <v>34435.599999999999</v>
      </c>
      <c r="C40" s="8">
        <f t="shared" si="5"/>
        <v>8036.24</v>
      </c>
      <c r="D40" s="8">
        <f t="shared" si="6"/>
        <v>1083.7039351706376</v>
      </c>
      <c r="E40" s="8">
        <f t="shared" si="7"/>
        <v>20931.920000000002</v>
      </c>
      <c r="F40" s="8">
        <f t="shared" si="8"/>
        <v>58987.72</v>
      </c>
      <c r="G40" s="8">
        <f t="shared" si="9"/>
        <v>55092</v>
      </c>
      <c r="H40" s="8">
        <f t="shared" si="10"/>
        <v>60175</v>
      </c>
      <c r="I40" s="8">
        <f t="shared" si="11"/>
        <v>81146.000000000058</v>
      </c>
      <c r="L40">
        <v>2002</v>
      </c>
      <c r="M40">
        <v>2045</v>
      </c>
      <c r="N40">
        <v>4859</v>
      </c>
      <c r="O40">
        <v>2134</v>
      </c>
      <c r="P40">
        <v>1153</v>
      </c>
      <c r="Q40">
        <v>770</v>
      </c>
      <c r="R40">
        <v>4426</v>
      </c>
      <c r="S40">
        <v>9345</v>
      </c>
      <c r="T40">
        <v>2305</v>
      </c>
      <c r="U40">
        <v>2982</v>
      </c>
      <c r="V40">
        <v>18880</v>
      </c>
      <c r="W40">
        <v>3775</v>
      </c>
      <c r="X40">
        <v>42327</v>
      </c>
      <c r="Y40">
        <v>18364</v>
      </c>
      <c r="AD40">
        <v>1997</v>
      </c>
      <c r="AE40">
        <v>5</v>
      </c>
      <c r="AF40">
        <v>345</v>
      </c>
      <c r="AL40">
        <f t="shared" si="16"/>
        <v>2002</v>
      </c>
      <c r="AM40">
        <f t="shared" si="12"/>
        <v>869</v>
      </c>
      <c r="AN40">
        <f t="shared" si="13"/>
        <v>1083.7039351706376</v>
      </c>
      <c r="AO40">
        <f t="shared" si="14"/>
        <v>46097.779777757343</v>
      </c>
      <c r="AP40">
        <f t="shared" si="15"/>
        <v>1083.7039351706376</v>
      </c>
      <c r="AZ40">
        <f t="shared" si="2"/>
        <v>2006</v>
      </c>
      <c r="BA40">
        <v>4509</v>
      </c>
      <c r="BB40">
        <f t="shared" si="17"/>
        <v>17293.111111111164</v>
      </c>
      <c r="BC40">
        <v>31503</v>
      </c>
      <c r="BD40">
        <v>22900</v>
      </c>
      <c r="BE40">
        <f t="shared" si="0"/>
        <v>76205.111111111168</v>
      </c>
      <c r="BG40">
        <v>5042</v>
      </c>
      <c r="BH40">
        <v>8870</v>
      </c>
      <c r="BI40">
        <v>8586</v>
      </c>
      <c r="BJ40">
        <v>14388</v>
      </c>
      <c r="BK40">
        <v>23289</v>
      </c>
      <c r="BL40">
        <f t="shared" si="1"/>
        <v>60175</v>
      </c>
    </row>
    <row r="41" spans="1:64" x14ac:dyDescent="0.25">
      <c r="A41" s="11">
        <f t="shared" si="3"/>
        <v>2003</v>
      </c>
      <c r="B41" s="8">
        <f t="shared" si="4"/>
        <v>34684.879999999997</v>
      </c>
      <c r="C41" s="8">
        <f t="shared" si="5"/>
        <v>8138.08</v>
      </c>
      <c r="D41" s="8">
        <f t="shared" si="6"/>
        <v>1140.7878066123465</v>
      </c>
      <c r="E41" s="8">
        <f t="shared" si="7"/>
        <v>21305.84</v>
      </c>
      <c r="F41" s="8">
        <f t="shared" si="8"/>
        <v>60694.32</v>
      </c>
      <c r="G41" s="8">
        <f t="shared" si="9"/>
        <v>56682</v>
      </c>
      <c r="H41" s="8">
        <f t="shared" si="10"/>
        <v>60175</v>
      </c>
      <c r="I41" s="8">
        <f t="shared" si="11"/>
        <v>79910.777777777839</v>
      </c>
      <c r="L41">
        <v>2003</v>
      </c>
      <c r="M41">
        <v>2076</v>
      </c>
      <c r="N41">
        <v>4950</v>
      </c>
      <c r="O41">
        <v>2148</v>
      </c>
      <c r="P41">
        <v>1172</v>
      </c>
      <c r="Q41">
        <v>770</v>
      </c>
      <c r="R41">
        <v>4494</v>
      </c>
      <c r="S41">
        <v>9523</v>
      </c>
      <c r="T41">
        <v>2351</v>
      </c>
      <c r="U41">
        <v>3003</v>
      </c>
      <c r="V41">
        <v>19031</v>
      </c>
      <c r="W41">
        <v>3788</v>
      </c>
      <c r="X41">
        <v>43798</v>
      </c>
      <c r="Y41">
        <v>18894</v>
      </c>
      <c r="AD41">
        <v>1997</v>
      </c>
      <c r="AE41">
        <v>5</v>
      </c>
      <c r="AF41">
        <v>246</v>
      </c>
      <c r="AL41">
        <f t="shared" si="16"/>
        <v>2003</v>
      </c>
      <c r="AM41">
        <f t="shared" si="12"/>
        <v>1179</v>
      </c>
      <c r="AN41">
        <f t="shared" si="13"/>
        <v>1140.7878066123465</v>
      </c>
      <c r="AO41">
        <f t="shared" si="14"/>
        <v>1460.1717234954331</v>
      </c>
      <c r="AP41">
        <f t="shared" si="15"/>
        <v>1140.7878066123465</v>
      </c>
      <c r="AZ41">
        <f t="shared" si="2"/>
        <v>2007</v>
      </c>
      <c r="BA41">
        <v>4509</v>
      </c>
      <c r="BB41">
        <f t="shared" si="17"/>
        <v>16057.888888888941</v>
      </c>
      <c r="BC41">
        <v>31503</v>
      </c>
      <c r="BD41">
        <v>22900</v>
      </c>
      <c r="BE41">
        <f t="shared" si="0"/>
        <v>74969.888888888934</v>
      </c>
      <c r="BG41">
        <v>5042</v>
      </c>
      <c r="BH41">
        <v>8870</v>
      </c>
      <c r="BI41">
        <v>8586</v>
      </c>
      <c r="BJ41">
        <v>14388</v>
      </c>
      <c r="BK41">
        <v>23289</v>
      </c>
      <c r="BL41">
        <f t="shared" si="1"/>
        <v>60175</v>
      </c>
    </row>
    <row r="42" spans="1:64" x14ac:dyDescent="0.25">
      <c r="A42" s="11">
        <f t="shared" si="3"/>
        <v>2004</v>
      </c>
      <c r="B42" s="8">
        <f t="shared" si="4"/>
        <v>34912.879999999997</v>
      </c>
      <c r="C42" s="8">
        <f t="shared" si="5"/>
        <v>8232.32</v>
      </c>
      <c r="D42" s="8">
        <f t="shared" si="6"/>
        <v>1200.8785586909337</v>
      </c>
      <c r="E42" s="8">
        <f t="shared" si="7"/>
        <v>21653.920000000002</v>
      </c>
      <c r="F42" s="8">
        <f t="shared" si="8"/>
        <v>62357.2</v>
      </c>
      <c r="G42" s="8">
        <f t="shared" si="9"/>
        <v>58209</v>
      </c>
      <c r="H42" s="8">
        <f t="shared" si="10"/>
        <v>60175</v>
      </c>
      <c r="I42" s="8">
        <f t="shared" si="11"/>
        <v>78675.555555555606</v>
      </c>
      <c r="L42">
        <v>2004</v>
      </c>
      <c r="M42">
        <v>2105</v>
      </c>
      <c r="N42">
        <v>5035</v>
      </c>
      <c r="O42">
        <v>2161</v>
      </c>
      <c r="P42">
        <v>1190</v>
      </c>
      <c r="Q42">
        <v>769</v>
      </c>
      <c r="R42">
        <v>4556</v>
      </c>
      <c r="S42">
        <v>9690</v>
      </c>
      <c r="T42">
        <v>2394</v>
      </c>
      <c r="U42">
        <v>3022</v>
      </c>
      <c r="V42">
        <v>19168</v>
      </c>
      <c r="W42">
        <v>3801</v>
      </c>
      <c r="X42">
        <v>45242</v>
      </c>
      <c r="Y42">
        <v>19403</v>
      </c>
      <c r="AD42">
        <v>1998</v>
      </c>
      <c r="AE42">
        <v>4</v>
      </c>
      <c r="AF42">
        <v>968</v>
      </c>
      <c r="AL42">
        <f t="shared" si="16"/>
        <v>2004</v>
      </c>
      <c r="AM42">
        <f t="shared" si="12"/>
        <v>1179</v>
      </c>
      <c r="AN42">
        <f t="shared" si="13"/>
        <v>1200.8785586909337</v>
      </c>
      <c r="AO42">
        <f t="shared" si="14"/>
        <v>478.67133039262995</v>
      </c>
      <c r="AP42">
        <f t="shared" si="15"/>
        <v>1200.8785586909337</v>
      </c>
      <c r="AZ42">
        <f t="shared" si="2"/>
        <v>2008</v>
      </c>
      <c r="BA42">
        <v>4509</v>
      </c>
      <c r="BB42">
        <f t="shared" si="17"/>
        <v>14822.666666666719</v>
      </c>
      <c r="BC42">
        <v>31503</v>
      </c>
      <c r="BD42">
        <v>22900</v>
      </c>
      <c r="BE42">
        <f t="shared" si="0"/>
        <v>73734.666666666715</v>
      </c>
      <c r="BG42">
        <v>5042</v>
      </c>
      <c r="BH42">
        <v>8870</v>
      </c>
      <c r="BI42">
        <v>8586</v>
      </c>
      <c r="BJ42">
        <v>14388</v>
      </c>
      <c r="BK42">
        <v>23289</v>
      </c>
      <c r="BL42">
        <f t="shared" si="1"/>
        <v>60175</v>
      </c>
    </row>
    <row r="43" spans="1:64" x14ac:dyDescent="0.25">
      <c r="A43" s="11">
        <f t="shared" si="3"/>
        <v>2005</v>
      </c>
      <c r="B43" s="8">
        <f t="shared" si="4"/>
        <v>35101.360000000001</v>
      </c>
      <c r="C43" s="8">
        <f t="shared" si="5"/>
        <v>8322</v>
      </c>
      <c r="D43" s="8">
        <f t="shared" si="6"/>
        <v>1264.1345781965047</v>
      </c>
      <c r="E43" s="8">
        <f t="shared" si="7"/>
        <v>21985.279999999999</v>
      </c>
      <c r="F43" s="8">
        <f t="shared" si="8"/>
        <v>63971.360000000001</v>
      </c>
      <c r="G43" s="8">
        <f t="shared" si="9"/>
        <v>59676</v>
      </c>
      <c r="H43" s="8">
        <f t="shared" si="10"/>
        <v>60175</v>
      </c>
      <c r="I43" s="8">
        <f t="shared" si="11"/>
        <v>77440.333333333387</v>
      </c>
      <c r="L43">
        <v>2005</v>
      </c>
      <c r="M43">
        <v>2131</v>
      </c>
      <c r="N43">
        <v>5113</v>
      </c>
      <c r="O43">
        <v>2173</v>
      </c>
      <c r="P43">
        <v>1207</v>
      </c>
      <c r="Q43">
        <v>769</v>
      </c>
      <c r="R43">
        <v>4615</v>
      </c>
      <c r="S43">
        <v>9849</v>
      </c>
      <c r="T43">
        <v>2435</v>
      </c>
      <c r="U43">
        <v>3040</v>
      </c>
      <c r="V43">
        <v>19283</v>
      </c>
      <c r="W43">
        <v>3810</v>
      </c>
      <c r="X43">
        <v>46654</v>
      </c>
      <c r="Y43">
        <v>19892</v>
      </c>
      <c r="AD43">
        <v>1999</v>
      </c>
      <c r="AE43">
        <v>5</v>
      </c>
      <c r="AF43">
        <v>759</v>
      </c>
      <c r="AL43">
        <f t="shared" si="16"/>
        <v>2005</v>
      </c>
      <c r="AM43">
        <f t="shared" si="12"/>
        <v>1746</v>
      </c>
      <c r="AN43">
        <f t="shared" si="13"/>
        <v>1264.1345781965047</v>
      </c>
      <c r="AO43">
        <f t="shared" si="14"/>
        <v>232194.28472986049</v>
      </c>
      <c r="AP43">
        <f t="shared" si="15"/>
        <v>1264.1345781965047</v>
      </c>
      <c r="AZ43">
        <f t="shared" si="2"/>
        <v>2009</v>
      </c>
      <c r="BA43">
        <v>4509</v>
      </c>
      <c r="BB43">
        <f t="shared" si="17"/>
        <v>13587.444444444496</v>
      </c>
      <c r="BC43">
        <v>31503</v>
      </c>
      <c r="BD43">
        <v>22900</v>
      </c>
      <c r="BE43">
        <f t="shared" si="0"/>
        <v>72499.444444444496</v>
      </c>
      <c r="BG43">
        <v>5042</v>
      </c>
      <c r="BH43">
        <v>8870</v>
      </c>
      <c r="BI43">
        <v>8586</v>
      </c>
      <c r="BJ43">
        <v>14388</v>
      </c>
      <c r="BK43">
        <v>23289</v>
      </c>
      <c r="BL43">
        <f t="shared" si="1"/>
        <v>60175</v>
      </c>
    </row>
    <row r="44" spans="1:64" x14ac:dyDescent="0.25">
      <c r="A44" s="11">
        <f t="shared" si="3"/>
        <v>2006</v>
      </c>
      <c r="B44" s="8">
        <f t="shared" si="4"/>
        <v>35273.120000000003</v>
      </c>
      <c r="C44" s="8">
        <f t="shared" si="5"/>
        <v>8405.6</v>
      </c>
      <c r="D44" s="8">
        <f t="shared" si="6"/>
        <v>1330.7225949092294</v>
      </c>
      <c r="E44" s="8">
        <f t="shared" si="7"/>
        <v>22293.84</v>
      </c>
      <c r="F44" s="8">
        <f t="shared" si="8"/>
        <v>65533.8</v>
      </c>
      <c r="G44" s="8">
        <f t="shared" si="9"/>
        <v>61104</v>
      </c>
      <c r="H44" s="8">
        <f t="shared" si="10"/>
        <v>60175</v>
      </c>
      <c r="I44" s="8">
        <f t="shared" si="11"/>
        <v>76205.111111111168</v>
      </c>
      <c r="L44">
        <v>2006</v>
      </c>
      <c r="M44">
        <v>2155</v>
      </c>
      <c r="N44">
        <v>5186</v>
      </c>
      <c r="O44">
        <v>2183</v>
      </c>
      <c r="P44">
        <v>1222</v>
      </c>
      <c r="Q44">
        <v>769</v>
      </c>
      <c r="R44">
        <v>4669</v>
      </c>
      <c r="S44">
        <v>9998</v>
      </c>
      <c r="T44">
        <v>2473</v>
      </c>
      <c r="U44">
        <v>3057</v>
      </c>
      <c r="V44">
        <v>19387</v>
      </c>
      <c r="W44">
        <v>3819</v>
      </c>
      <c r="X44">
        <v>48031</v>
      </c>
      <c r="Y44">
        <v>20368</v>
      </c>
      <c r="AD44">
        <v>1999</v>
      </c>
      <c r="AE44">
        <v>5</v>
      </c>
      <c r="AF44">
        <v>666</v>
      </c>
      <c r="AL44">
        <f t="shared" si="16"/>
        <v>2006</v>
      </c>
      <c r="AM44">
        <f t="shared" si="12"/>
        <v>2091</v>
      </c>
      <c r="AN44">
        <f t="shared" si="13"/>
        <v>1330.7225949092294</v>
      </c>
      <c r="AO44">
        <f t="shared" si="14"/>
        <v>578021.73269155563</v>
      </c>
      <c r="AP44">
        <f t="shared" si="15"/>
        <v>1330.7225949092294</v>
      </c>
      <c r="AZ44">
        <f t="shared" si="2"/>
        <v>2010</v>
      </c>
      <c r="BA44">
        <v>4509</v>
      </c>
      <c r="BB44">
        <v>11117</v>
      </c>
      <c r="BC44">
        <v>31503</v>
      </c>
      <c r="BD44">
        <v>22900</v>
      </c>
      <c r="BE44">
        <f t="shared" si="0"/>
        <v>70029</v>
      </c>
      <c r="BG44">
        <v>5042</v>
      </c>
      <c r="BH44">
        <v>8870</v>
      </c>
      <c r="BI44">
        <v>8586</v>
      </c>
      <c r="BJ44">
        <v>14388</v>
      </c>
      <c r="BK44">
        <v>23289</v>
      </c>
      <c r="BL44">
        <f t="shared" si="1"/>
        <v>60175</v>
      </c>
    </row>
    <row r="45" spans="1:64" x14ac:dyDescent="0.25">
      <c r="A45" s="11">
        <f t="shared" si="3"/>
        <v>2007</v>
      </c>
      <c r="B45" s="8">
        <f t="shared" si="4"/>
        <v>35428.160000000003</v>
      </c>
      <c r="C45" s="8">
        <f t="shared" si="5"/>
        <v>8486.16</v>
      </c>
      <c r="D45" s="8">
        <f t="shared" si="6"/>
        <v>1400.8181210645484</v>
      </c>
      <c r="E45" s="8">
        <f t="shared" si="7"/>
        <v>22585.68</v>
      </c>
      <c r="F45" s="8">
        <f t="shared" si="8"/>
        <v>67045.040000000008</v>
      </c>
      <c r="G45" s="8">
        <f t="shared" si="9"/>
        <v>62469</v>
      </c>
      <c r="H45" s="8">
        <f t="shared" si="10"/>
        <v>60175</v>
      </c>
      <c r="I45" s="8">
        <f t="shared" si="11"/>
        <v>74969.888888888934</v>
      </c>
      <c r="L45">
        <v>2007</v>
      </c>
      <c r="M45">
        <v>2177</v>
      </c>
      <c r="N45">
        <v>5252</v>
      </c>
      <c r="O45">
        <v>2192</v>
      </c>
      <c r="P45">
        <v>1237</v>
      </c>
      <c r="Q45">
        <v>769</v>
      </c>
      <c r="R45">
        <v>4720</v>
      </c>
      <c r="S45">
        <v>10139</v>
      </c>
      <c r="T45">
        <v>2510</v>
      </c>
      <c r="U45">
        <v>3073</v>
      </c>
      <c r="V45">
        <v>19481</v>
      </c>
      <c r="W45">
        <v>3827</v>
      </c>
      <c r="X45">
        <v>49372</v>
      </c>
      <c r="Y45">
        <v>20823</v>
      </c>
      <c r="AD45">
        <v>2000</v>
      </c>
      <c r="AE45">
        <v>5</v>
      </c>
      <c r="AF45">
        <v>543</v>
      </c>
      <c r="AL45">
        <f t="shared" si="16"/>
        <v>2007</v>
      </c>
      <c r="AM45">
        <f t="shared" si="12"/>
        <v>1610</v>
      </c>
      <c r="AN45">
        <f t="shared" si="13"/>
        <v>1400.8181210645484</v>
      </c>
      <c r="AO45">
        <f t="shared" si="14"/>
        <v>43757.05847496591</v>
      </c>
      <c r="AP45">
        <f t="shared" si="15"/>
        <v>1400.8181210645484</v>
      </c>
      <c r="AZ45">
        <f t="shared" si="2"/>
        <v>2011</v>
      </c>
      <c r="BA45">
        <v>4509</v>
      </c>
      <c r="BB45">
        <v>11117</v>
      </c>
      <c r="BC45">
        <v>31503</v>
      </c>
      <c r="BD45">
        <v>22900</v>
      </c>
      <c r="BE45">
        <f t="shared" si="0"/>
        <v>70029</v>
      </c>
      <c r="BG45">
        <v>5042</v>
      </c>
      <c r="BH45">
        <v>8870</v>
      </c>
      <c r="BI45">
        <v>8586</v>
      </c>
      <c r="BJ45">
        <v>14388</v>
      </c>
      <c r="BK45">
        <v>23289</v>
      </c>
      <c r="BL45">
        <f t="shared" si="1"/>
        <v>60175</v>
      </c>
    </row>
    <row r="46" spans="1:64" x14ac:dyDescent="0.25">
      <c r="A46" s="11">
        <f t="shared" si="3"/>
        <v>2008</v>
      </c>
      <c r="B46" s="8">
        <f t="shared" si="4"/>
        <v>35564.959999999999</v>
      </c>
      <c r="C46" s="8">
        <f t="shared" si="5"/>
        <v>8560.64</v>
      </c>
      <c r="D46" s="8">
        <f t="shared" si="6"/>
        <v>1474.6059139671127</v>
      </c>
      <c r="E46" s="8">
        <f t="shared" si="7"/>
        <v>22857.760000000002</v>
      </c>
      <c r="F46" s="8">
        <f t="shared" si="8"/>
        <v>68506.12</v>
      </c>
      <c r="G46" s="8">
        <f t="shared" si="9"/>
        <v>63771</v>
      </c>
      <c r="H46" s="8">
        <f t="shared" si="10"/>
        <v>60175</v>
      </c>
      <c r="I46" s="8">
        <f t="shared" si="11"/>
        <v>73734.666666666715</v>
      </c>
      <c r="L46">
        <v>2008</v>
      </c>
      <c r="M46">
        <v>2198</v>
      </c>
      <c r="N46">
        <v>5314</v>
      </c>
      <c r="O46">
        <v>2200</v>
      </c>
      <c r="P46">
        <v>1251</v>
      </c>
      <c r="Q46">
        <v>768</v>
      </c>
      <c r="R46">
        <v>4767</v>
      </c>
      <c r="S46">
        <v>10271</v>
      </c>
      <c r="T46">
        <v>2544</v>
      </c>
      <c r="U46">
        <v>3088</v>
      </c>
      <c r="V46">
        <v>19565</v>
      </c>
      <c r="W46">
        <v>3833</v>
      </c>
      <c r="X46">
        <v>50675</v>
      </c>
      <c r="Y46">
        <v>21257</v>
      </c>
      <c r="AD46">
        <v>2001</v>
      </c>
      <c r="AE46">
        <v>5</v>
      </c>
      <c r="AF46">
        <v>537</v>
      </c>
      <c r="AL46">
        <f t="shared" si="16"/>
        <v>2008</v>
      </c>
      <c r="AM46">
        <f t="shared" si="12"/>
        <v>1610</v>
      </c>
      <c r="AN46">
        <f t="shared" si="13"/>
        <v>1474.6059139671127</v>
      </c>
      <c r="AO46">
        <f t="shared" si="14"/>
        <v>18331.558532680901</v>
      </c>
      <c r="AP46">
        <f t="shared" si="15"/>
        <v>1474.6059139671127</v>
      </c>
      <c r="AZ46">
        <f t="shared" si="2"/>
        <v>2012</v>
      </c>
      <c r="BA46">
        <v>4509</v>
      </c>
      <c r="BB46">
        <v>11117</v>
      </c>
      <c r="BC46">
        <v>31503</v>
      </c>
      <c r="BD46">
        <v>22900</v>
      </c>
      <c r="BE46">
        <f t="shared" si="0"/>
        <v>70029</v>
      </c>
      <c r="BG46">
        <v>5042</v>
      </c>
      <c r="BH46">
        <v>8870</v>
      </c>
      <c r="BI46">
        <v>8586</v>
      </c>
      <c r="BJ46">
        <v>14388</v>
      </c>
      <c r="BK46">
        <v>23289</v>
      </c>
      <c r="BL46">
        <f t="shared" si="1"/>
        <v>60175</v>
      </c>
    </row>
    <row r="47" spans="1:64" x14ac:dyDescent="0.25">
      <c r="A47" s="11">
        <f t="shared" si="3"/>
        <v>2009</v>
      </c>
      <c r="B47" s="8">
        <f t="shared" si="4"/>
        <v>35688.080000000002</v>
      </c>
      <c r="C47" s="8">
        <f t="shared" si="5"/>
        <v>8632.08</v>
      </c>
      <c r="D47" s="8">
        <f t="shared" si="6"/>
        <v>1552.2804629728132</v>
      </c>
      <c r="E47" s="8">
        <f t="shared" si="7"/>
        <v>23114.639999999999</v>
      </c>
      <c r="F47" s="8">
        <f t="shared" si="8"/>
        <v>69975.520000000004</v>
      </c>
      <c r="G47" s="8">
        <f t="shared" si="9"/>
        <v>65004</v>
      </c>
      <c r="H47" s="8">
        <f t="shared" si="10"/>
        <v>60175</v>
      </c>
      <c r="I47" s="8">
        <f t="shared" si="11"/>
        <v>72499.444444444496</v>
      </c>
      <c r="L47">
        <v>2009</v>
      </c>
      <c r="M47">
        <v>2216</v>
      </c>
      <c r="N47">
        <v>5371</v>
      </c>
      <c r="O47">
        <v>2207</v>
      </c>
      <c r="P47">
        <v>1264</v>
      </c>
      <c r="Q47">
        <v>768</v>
      </c>
      <c r="R47">
        <v>4811</v>
      </c>
      <c r="S47">
        <v>10396</v>
      </c>
      <c r="T47">
        <v>2577</v>
      </c>
      <c r="U47">
        <v>3102</v>
      </c>
      <c r="V47">
        <v>19640</v>
      </c>
      <c r="W47">
        <v>3839</v>
      </c>
      <c r="X47">
        <v>52000</v>
      </c>
      <c r="Y47">
        <v>21668</v>
      </c>
      <c r="AD47">
        <v>2001</v>
      </c>
      <c r="AE47">
        <v>5</v>
      </c>
      <c r="AF47">
        <v>826</v>
      </c>
      <c r="AL47">
        <f t="shared" si="16"/>
        <v>2009</v>
      </c>
      <c r="AM47">
        <f t="shared" si="12"/>
        <v>1610</v>
      </c>
      <c r="AN47">
        <f t="shared" si="13"/>
        <v>1552.2804629728132</v>
      </c>
      <c r="AO47">
        <f t="shared" si="14"/>
        <v>3331.5449546327868</v>
      </c>
      <c r="AP47">
        <f t="shared" si="15"/>
        <v>1552.2804629728132</v>
      </c>
      <c r="AZ47">
        <f t="shared" si="2"/>
        <v>2013</v>
      </c>
      <c r="BA47">
        <v>4509</v>
      </c>
      <c r="BB47">
        <v>11117</v>
      </c>
      <c r="BC47">
        <v>31503</v>
      </c>
      <c r="BD47">
        <v>22900</v>
      </c>
      <c r="BE47">
        <f t="shared" si="0"/>
        <v>70029</v>
      </c>
      <c r="BG47">
        <v>5042</v>
      </c>
      <c r="BH47">
        <v>8870</v>
      </c>
      <c r="BI47">
        <v>8586</v>
      </c>
      <c r="BJ47">
        <v>14388</v>
      </c>
      <c r="BK47">
        <v>23289</v>
      </c>
      <c r="BL47">
        <f t="shared" si="1"/>
        <v>60175</v>
      </c>
    </row>
    <row r="48" spans="1:64" x14ac:dyDescent="0.25">
      <c r="A48" s="11">
        <f t="shared" si="3"/>
        <v>2010</v>
      </c>
      <c r="B48" s="8">
        <f t="shared" si="4"/>
        <v>35823.360000000001</v>
      </c>
      <c r="C48" s="8">
        <f t="shared" si="5"/>
        <v>8697.44</v>
      </c>
      <c r="D48" s="8">
        <f t="shared" si="6"/>
        <v>1634.0465021224857</v>
      </c>
      <c r="E48" s="8">
        <f t="shared" si="7"/>
        <v>23354.799999999999</v>
      </c>
      <c r="F48" s="8">
        <f t="shared" si="8"/>
        <v>71398.28</v>
      </c>
      <c r="G48" s="8">
        <f t="shared" si="9"/>
        <v>66180</v>
      </c>
      <c r="H48" s="8">
        <f t="shared" si="10"/>
        <v>60175</v>
      </c>
      <c r="I48" s="8">
        <f t="shared" si="11"/>
        <v>70029</v>
      </c>
      <c r="L48">
        <v>2010</v>
      </c>
      <c r="M48">
        <v>2233</v>
      </c>
      <c r="N48">
        <v>5423</v>
      </c>
      <c r="O48">
        <v>2214</v>
      </c>
      <c r="P48">
        <v>1276</v>
      </c>
      <c r="Q48">
        <v>768</v>
      </c>
      <c r="R48">
        <v>4852</v>
      </c>
      <c r="S48">
        <v>10513</v>
      </c>
      <c r="T48">
        <v>2607</v>
      </c>
      <c r="U48">
        <v>3115</v>
      </c>
      <c r="V48">
        <v>19723</v>
      </c>
      <c r="W48">
        <v>3845</v>
      </c>
      <c r="X48">
        <v>53289</v>
      </c>
      <c r="Y48">
        <v>22060</v>
      </c>
      <c r="AD48">
        <v>2002</v>
      </c>
      <c r="AE48">
        <v>5</v>
      </c>
      <c r="AF48">
        <v>816</v>
      </c>
      <c r="AL48">
        <f t="shared" si="16"/>
        <v>2010</v>
      </c>
      <c r="AM48">
        <f t="shared" si="12"/>
        <v>1610</v>
      </c>
      <c r="AN48">
        <f t="shared" si="13"/>
        <v>1634.0465021224857</v>
      </c>
      <c r="AO48">
        <f t="shared" si="14"/>
        <v>578.23426432670749</v>
      </c>
      <c r="AP48">
        <f t="shared" si="15"/>
        <v>1634.0465021224857</v>
      </c>
      <c r="AZ48">
        <f t="shared" si="2"/>
        <v>2014</v>
      </c>
      <c r="BA48">
        <v>4509</v>
      </c>
      <c r="BB48">
        <v>11117</v>
      </c>
      <c r="BC48">
        <v>31503</v>
      </c>
      <c r="BD48">
        <v>22900</v>
      </c>
      <c r="BE48">
        <f t="shared" si="0"/>
        <v>70029</v>
      </c>
      <c r="BG48">
        <v>5042</v>
      </c>
      <c r="BH48">
        <v>8870</v>
      </c>
      <c r="BI48">
        <v>8586</v>
      </c>
      <c r="BJ48">
        <v>14388</v>
      </c>
      <c r="BK48">
        <v>23289</v>
      </c>
      <c r="BL48">
        <f t="shared" si="1"/>
        <v>60175</v>
      </c>
    </row>
    <row r="49" spans="1:64" x14ac:dyDescent="0.25">
      <c r="A49" s="11">
        <f t="shared" si="3"/>
        <v>2011</v>
      </c>
      <c r="B49" s="8">
        <f t="shared" si="4"/>
        <v>35948</v>
      </c>
      <c r="C49" s="8">
        <f t="shared" si="5"/>
        <v>8759.76</v>
      </c>
      <c r="D49" s="8">
        <f t="shared" si="6"/>
        <v>1720.1195497784829</v>
      </c>
      <c r="E49" s="8">
        <f t="shared" si="7"/>
        <v>23578.240000000002</v>
      </c>
      <c r="F49" s="8">
        <f t="shared" si="8"/>
        <v>72767.839999999997</v>
      </c>
      <c r="G49" s="8">
        <f t="shared" si="9"/>
        <v>67299</v>
      </c>
      <c r="H49" s="8">
        <f t="shared" si="10"/>
        <v>60175</v>
      </c>
      <c r="I49" s="8">
        <f t="shared" si="11"/>
        <v>70029</v>
      </c>
      <c r="L49">
        <v>2011</v>
      </c>
      <c r="M49">
        <v>2248</v>
      </c>
      <c r="N49">
        <v>5470</v>
      </c>
      <c r="O49">
        <v>2219</v>
      </c>
      <c r="P49">
        <v>1287</v>
      </c>
      <c r="Q49">
        <v>768</v>
      </c>
      <c r="R49">
        <v>4889</v>
      </c>
      <c r="S49">
        <v>10623</v>
      </c>
      <c r="T49">
        <v>2636</v>
      </c>
      <c r="U49">
        <v>3127</v>
      </c>
      <c r="V49">
        <v>19799</v>
      </c>
      <c r="W49">
        <v>3851</v>
      </c>
      <c r="X49">
        <v>54540</v>
      </c>
      <c r="Y49">
        <v>22433</v>
      </c>
      <c r="AD49">
        <v>2002</v>
      </c>
      <c r="AE49">
        <v>4</v>
      </c>
      <c r="AF49">
        <v>869</v>
      </c>
      <c r="AL49">
        <f t="shared" si="16"/>
        <v>2011</v>
      </c>
      <c r="AM49">
        <f t="shared" si="12"/>
        <v>1610</v>
      </c>
      <c r="AN49">
        <f t="shared" si="13"/>
        <v>1720.1195497784829</v>
      </c>
      <c r="AO49">
        <f t="shared" si="14"/>
        <v>12126.315243415775</v>
      </c>
      <c r="AP49">
        <f t="shared" si="15"/>
        <v>1720.1195497784829</v>
      </c>
      <c r="AZ49">
        <f t="shared" si="2"/>
        <v>2015</v>
      </c>
      <c r="BA49">
        <v>4509</v>
      </c>
      <c r="BB49">
        <v>11117</v>
      </c>
      <c r="BC49">
        <v>31503</v>
      </c>
      <c r="BD49">
        <v>22900</v>
      </c>
      <c r="BE49">
        <f t="shared" si="0"/>
        <v>70029</v>
      </c>
      <c r="BG49">
        <v>5042</v>
      </c>
      <c r="BH49">
        <v>8870</v>
      </c>
      <c r="BI49">
        <v>8586</v>
      </c>
      <c r="BJ49">
        <v>14388</v>
      </c>
      <c r="BK49">
        <v>23289</v>
      </c>
      <c r="BL49">
        <f t="shared" si="1"/>
        <v>60175</v>
      </c>
    </row>
    <row r="50" spans="1:64" x14ac:dyDescent="0.25">
      <c r="A50" s="11">
        <f t="shared" si="3"/>
        <v>2012</v>
      </c>
      <c r="B50" s="8">
        <f t="shared" si="4"/>
        <v>36062</v>
      </c>
      <c r="C50" s="8">
        <f t="shared" si="5"/>
        <v>8817.52</v>
      </c>
      <c r="D50" s="8">
        <f t="shared" si="6"/>
        <v>1810.7264766864894</v>
      </c>
      <c r="E50" s="8">
        <f t="shared" si="7"/>
        <v>23788</v>
      </c>
      <c r="F50" s="8">
        <f t="shared" si="8"/>
        <v>74091.28</v>
      </c>
      <c r="G50" s="8">
        <f t="shared" si="9"/>
        <v>68361</v>
      </c>
      <c r="H50" s="8">
        <f t="shared" si="10"/>
        <v>60175</v>
      </c>
      <c r="I50" s="8">
        <f t="shared" si="11"/>
        <v>70029</v>
      </c>
      <c r="L50">
        <v>2012</v>
      </c>
      <c r="M50">
        <v>2262</v>
      </c>
      <c r="N50">
        <v>5514</v>
      </c>
      <c r="O50">
        <v>2224</v>
      </c>
      <c r="P50">
        <v>1297</v>
      </c>
      <c r="Q50">
        <v>767</v>
      </c>
      <c r="R50">
        <v>4924</v>
      </c>
      <c r="S50">
        <v>10726</v>
      </c>
      <c r="T50">
        <v>2663</v>
      </c>
      <c r="U50">
        <v>3138</v>
      </c>
      <c r="V50">
        <v>19868</v>
      </c>
      <c r="W50">
        <v>3857</v>
      </c>
      <c r="X50">
        <v>55754</v>
      </c>
      <c r="Y50">
        <v>22787</v>
      </c>
      <c r="AD50">
        <v>2003</v>
      </c>
      <c r="AE50">
        <v>4</v>
      </c>
      <c r="AF50">
        <v>917</v>
      </c>
      <c r="AL50">
        <f t="shared" si="16"/>
        <v>2012</v>
      </c>
      <c r="AM50">
        <f t="shared" si="12"/>
        <v>1610</v>
      </c>
      <c r="AN50">
        <f t="shared" si="13"/>
        <v>1810.7264766864894</v>
      </c>
      <c r="AO50">
        <f t="shared" si="14"/>
        <v>40291.118442971761</v>
      </c>
      <c r="AP50">
        <f t="shared" si="15"/>
        <v>1810.7264766864894</v>
      </c>
    </row>
    <row r="51" spans="1:64" x14ac:dyDescent="0.25">
      <c r="A51" s="11">
        <f t="shared" si="3"/>
        <v>2013</v>
      </c>
      <c r="B51" s="8">
        <f t="shared" si="4"/>
        <v>36165.360000000001</v>
      </c>
      <c r="C51" s="8">
        <f t="shared" si="5"/>
        <v>8873.76</v>
      </c>
      <c r="D51" s="8">
        <f t="shared" si="6"/>
        <v>1906.1061039598687</v>
      </c>
      <c r="E51" s="8">
        <f t="shared" si="7"/>
        <v>23985.599999999999</v>
      </c>
      <c r="F51" s="8">
        <f t="shared" si="8"/>
        <v>75366.080000000002</v>
      </c>
      <c r="G51" s="8">
        <f t="shared" si="9"/>
        <v>69369</v>
      </c>
      <c r="H51" s="8">
        <f t="shared" si="10"/>
        <v>60175</v>
      </c>
      <c r="I51" s="8">
        <f t="shared" si="11"/>
        <v>70029</v>
      </c>
      <c r="L51">
        <v>2013</v>
      </c>
      <c r="M51">
        <v>2275</v>
      </c>
      <c r="N51">
        <v>5553</v>
      </c>
      <c r="O51">
        <v>2227</v>
      </c>
      <c r="P51">
        <v>1307</v>
      </c>
      <c r="Q51">
        <v>767</v>
      </c>
      <c r="R51">
        <v>4957</v>
      </c>
      <c r="S51">
        <v>10823</v>
      </c>
      <c r="T51">
        <v>2689</v>
      </c>
      <c r="U51">
        <v>3149</v>
      </c>
      <c r="V51">
        <v>19931</v>
      </c>
      <c r="W51">
        <v>3862</v>
      </c>
      <c r="X51">
        <v>56930</v>
      </c>
      <c r="Y51">
        <v>23123</v>
      </c>
      <c r="AD51">
        <v>2003</v>
      </c>
      <c r="AE51">
        <v>4</v>
      </c>
      <c r="AF51">
        <v>1179</v>
      </c>
      <c r="AL51">
        <f t="shared" si="16"/>
        <v>2013</v>
      </c>
      <c r="AM51">
        <f t="shared" si="12"/>
        <v>1610</v>
      </c>
      <c r="AN51">
        <f t="shared" si="13"/>
        <v>1906.1061039598687</v>
      </c>
      <c r="AO51">
        <f t="shared" si="14"/>
        <v>87678.824802292584</v>
      </c>
      <c r="AP51">
        <f t="shared" si="15"/>
        <v>1906.1061039598687</v>
      </c>
    </row>
    <row r="52" spans="1:64" x14ac:dyDescent="0.25">
      <c r="A52" s="11">
        <f t="shared" si="3"/>
        <v>2014</v>
      </c>
      <c r="B52" s="8">
        <f t="shared" si="4"/>
        <v>36258.080000000002</v>
      </c>
      <c r="C52" s="8">
        <f t="shared" si="5"/>
        <v>8925.44</v>
      </c>
      <c r="D52" s="8">
        <f t="shared" si="6"/>
        <v>2006.509832562708</v>
      </c>
      <c r="E52" s="8">
        <f t="shared" si="7"/>
        <v>24169.52</v>
      </c>
      <c r="F52" s="8">
        <f t="shared" si="8"/>
        <v>76613</v>
      </c>
      <c r="G52" s="8">
        <f t="shared" si="9"/>
        <v>70326</v>
      </c>
      <c r="H52" s="8">
        <f t="shared" si="10"/>
        <v>60175</v>
      </c>
      <c r="I52" s="8">
        <f t="shared" si="11"/>
        <v>70029</v>
      </c>
      <c r="L52">
        <v>2014</v>
      </c>
      <c r="M52">
        <v>2288</v>
      </c>
      <c r="N52">
        <v>5595</v>
      </c>
      <c r="O52">
        <v>2234</v>
      </c>
      <c r="P52">
        <v>1316</v>
      </c>
      <c r="Q52">
        <v>767</v>
      </c>
      <c r="R52">
        <v>4987</v>
      </c>
      <c r="S52">
        <v>10914</v>
      </c>
      <c r="T52">
        <v>2713</v>
      </c>
      <c r="U52">
        <v>3159</v>
      </c>
      <c r="V52">
        <v>19988</v>
      </c>
      <c r="W52">
        <v>3866</v>
      </c>
      <c r="X52">
        <v>58069</v>
      </c>
      <c r="Y52">
        <v>23442</v>
      </c>
      <c r="AD52">
        <v>2005</v>
      </c>
      <c r="AE52">
        <v>4</v>
      </c>
      <c r="AF52">
        <v>1746</v>
      </c>
      <c r="AL52">
        <f t="shared" si="16"/>
        <v>2014</v>
      </c>
      <c r="AM52">
        <f t="shared" si="12"/>
        <v>1912</v>
      </c>
      <c r="AN52">
        <f t="shared" si="13"/>
        <v>2006.509832562708</v>
      </c>
      <c r="AO52">
        <f t="shared" si="14"/>
        <v>8932.1084510310957</v>
      </c>
      <c r="AP52">
        <f t="shared" si="15"/>
        <v>2006.509832562708</v>
      </c>
    </row>
    <row r="53" spans="1:64" x14ac:dyDescent="0.25">
      <c r="A53" s="11">
        <f t="shared" si="3"/>
        <v>2015</v>
      </c>
      <c r="B53" s="8">
        <f t="shared" si="4"/>
        <v>36343.199999999997</v>
      </c>
      <c r="C53" s="8">
        <f t="shared" si="5"/>
        <v>8972.56</v>
      </c>
      <c r="D53" s="8">
        <f t="shared" si="6"/>
        <v>6000</v>
      </c>
      <c r="E53" s="8">
        <f t="shared" si="7"/>
        <v>24339.760000000002</v>
      </c>
      <c r="F53" s="8">
        <f t="shared" si="8"/>
        <v>77811.8</v>
      </c>
      <c r="G53" s="8">
        <f t="shared" si="9"/>
        <v>71232</v>
      </c>
      <c r="H53" s="8">
        <f t="shared" si="10"/>
        <v>60175</v>
      </c>
      <c r="I53" s="8">
        <f t="shared" si="11"/>
        <v>70029</v>
      </c>
      <c r="L53">
        <v>2015</v>
      </c>
      <c r="M53">
        <v>2300</v>
      </c>
      <c r="N53">
        <v>5633</v>
      </c>
      <c r="O53">
        <v>2241</v>
      </c>
      <c r="P53">
        <v>1324</v>
      </c>
      <c r="Q53">
        <v>767</v>
      </c>
      <c r="R53">
        <v>5014</v>
      </c>
      <c r="S53">
        <v>10999</v>
      </c>
      <c r="T53">
        <v>2735</v>
      </c>
      <c r="U53">
        <v>3168</v>
      </c>
      <c r="V53">
        <v>20040</v>
      </c>
      <c r="W53">
        <v>3870</v>
      </c>
      <c r="X53">
        <v>59169</v>
      </c>
      <c r="Y53">
        <v>23744</v>
      </c>
      <c r="AD53">
        <v>2005</v>
      </c>
      <c r="AE53">
        <v>5</v>
      </c>
      <c r="AF53">
        <v>1527</v>
      </c>
      <c r="AL53">
        <f t="shared" si="16"/>
        <v>2015</v>
      </c>
      <c r="AP53">
        <v>6000</v>
      </c>
    </row>
    <row r="54" spans="1:64" x14ac:dyDescent="0.25">
      <c r="AD54">
        <v>2006</v>
      </c>
      <c r="AE54">
        <v>4</v>
      </c>
      <c r="AF54">
        <v>1262</v>
      </c>
    </row>
    <row r="55" spans="1:64" x14ac:dyDescent="0.25">
      <c r="AD55">
        <v>2006</v>
      </c>
      <c r="AE55">
        <v>5</v>
      </c>
      <c r="AF55">
        <v>1719</v>
      </c>
    </row>
    <row r="56" spans="1:64" x14ac:dyDescent="0.25">
      <c r="AD56">
        <v>2006</v>
      </c>
      <c r="AE56">
        <v>4</v>
      </c>
      <c r="AF56">
        <v>2091</v>
      </c>
    </row>
    <row r="57" spans="1:64" x14ac:dyDescent="0.25">
      <c r="AD57">
        <v>2007</v>
      </c>
      <c r="AE57">
        <v>4</v>
      </c>
      <c r="AF57">
        <v>1610</v>
      </c>
    </row>
    <row r="58" spans="1:64" x14ac:dyDescent="0.25">
      <c r="AD58">
        <v>2014</v>
      </c>
      <c r="AE58">
        <v>3</v>
      </c>
      <c r="AF58">
        <v>1912</v>
      </c>
    </row>
    <row r="59" spans="1:64" x14ac:dyDescent="0.25">
      <c r="AD59">
        <v>2014</v>
      </c>
      <c r="AE59">
        <v>5</v>
      </c>
      <c r="AF59">
        <v>1235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E1" workbookViewId="0">
      <selection activeCell="AE26" sqref="AE26"/>
    </sheetView>
  </sheetViews>
  <sheetFormatPr defaultRowHeight="15" x14ac:dyDescent="0.25"/>
  <sheetData>
    <row r="1" spans="1:31" x14ac:dyDescent="0.25">
      <c r="E1" t="s">
        <v>55</v>
      </c>
      <c r="F1">
        <v>1820.707494766983</v>
      </c>
      <c r="G1">
        <v>40.734458894757672</v>
      </c>
      <c r="H1">
        <f>SUM(H6:H51)</f>
        <v>41609.873309020375</v>
      </c>
      <c r="L1" t="s">
        <v>109</v>
      </c>
      <c r="M1">
        <v>15.27898140401676</v>
      </c>
      <c r="O1" t="s">
        <v>108</v>
      </c>
    </row>
    <row r="2" spans="1:31" x14ac:dyDescent="0.25">
      <c r="E2" t="s">
        <v>56</v>
      </c>
      <c r="F2">
        <v>-2.7305523087813564E-2</v>
      </c>
      <c r="G2">
        <v>0.11146861198415933</v>
      </c>
      <c r="L2" t="s">
        <v>110</v>
      </c>
      <c r="M2">
        <v>0.26854658911640383</v>
      </c>
      <c r="O2" s="4">
        <f>SUM(O6:O56)</f>
        <v>160384.25867305323</v>
      </c>
    </row>
    <row r="3" spans="1:31" x14ac:dyDescent="0.25">
      <c r="L3" t="s">
        <v>111</v>
      </c>
      <c r="M3">
        <v>408.60363769810175</v>
      </c>
    </row>
    <row r="4" spans="1:31" x14ac:dyDescent="0.25">
      <c r="B4" t="s">
        <v>30</v>
      </c>
      <c r="L4" t="s">
        <v>100</v>
      </c>
      <c r="R4" t="s">
        <v>32</v>
      </c>
      <c r="W4" s="11"/>
      <c r="X4" s="11" t="s">
        <v>30</v>
      </c>
      <c r="Y4" s="11" t="s">
        <v>33</v>
      </c>
      <c r="Z4" s="11" t="s">
        <v>96</v>
      </c>
      <c r="AA4" s="11" t="s">
        <v>31</v>
      </c>
      <c r="AB4" s="11" t="s">
        <v>32</v>
      </c>
      <c r="AC4" s="11" t="s">
        <v>34</v>
      </c>
      <c r="AD4" s="11" t="s">
        <v>40</v>
      </c>
      <c r="AE4" s="11" t="s">
        <v>13</v>
      </c>
    </row>
    <row r="5" spans="1:31" x14ac:dyDescent="0.25">
      <c r="A5" t="s">
        <v>1</v>
      </c>
      <c r="B5" t="s">
        <v>36</v>
      </c>
      <c r="C5" t="s">
        <v>53</v>
      </c>
      <c r="D5" t="s">
        <v>54</v>
      </c>
      <c r="E5" t="s">
        <v>52</v>
      </c>
      <c r="F5" t="s">
        <v>57</v>
      </c>
      <c r="G5" t="s">
        <v>58</v>
      </c>
      <c r="I5" t="s">
        <v>38</v>
      </c>
      <c r="L5" t="s">
        <v>1</v>
      </c>
      <c r="M5" t="s">
        <v>102</v>
      </c>
      <c r="N5" t="s">
        <v>103</v>
      </c>
      <c r="O5" t="s">
        <v>107</v>
      </c>
      <c r="R5" t="s">
        <v>94</v>
      </c>
      <c r="S5" t="s">
        <v>95</v>
      </c>
      <c r="T5" t="s">
        <v>74</v>
      </c>
      <c r="W5" s="11"/>
      <c r="X5" s="11" t="s">
        <v>59</v>
      </c>
      <c r="Y5" s="11" t="s">
        <v>60</v>
      </c>
      <c r="Z5" s="11" t="s">
        <v>97</v>
      </c>
      <c r="AA5" s="11" t="s">
        <v>35</v>
      </c>
      <c r="AB5" s="11" t="s">
        <v>42</v>
      </c>
      <c r="AC5" s="11" t="s">
        <v>37</v>
      </c>
      <c r="AD5" s="11" t="s">
        <v>39</v>
      </c>
      <c r="AE5" s="11" t="s">
        <v>61</v>
      </c>
    </row>
    <row r="6" spans="1:31" x14ac:dyDescent="0.25">
      <c r="A6">
        <v>1970</v>
      </c>
      <c r="B6" s="4">
        <v>821.37710000000004</v>
      </c>
      <c r="C6" s="4"/>
      <c r="D6" s="4"/>
      <c r="E6" s="4"/>
      <c r="F6" s="4">
        <f>F$1</f>
        <v>1820.707494766983</v>
      </c>
      <c r="G6" s="4">
        <f>G$1</f>
        <v>40.734458894757672</v>
      </c>
      <c r="H6" s="4"/>
      <c r="I6" s="4">
        <v>1346.4079999999999</v>
      </c>
      <c r="J6" s="4"/>
      <c r="K6" s="4">
        <v>1965</v>
      </c>
      <c r="L6" s="4">
        <v>1965</v>
      </c>
      <c r="M6" s="4">
        <v>7</v>
      </c>
      <c r="N6" s="4">
        <f>N0_3</f>
        <v>15.27898140401676</v>
      </c>
      <c r="O6" s="4">
        <f>IF(M6&gt;0,(M6-N6)^2,"")</f>
        <v>68.541533088055317</v>
      </c>
      <c r="P6" s="4">
        <f>N6*2</f>
        <v>30.557962808033519</v>
      </c>
      <c r="R6" s="4">
        <f>350*1.52</f>
        <v>532</v>
      </c>
      <c r="S6" s="4">
        <f>S7-S7*0.031</f>
        <v>133.09379927102819</v>
      </c>
      <c r="T6" s="4">
        <f>SUM(R6:S6)</f>
        <v>665.09379927102816</v>
      </c>
      <c r="V6">
        <v>1</v>
      </c>
      <c r="W6" s="11">
        <v>1970</v>
      </c>
      <c r="X6" s="8">
        <f t="shared" ref="X6:X51" si="0">B6*F6/SUM(F6:G6)</f>
        <v>803.40267342643563</v>
      </c>
      <c r="Y6" s="8">
        <f t="shared" ref="Y6:Y51" si="1">I6+G6/SUM(F6:G6)*B6</f>
        <v>1364.3824265735643</v>
      </c>
      <c r="Z6" s="8">
        <v>0</v>
      </c>
      <c r="AA6" s="8">
        <v>38.085740000000001</v>
      </c>
      <c r="AB6" s="8">
        <f>T6</f>
        <v>665.09379927102816</v>
      </c>
      <c r="AC6" s="8">
        <v>3679.2280000000001</v>
      </c>
      <c r="AD6" s="8">
        <v>6539.4374417409435</v>
      </c>
      <c r="AE6" s="8">
        <v>60764.705880000001</v>
      </c>
    </row>
    <row r="7" spans="1:31" x14ac:dyDescent="0.25">
      <c r="A7">
        <v>1971</v>
      </c>
      <c r="B7" s="4">
        <v>831.18349999999998</v>
      </c>
      <c r="C7" s="4"/>
      <c r="D7" s="4"/>
      <c r="E7" s="4"/>
      <c r="F7" s="4">
        <f>F6+F$2*F6</f>
        <v>1770.9921242324681</v>
      </c>
      <c r="G7" s="4">
        <f>G6+G$2*G6</f>
        <v>45.275072487682102</v>
      </c>
      <c r="H7" s="4"/>
      <c r="I7" s="4">
        <v>1392.701</v>
      </c>
      <c r="J7" s="4"/>
      <c r="K7" s="4">
        <v>1966</v>
      </c>
      <c r="L7" s="4">
        <v>1966</v>
      </c>
      <c r="M7" s="4">
        <v>13</v>
      </c>
      <c r="N7" s="4">
        <f t="shared" ref="N7:N38" si="2">N6+r_3*N6*(1-N6/k_3)</f>
        <v>19.228671182567805</v>
      </c>
      <c r="O7" s="4">
        <f t="shared" ref="O7:O56" si="3">IF(M7&gt;0,(M7-N7)^2,"")</f>
        <v>38.796344700550613</v>
      </c>
      <c r="P7" s="4">
        <f t="shared" ref="P7:P56" si="4">N7*2</f>
        <v>38.457342365135609</v>
      </c>
      <c r="R7" s="4">
        <f>R6+R6*0.031</f>
        <v>548.49199999999996</v>
      </c>
      <c r="S7" s="4">
        <f t="shared" ref="S7:S48" si="5">S8-S8*0.031</f>
        <v>137.35170203408481</v>
      </c>
      <c r="T7" s="4">
        <f t="shared" ref="T7:T51" si="6">SUM(R7:S7)</f>
        <v>685.8437020340848</v>
      </c>
      <c r="V7">
        <f>V6+1</f>
        <v>2</v>
      </c>
      <c r="W7" s="11">
        <f>W6+1</f>
        <v>1971</v>
      </c>
      <c r="X7" s="8">
        <f t="shared" si="0"/>
        <v>810.46414038098487</v>
      </c>
      <c r="Y7" s="8">
        <f t="shared" si="1"/>
        <v>1413.4203596190152</v>
      </c>
      <c r="Z7" s="8">
        <v>0</v>
      </c>
      <c r="AA7" s="8">
        <v>41.652940000000001</v>
      </c>
      <c r="AB7" s="8">
        <f t="shared" ref="AB7:AB51" si="7">T7</f>
        <v>685.8437020340848</v>
      </c>
      <c r="AC7" s="8">
        <v>3816.88</v>
      </c>
      <c r="AD7" s="8">
        <v>6625.4415920090632</v>
      </c>
      <c r="AE7" s="8">
        <v>59941.176469999999</v>
      </c>
    </row>
    <row r="8" spans="1:31" x14ac:dyDescent="0.25">
      <c r="A8">
        <v>1972</v>
      </c>
      <c r="B8" s="4">
        <v>841.10699999999997</v>
      </c>
      <c r="C8" s="4"/>
      <c r="D8" s="4"/>
      <c r="E8" s="4"/>
      <c r="F8" s="4">
        <f t="shared" ref="F8:G51" si="8">F7+F$2*F7</f>
        <v>1722.6342578959025</v>
      </c>
      <c r="G8" s="4">
        <f t="shared" si="8"/>
        <v>50.321821975366227</v>
      </c>
      <c r="H8" s="4"/>
      <c r="I8" s="4">
        <v>1440.586</v>
      </c>
      <c r="J8" s="4"/>
      <c r="K8" s="4">
        <v>1967</v>
      </c>
      <c r="L8" s="4">
        <v>1967</v>
      </c>
      <c r="M8" s="4">
        <v>7</v>
      </c>
      <c r="N8" s="4">
        <f t="shared" si="2"/>
        <v>24.149459823285216</v>
      </c>
      <c r="O8" s="4">
        <f t="shared" si="3"/>
        <v>294.1039722304738</v>
      </c>
      <c r="P8" s="4">
        <f t="shared" si="4"/>
        <v>48.298919646570432</v>
      </c>
      <c r="R8" s="4">
        <f t="shared" ref="R8:R51" si="9">R7+R7*0.031</f>
        <v>565.49525199999994</v>
      </c>
      <c r="S8" s="4">
        <f t="shared" si="5"/>
        <v>141.74582253259527</v>
      </c>
      <c r="T8" s="4">
        <f t="shared" si="6"/>
        <v>707.24107453259523</v>
      </c>
      <c r="V8">
        <f t="shared" ref="V8:V51" si="10">V7+1</f>
        <v>3</v>
      </c>
      <c r="W8" s="11">
        <f t="shared" ref="W8:W51" si="11">W7+1</f>
        <v>1972</v>
      </c>
      <c r="X8" s="8">
        <f t="shared" si="0"/>
        <v>817.23385548346596</v>
      </c>
      <c r="Y8" s="8">
        <f t="shared" si="1"/>
        <v>1464.459144516534</v>
      </c>
      <c r="Z8" s="8">
        <v>0</v>
      </c>
      <c r="AA8" s="8">
        <v>45.55424</v>
      </c>
      <c r="AB8" s="8">
        <f t="shared" si="7"/>
        <v>707.24107453259523</v>
      </c>
      <c r="AC8" s="8">
        <v>3959.681</v>
      </c>
      <c r="AD8" s="8">
        <v>6711.4457422771829</v>
      </c>
      <c r="AE8" s="8">
        <v>59117.647060000003</v>
      </c>
    </row>
    <row r="9" spans="1:31" x14ac:dyDescent="0.25">
      <c r="A9">
        <v>1973</v>
      </c>
      <c r="B9" s="4">
        <v>851.14890000000003</v>
      </c>
      <c r="C9" s="4"/>
      <c r="D9" s="4"/>
      <c r="E9" s="4"/>
      <c r="F9" s="4">
        <f t="shared" si="8"/>
        <v>1675.5968283950674</v>
      </c>
      <c r="G9" s="4">
        <f t="shared" si="8"/>
        <v>55.931125623474266</v>
      </c>
      <c r="H9" s="4"/>
      <c r="I9" s="4">
        <v>1490.116</v>
      </c>
      <c r="J9" s="4"/>
      <c r="K9" s="4">
        <v>1968</v>
      </c>
      <c r="L9" s="4">
        <v>1968</v>
      </c>
      <c r="M9" s="4">
        <v>19</v>
      </c>
      <c r="N9" s="4">
        <f t="shared" si="2"/>
        <v>30.251420682456597</v>
      </c>
      <c r="O9" s="4">
        <f t="shared" si="3"/>
        <v>126.59446737361209</v>
      </c>
      <c r="P9" s="4">
        <f t="shared" si="4"/>
        <v>60.502841364913195</v>
      </c>
      <c r="R9" s="4">
        <f t="shared" si="9"/>
        <v>583.02560481199998</v>
      </c>
      <c r="S9" s="4">
        <f t="shared" si="5"/>
        <v>146.28051860948943</v>
      </c>
      <c r="T9" s="4">
        <f t="shared" si="6"/>
        <v>729.30612342148947</v>
      </c>
      <c r="V9">
        <f t="shared" si="10"/>
        <v>4</v>
      </c>
      <c r="W9" s="11">
        <f t="shared" si="11"/>
        <v>1973</v>
      </c>
      <c r="X9" s="8">
        <f t="shared" si="0"/>
        <v>823.65542757889455</v>
      </c>
      <c r="Y9" s="8">
        <f t="shared" si="1"/>
        <v>1517.6094724211055</v>
      </c>
      <c r="Z9" s="8">
        <v>0</v>
      </c>
      <c r="AA9" s="8">
        <v>49.820950000000003</v>
      </c>
      <c r="AB9" s="8">
        <f t="shared" si="7"/>
        <v>729.30612342148947</v>
      </c>
      <c r="AC9" s="8">
        <v>4107.8249999999998</v>
      </c>
      <c r="AD9" s="8">
        <v>6798.5663032419507</v>
      </c>
      <c r="AE9" s="8">
        <v>58294.11765</v>
      </c>
    </row>
    <row r="10" spans="1:31" x14ac:dyDescent="0.25">
      <c r="A10">
        <v>1974</v>
      </c>
      <c r="B10" s="4">
        <v>861.3107</v>
      </c>
      <c r="C10" s="4"/>
      <c r="D10" s="4"/>
      <c r="E10" s="4"/>
      <c r="F10" s="4">
        <f t="shared" si="8"/>
        <v>1629.8437805114588</v>
      </c>
      <c r="G10" s="4">
        <f t="shared" si="8"/>
        <v>62.165690563434588</v>
      </c>
      <c r="H10" s="4"/>
      <c r="I10" s="4">
        <v>1541.35</v>
      </c>
      <c r="J10" s="4"/>
      <c r="K10" s="4">
        <v>1969</v>
      </c>
      <c r="L10" s="4">
        <v>1969</v>
      </c>
      <c r="M10" s="4">
        <v>18</v>
      </c>
      <c r="N10" s="4">
        <f t="shared" si="2"/>
        <v>37.773873459195904</v>
      </c>
      <c r="O10" s="4">
        <f t="shared" si="3"/>
        <v>391.0060715802922</v>
      </c>
      <c r="P10" s="4">
        <f t="shared" si="4"/>
        <v>75.547746918391809</v>
      </c>
      <c r="R10" s="4">
        <f t="shared" si="9"/>
        <v>601.09939856117194</v>
      </c>
      <c r="S10" s="4">
        <f t="shared" si="5"/>
        <v>150.96028752269291</v>
      </c>
      <c r="T10" s="4">
        <f t="shared" si="6"/>
        <v>752.05968608386479</v>
      </c>
      <c r="V10">
        <f t="shared" si="10"/>
        <v>5</v>
      </c>
      <c r="W10" s="11">
        <f t="shared" si="11"/>
        <v>1974</v>
      </c>
      <c r="X10" s="8">
        <f t="shared" si="0"/>
        <v>829.66550216244889</v>
      </c>
      <c r="Y10" s="8">
        <f t="shared" si="1"/>
        <v>1572.9951978375511</v>
      </c>
      <c r="Z10" s="8">
        <v>0</v>
      </c>
      <c r="AA10" s="8">
        <v>54.487290000000002</v>
      </c>
      <c r="AB10" s="8">
        <f t="shared" si="7"/>
        <v>752.05968608386479</v>
      </c>
      <c r="AC10" s="8">
        <v>4261.5110000000004</v>
      </c>
      <c r="AD10" s="8">
        <v>6886.8177669114821</v>
      </c>
      <c r="AE10" s="8">
        <v>57470.588239999997</v>
      </c>
    </row>
    <row r="11" spans="1:31" x14ac:dyDescent="0.25">
      <c r="A11">
        <v>1975</v>
      </c>
      <c r="B11" s="4">
        <v>871.59379999999999</v>
      </c>
      <c r="C11" s="4">
        <v>1000</v>
      </c>
      <c r="D11" s="4">
        <v>650</v>
      </c>
      <c r="E11" s="4">
        <v>100</v>
      </c>
      <c r="F11" s="4">
        <f t="shared" si="8"/>
        <v>1585.3400435331739</v>
      </c>
      <c r="G11" s="4">
        <f t="shared" si="8"/>
        <v>69.095213803577394</v>
      </c>
      <c r="H11" s="4">
        <f>SUM((F11-SUM(C11:D11))^2+(E11-G11)^2)</f>
        <v>5136.0157801384375</v>
      </c>
      <c r="I11" s="4">
        <v>1594.346</v>
      </c>
      <c r="J11" s="4"/>
      <c r="K11" s="4">
        <v>1970</v>
      </c>
      <c r="L11" s="4">
        <v>1970</v>
      </c>
      <c r="M11" s="4">
        <v>72</v>
      </c>
      <c r="N11" s="4">
        <f t="shared" si="2"/>
        <v>46.980139440292902</v>
      </c>
      <c r="O11" s="4">
        <f t="shared" si="3"/>
        <v>625.99342242718683</v>
      </c>
      <c r="P11" s="4">
        <f t="shared" si="4"/>
        <v>93.960278880585804</v>
      </c>
      <c r="R11" s="4">
        <f t="shared" si="9"/>
        <v>619.73347991656829</v>
      </c>
      <c r="S11" s="4">
        <f t="shared" si="5"/>
        <v>155.78977040525584</v>
      </c>
      <c r="T11" s="4">
        <f t="shared" si="6"/>
        <v>775.52325032182409</v>
      </c>
      <c r="V11">
        <f t="shared" si="10"/>
        <v>6</v>
      </c>
      <c r="W11" s="11">
        <f t="shared" si="11"/>
        <v>1975</v>
      </c>
      <c r="X11" s="8">
        <f t="shared" si="0"/>
        <v>835.19288331631105</v>
      </c>
      <c r="Y11" s="8">
        <f t="shared" si="1"/>
        <v>1630.7469166836888</v>
      </c>
      <c r="Z11" s="8">
        <v>0</v>
      </c>
      <c r="AA11" s="8">
        <v>59.590690000000002</v>
      </c>
      <c r="AB11" s="8">
        <f t="shared" si="7"/>
        <v>775.52325032182409</v>
      </c>
      <c r="AC11" s="8">
        <v>4420.9480000000003</v>
      </c>
      <c r="AD11" s="8">
        <v>6976.214813413103</v>
      </c>
      <c r="AE11" s="8">
        <v>56647.058819999998</v>
      </c>
    </row>
    <row r="12" spans="1:31" x14ac:dyDescent="0.25">
      <c r="A12">
        <v>1976</v>
      </c>
      <c r="B12" s="4">
        <v>881.99969999999996</v>
      </c>
      <c r="C12" s="4"/>
      <c r="D12" s="4"/>
      <c r="E12" s="4"/>
      <c r="F12" s="4">
        <f t="shared" si="8"/>
        <v>1542.0515043724436</v>
      </c>
      <c r="G12" s="4">
        <f t="shared" si="8"/>
        <v>76.797161381010895</v>
      </c>
      <c r="H12" s="4"/>
      <c r="I12" s="4">
        <v>1649.163</v>
      </c>
      <c r="J12" s="4"/>
      <c r="K12" s="4">
        <v>1971</v>
      </c>
      <c r="L12" s="4">
        <v>1971</v>
      </c>
      <c r="M12" s="4">
        <v>71</v>
      </c>
      <c r="N12" s="4">
        <f t="shared" si="2"/>
        <v>58.145901182070553</v>
      </c>
      <c r="O12" s="4">
        <f t="shared" si="3"/>
        <v>165.22785642109523</v>
      </c>
      <c r="P12" s="4">
        <f t="shared" si="4"/>
        <v>116.29180236414111</v>
      </c>
      <c r="R12" s="4">
        <f t="shared" si="9"/>
        <v>638.9452177939819</v>
      </c>
      <c r="S12" s="4">
        <f t="shared" si="5"/>
        <v>160.77375686816907</v>
      </c>
      <c r="T12" s="4">
        <f t="shared" si="6"/>
        <v>799.71897466215091</v>
      </c>
      <c r="V12">
        <f t="shared" si="10"/>
        <v>7</v>
      </c>
      <c r="W12" s="11">
        <f t="shared" si="11"/>
        <v>1976</v>
      </c>
      <c r="X12" s="8">
        <f t="shared" si="0"/>
        <v>840.1581895908862</v>
      </c>
      <c r="Y12" s="8">
        <f t="shared" si="1"/>
        <v>1691.0045104091139</v>
      </c>
      <c r="Z12" s="8">
        <v>0</v>
      </c>
      <c r="AA12" s="8">
        <v>65.172089999999997</v>
      </c>
      <c r="AB12" s="8">
        <f t="shared" si="7"/>
        <v>799.71897466215091</v>
      </c>
      <c r="AC12" s="8">
        <v>4586.3490000000002</v>
      </c>
      <c r="AD12" s="8">
        <v>7066.7723134353055</v>
      </c>
      <c r="AE12" s="8">
        <v>55823.529410000003</v>
      </c>
    </row>
    <row r="13" spans="1:31" x14ac:dyDescent="0.25">
      <c r="A13">
        <v>1977</v>
      </c>
      <c r="B13" s="4">
        <v>892.5299</v>
      </c>
      <c r="C13" s="4"/>
      <c r="D13" s="4"/>
      <c r="E13" s="4"/>
      <c r="F13" s="4">
        <f t="shared" si="8"/>
        <v>1499.9449814172042</v>
      </c>
      <c r="G13" s="4">
        <f t="shared" si="8"/>
        <v>85.357634364475672</v>
      </c>
      <c r="H13" s="4"/>
      <c r="I13" s="4">
        <v>1705.865</v>
      </c>
      <c r="J13" s="4"/>
      <c r="K13" s="4">
        <v>1972</v>
      </c>
      <c r="L13" s="4">
        <v>1972</v>
      </c>
      <c r="M13" s="4"/>
      <c r="N13" s="4">
        <f t="shared" si="2"/>
        <v>71.538725423456668</v>
      </c>
      <c r="O13" s="4" t="str">
        <f t="shared" si="3"/>
        <v/>
      </c>
      <c r="P13" s="4">
        <f t="shared" si="4"/>
        <v>143.07745084691334</v>
      </c>
      <c r="R13" s="4">
        <f t="shared" si="9"/>
        <v>658.75251954559531</v>
      </c>
      <c r="S13" s="4">
        <f t="shared" si="5"/>
        <v>165.91718975043247</v>
      </c>
      <c r="T13" s="4">
        <f t="shared" si="6"/>
        <v>824.6697092960278</v>
      </c>
      <c r="V13">
        <f t="shared" si="10"/>
        <v>8</v>
      </c>
      <c r="W13" s="11">
        <f t="shared" si="11"/>
        <v>1977</v>
      </c>
      <c r="X13" s="8">
        <f t="shared" si="0"/>
        <v>844.47330808805327</v>
      </c>
      <c r="Y13" s="8">
        <f t="shared" si="1"/>
        <v>1753.9215919119467</v>
      </c>
      <c r="Z13" s="8">
        <v>0</v>
      </c>
      <c r="AA13" s="8">
        <v>71.276250000000005</v>
      </c>
      <c r="AB13" s="8">
        <f t="shared" si="7"/>
        <v>824.6697092960278</v>
      </c>
      <c r="AC13" s="8">
        <v>4757.9380000000001</v>
      </c>
      <c r="AD13" s="8">
        <v>7158.5053307014014</v>
      </c>
      <c r="AE13" s="8">
        <v>55000</v>
      </c>
    </row>
    <row r="14" spans="1:31" x14ac:dyDescent="0.25">
      <c r="A14">
        <v>1978</v>
      </c>
      <c r="B14" s="4">
        <v>903.1857</v>
      </c>
      <c r="C14" s="4"/>
      <c r="D14" s="4"/>
      <c r="E14" s="4"/>
      <c r="F14" s="4">
        <f t="shared" si="8"/>
        <v>1458.9881990966667</v>
      </c>
      <c r="G14" s="4">
        <f t="shared" si="8"/>
        <v>94.872331389335159</v>
      </c>
      <c r="H14" s="4"/>
      <c r="I14" s="4">
        <v>1764.5170000000001</v>
      </c>
      <c r="J14" s="4"/>
      <c r="K14" s="4">
        <v>1973</v>
      </c>
      <c r="L14" s="4">
        <v>1973</v>
      </c>
      <c r="M14" s="4"/>
      <c r="N14" s="4">
        <f t="shared" si="2"/>
        <v>87.386641252191822</v>
      </c>
      <c r="O14" s="4" t="str">
        <f t="shared" si="3"/>
        <v/>
      </c>
      <c r="P14" s="4">
        <f t="shared" si="4"/>
        <v>174.77328250438364</v>
      </c>
      <c r="R14" s="4">
        <f t="shared" si="9"/>
        <v>679.17384765150871</v>
      </c>
      <c r="S14" s="4">
        <f t="shared" si="5"/>
        <v>171.22517002108614</v>
      </c>
      <c r="T14" s="4">
        <f t="shared" si="6"/>
        <v>850.39901767259482</v>
      </c>
      <c r="V14">
        <f t="shared" si="10"/>
        <v>9</v>
      </c>
      <c r="W14" s="11">
        <f t="shared" si="11"/>
        <v>1978</v>
      </c>
      <c r="X14" s="8">
        <f t="shared" si="0"/>
        <v>848.04089687554699</v>
      </c>
      <c r="Y14" s="8">
        <f t="shared" si="1"/>
        <v>1819.6618031244529</v>
      </c>
      <c r="Z14" s="8">
        <v>0</v>
      </c>
      <c r="AA14" s="8">
        <v>77.95214</v>
      </c>
      <c r="AB14" s="8">
        <f t="shared" si="7"/>
        <v>850.39901767259482</v>
      </c>
      <c r="AC14" s="8">
        <v>4935.9480000000003</v>
      </c>
      <c r="AD14" s="8">
        <v>7251.4291244752876</v>
      </c>
      <c r="AE14" s="8">
        <v>52875</v>
      </c>
    </row>
    <row r="15" spans="1:31" x14ac:dyDescent="0.25">
      <c r="A15">
        <v>1979</v>
      </c>
      <c r="B15" s="4">
        <v>913.96879999999999</v>
      </c>
      <c r="C15" s="4"/>
      <c r="D15" s="4"/>
      <c r="E15" s="4"/>
      <c r="F15" s="4">
        <f t="shared" si="8"/>
        <v>1419.1497631413852</v>
      </c>
      <c r="G15" s="4">
        <f t="shared" si="8"/>
        <v>105.44761848500553</v>
      </c>
      <c r="H15" s="4"/>
      <c r="I15" s="4">
        <v>1825.1859999999999</v>
      </c>
      <c r="J15" s="4"/>
      <c r="K15" s="4">
        <v>1974</v>
      </c>
      <c r="L15" s="4">
        <v>1974</v>
      </c>
      <c r="M15" s="4">
        <v>119</v>
      </c>
      <c r="N15" s="4">
        <f t="shared" si="2"/>
        <v>105.83513766687088</v>
      </c>
      <c r="O15" s="4">
        <f t="shared" si="3"/>
        <v>173.31360025024193</v>
      </c>
      <c r="P15" s="4">
        <f t="shared" si="4"/>
        <v>211.67027533374176</v>
      </c>
      <c r="R15" s="4">
        <f t="shared" si="9"/>
        <v>700.22823692870543</v>
      </c>
      <c r="S15" s="4">
        <f t="shared" si="5"/>
        <v>176.70296183806619</v>
      </c>
      <c r="T15" s="4">
        <f t="shared" si="6"/>
        <v>876.93119876677156</v>
      </c>
      <c r="V15">
        <f t="shared" si="10"/>
        <v>10</v>
      </c>
      <c r="W15" s="11">
        <f t="shared" si="11"/>
        <v>1979</v>
      </c>
      <c r="X15" s="8">
        <f t="shared" si="0"/>
        <v>850.75484299661878</v>
      </c>
      <c r="Y15" s="8">
        <f t="shared" si="1"/>
        <v>1888.3999570033811</v>
      </c>
      <c r="Z15" s="8">
        <v>0</v>
      </c>
      <c r="AA15" s="8">
        <v>85.253309999999999</v>
      </c>
      <c r="AB15" s="8">
        <f t="shared" si="7"/>
        <v>876.93119876677156</v>
      </c>
      <c r="AC15" s="8">
        <v>5120.6170000000002</v>
      </c>
      <c r="AD15" s="8">
        <v>7345.5591520997368</v>
      </c>
      <c r="AE15" s="8">
        <v>50750</v>
      </c>
    </row>
    <row r="16" spans="1:31" x14ac:dyDescent="0.25">
      <c r="A16">
        <v>1980</v>
      </c>
      <c r="B16" s="4">
        <v>924.88059999999996</v>
      </c>
      <c r="C16" s="4"/>
      <c r="D16" s="4"/>
      <c r="E16" s="4"/>
      <c r="F16" s="4">
        <f t="shared" si="8"/>
        <v>1380.3991365188629</v>
      </c>
      <c r="G16" s="4">
        <f t="shared" si="8"/>
        <v>117.20171815456429</v>
      </c>
      <c r="H16" s="4"/>
      <c r="I16" s="4">
        <v>1887.94</v>
      </c>
      <c r="J16" s="4"/>
      <c r="K16" s="4">
        <v>1975</v>
      </c>
      <c r="L16" s="4">
        <v>1975</v>
      </c>
      <c r="M16" s="4"/>
      <c r="N16" s="4">
        <f t="shared" si="2"/>
        <v>126.89511891981151</v>
      </c>
      <c r="O16" s="4" t="str">
        <f t="shared" si="3"/>
        <v/>
      </c>
      <c r="P16" s="4">
        <f t="shared" si="4"/>
        <v>253.79023783962302</v>
      </c>
      <c r="R16" s="4">
        <f t="shared" si="9"/>
        <v>721.93531227349524</v>
      </c>
      <c r="S16" s="4">
        <f t="shared" si="5"/>
        <v>182.35599776890214</v>
      </c>
      <c r="T16" s="4">
        <f t="shared" si="6"/>
        <v>904.29131004239741</v>
      </c>
      <c r="V16">
        <f t="shared" si="10"/>
        <v>11</v>
      </c>
      <c r="W16" s="11">
        <f t="shared" si="11"/>
        <v>1980</v>
      </c>
      <c r="X16" s="8">
        <f t="shared" si="0"/>
        <v>852.49976830538799</v>
      </c>
      <c r="Y16" s="8">
        <f t="shared" si="1"/>
        <v>1960.320831694612</v>
      </c>
      <c r="Z16" s="8">
        <v>0</v>
      </c>
      <c r="AA16" s="8">
        <v>93.238320000000002</v>
      </c>
      <c r="AB16" s="8">
        <f t="shared" si="7"/>
        <v>904.29131004239741</v>
      </c>
      <c r="AC16" s="8">
        <v>5312.1949999999997</v>
      </c>
      <c r="AD16" s="8">
        <v>7440.9110715676397</v>
      </c>
      <c r="AE16" s="8">
        <v>48625</v>
      </c>
    </row>
    <row r="17" spans="1:31" x14ac:dyDescent="0.25">
      <c r="A17">
        <v>1981</v>
      </c>
      <c r="B17" s="4">
        <v>935.92269999999996</v>
      </c>
      <c r="C17" s="4"/>
      <c r="D17" s="4"/>
      <c r="E17" s="4"/>
      <c r="F17" s="4">
        <f t="shared" si="8"/>
        <v>1342.7066160262491</v>
      </c>
      <c r="G17" s="4">
        <f t="shared" si="8"/>
        <v>130.26603099941221</v>
      </c>
      <c r="H17" s="4"/>
      <c r="I17" s="4">
        <v>1952.8520000000001</v>
      </c>
      <c r="J17" s="4"/>
      <c r="K17" s="4">
        <v>1976</v>
      </c>
      <c r="L17" s="4">
        <v>1976</v>
      </c>
      <c r="M17" s="4"/>
      <c r="N17" s="4">
        <f t="shared" si="2"/>
        <v>150.38940805327843</v>
      </c>
      <c r="O17" s="4" t="str">
        <f t="shared" si="3"/>
        <v/>
      </c>
      <c r="P17" s="4">
        <f t="shared" si="4"/>
        <v>300.77881610655686</v>
      </c>
      <c r="R17" s="4">
        <f t="shared" si="9"/>
        <v>744.31530695397362</v>
      </c>
      <c r="S17" s="4">
        <f t="shared" si="5"/>
        <v>188.18988417843357</v>
      </c>
      <c r="T17" s="4">
        <f t="shared" si="6"/>
        <v>932.50519113240716</v>
      </c>
      <c r="V17">
        <f t="shared" si="10"/>
        <v>12</v>
      </c>
      <c r="W17" s="11">
        <f t="shared" si="11"/>
        <v>1981</v>
      </c>
      <c r="X17" s="8">
        <f t="shared" si="0"/>
        <v>853.1520282584429</v>
      </c>
      <c r="Y17" s="8">
        <f t="shared" si="1"/>
        <v>2035.6226717415573</v>
      </c>
      <c r="Z17" s="8">
        <v>0</v>
      </c>
      <c r="AA17" s="8">
        <v>101.97123000000001</v>
      </c>
      <c r="AB17" s="8">
        <f t="shared" si="7"/>
        <v>932.50519113240716</v>
      </c>
      <c r="AC17" s="8">
        <v>5510.9409999999998</v>
      </c>
      <c r="AD17" s="8">
        <v>7537.5007441266216</v>
      </c>
      <c r="AE17" s="8">
        <v>46500</v>
      </c>
    </row>
    <row r="18" spans="1:31" x14ac:dyDescent="0.25">
      <c r="A18">
        <v>1982</v>
      </c>
      <c r="B18" s="4">
        <v>947.09670000000006</v>
      </c>
      <c r="C18" s="4"/>
      <c r="D18" s="4"/>
      <c r="E18" s="4"/>
      <c r="F18" s="4">
        <f t="shared" si="8"/>
        <v>1306.0433095221842</v>
      </c>
      <c r="G18" s="4">
        <f t="shared" si="8"/>
        <v>144.78660466360216</v>
      </c>
      <c r="H18" s="4"/>
      <c r="I18" s="4">
        <v>2019.9960000000001</v>
      </c>
      <c r="J18" s="4"/>
      <c r="K18" s="4">
        <v>1977</v>
      </c>
      <c r="L18" s="4">
        <v>1977</v>
      </c>
      <c r="M18" s="4">
        <v>128</v>
      </c>
      <c r="N18" s="4">
        <f t="shared" si="2"/>
        <v>175.91141564299488</v>
      </c>
      <c r="O18" s="4">
        <f t="shared" si="3"/>
        <v>2295.5037489158149</v>
      </c>
      <c r="P18" s="4">
        <f t="shared" si="4"/>
        <v>351.82283128598976</v>
      </c>
      <c r="R18" s="4">
        <f t="shared" si="9"/>
        <v>767.3890814695468</v>
      </c>
      <c r="S18" s="4">
        <f t="shared" si="5"/>
        <v>194.21040678888914</v>
      </c>
      <c r="T18" s="4">
        <f t="shared" si="6"/>
        <v>961.59948825843594</v>
      </c>
      <c r="V18">
        <f t="shared" si="10"/>
        <v>13</v>
      </c>
      <c r="W18" s="11">
        <f t="shared" si="11"/>
        <v>1982</v>
      </c>
      <c r="X18" s="8">
        <f t="shared" si="0"/>
        <v>852.5805102383224</v>
      </c>
      <c r="Y18" s="8">
        <f t="shared" si="1"/>
        <v>2114.5121897616777</v>
      </c>
      <c r="Z18" s="8">
        <v>0</v>
      </c>
      <c r="AA18" s="8">
        <v>111.52208</v>
      </c>
      <c r="AB18" s="8">
        <f t="shared" si="7"/>
        <v>961.59948825843594</v>
      </c>
      <c r="AC18" s="8">
        <v>5717.1220000000003</v>
      </c>
      <c r="AD18" s="8">
        <v>7635.34423691747</v>
      </c>
      <c r="AE18" s="8">
        <v>44375</v>
      </c>
    </row>
    <row r="19" spans="1:31" x14ac:dyDescent="0.25">
      <c r="A19">
        <v>1983</v>
      </c>
      <c r="B19" s="4">
        <v>958.404</v>
      </c>
      <c r="C19" s="4"/>
      <c r="D19" s="4"/>
      <c r="E19" s="4"/>
      <c r="F19" s="4">
        <f t="shared" si="8"/>
        <v>1270.3811137803418</v>
      </c>
      <c r="G19" s="4">
        <f t="shared" si="8"/>
        <v>160.92576651935309</v>
      </c>
      <c r="H19" s="4"/>
      <c r="I19" s="4">
        <v>2089.4479999999999</v>
      </c>
      <c r="J19" s="4"/>
      <c r="K19" s="4">
        <v>1978</v>
      </c>
      <c r="L19" s="4">
        <v>1978</v>
      </c>
      <c r="M19" s="4">
        <v>257</v>
      </c>
      <c r="N19" s="4">
        <f t="shared" si="2"/>
        <v>202.81395666938246</v>
      </c>
      <c r="O19" s="4">
        <f t="shared" si="3"/>
        <v>2936.1272918275613</v>
      </c>
      <c r="P19" s="4">
        <f t="shared" si="4"/>
        <v>405.62791333876493</v>
      </c>
      <c r="R19" s="4">
        <f t="shared" si="9"/>
        <v>791.17814299510269</v>
      </c>
      <c r="S19" s="4">
        <f t="shared" si="5"/>
        <v>200.42353641784226</v>
      </c>
      <c r="T19" s="4">
        <f t="shared" si="6"/>
        <v>991.60167941294492</v>
      </c>
      <c r="V19">
        <f t="shared" si="10"/>
        <v>14</v>
      </c>
      <c r="W19" s="11">
        <f t="shared" si="11"/>
        <v>1983</v>
      </c>
      <c r="X19" s="8">
        <f t="shared" si="0"/>
        <v>850.64800409301438</v>
      </c>
      <c r="Y19" s="8">
        <f t="shared" si="1"/>
        <v>2197.2039959069853</v>
      </c>
      <c r="Z19" s="8">
        <v>0</v>
      </c>
      <c r="AA19" s="8">
        <v>121.96747999999999</v>
      </c>
      <c r="AB19" s="8">
        <f t="shared" si="7"/>
        <v>991.60167941294492</v>
      </c>
      <c r="AC19" s="8">
        <v>5931.0169999999998</v>
      </c>
      <c r="AD19" s="8">
        <v>7734.457825646813</v>
      </c>
      <c r="AE19" s="8">
        <v>42250</v>
      </c>
    </row>
    <row r="20" spans="1:31" x14ac:dyDescent="0.25">
      <c r="A20">
        <v>1984</v>
      </c>
      <c r="B20" s="4">
        <v>969.84630000000004</v>
      </c>
      <c r="C20" s="4"/>
      <c r="D20" s="4"/>
      <c r="E20" s="4"/>
      <c r="F20" s="4">
        <f t="shared" si="8"/>
        <v>1235.6926929476904</v>
      </c>
      <c r="G20" s="4">
        <f t="shared" si="8"/>
        <v>178.86393834575227</v>
      </c>
      <c r="H20" s="4"/>
      <c r="I20" s="4">
        <v>2161.288</v>
      </c>
      <c r="J20" s="4"/>
      <c r="K20" s="4">
        <v>1979</v>
      </c>
      <c r="L20" s="4">
        <v>1979</v>
      </c>
      <c r="M20" s="4">
        <v>213</v>
      </c>
      <c r="N20" s="4">
        <f t="shared" si="2"/>
        <v>230.24478003805888</v>
      </c>
      <c r="O20" s="4">
        <f t="shared" si="3"/>
        <v>297.38243856103395</v>
      </c>
      <c r="P20" s="4">
        <f t="shared" si="4"/>
        <v>460.48956007611775</v>
      </c>
      <c r="R20" s="4">
        <f t="shared" si="9"/>
        <v>815.70466542795089</v>
      </c>
      <c r="S20" s="4">
        <f t="shared" si="5"/>
        <v>206.83543489973403</v>
      </c>
      <c r="T20" s="4">
        <f t="shared" si="6"/>
        <v>1022.540100327685</v>
      </c>
      <c r="V20">
        <f t="shared" si="10"/>
        <v>15</v>
      </c>
      <c r="W20" s="11">
        <f t="shared" si="11"/>
        <v>1984</v>
      </c>
      <c r="X20" s="8">
        <f t="shared" si="0"/>
        <v>847.21386170063136</v>
      </c>
      <c r="Y20" s="8">
        <f t="shared" si="1"/>
        <v>2283.9204382993689</v>
      </c>
      <c r="Z20" s="8">
        <v>0</v>
      </c>
      <c r="AA20" s="8">
        <v>133.39123000000001</v>
      </c>
      <c r="AB20" s="8">
        <f t="shared" si="7"/>
        <v>1022.540100327685</v>
      </c>
      <c r="AC20" s="8">
        <v>6152.915</v>
      </c>
      <c r="AD20" s="8">
        <v>7834.857997294489</v>
      </c>
      <c r="AE20" s="8">
        <v>40125</v>
      </c>
    </row>
    <row r="21" spans="1:31" x14ac:dyDescent="0.25">
      <c r="A21">
        <v>1985</v>
      </c>
      <c r="B21" s="4">
        <v>981.42529999999999</v>
      </c>
      <c r="C21" s="4">
        <v>400</v>
      </c>
      <c r="D21" s="4">
        <v>650</v>
      </c>
      <c r="E21" s="4">
        <v>250</v>
      </c>
      <c r="F21" s="4">
        <f t="shared" si="8"/>
        <v>1201.9514575909648</v>
      </c>
      <c r="G21" s="4">
        <f t="shared" si="8"/>
        <v>198.80165328717354</v>
      </c>
      <c r="H21" s="4">
        <f>SUM((F21-SUM(C21:D21))^2+(E21-G21)^2)</f>
        <v>25710.516170145551</v>
      </c>
      <c r="I21" s="4">
        <v>2235.5990000000002</v>
      </c>
      <c r="J21" s="4"/>
      <c r="K21" s="4">
        <v>1980</v>
      </c>
      <c r="L21" s="4">
        <v>1980</v>
      </c>
      <c r="M21" s="4"/>
      <c r="N21" s="4">
        <f t="shared" si="2"/>
        <v>257.23471804357035</v>
      </c>
      <c r="O21" s="4" t="str">
        <f t="shared" si="3"/>
        <v/>
      </c>
      <c r="P21" s="4">
        <f t="shared" si="4"/>
        <v>514.46943608714071</v>
      </c>
      <c r="R21" s="4">
        <f t="shared" si="9"/>
        <v>840.99151005621741</v>
      </c>
      <c r="S21" s="4">
        <f t="shared" si="5"/>
        <v>213.45246119683594</v>
      </c>
      <c r="T21" s="4">
        <f t="shared" si="6"/>
        <v>1054.4439712530534</v>
      </c>
      <c r="V21">
        <f t="shared" si="10"/>
        <v>16</v>
      </c>
      <c r="W21" s="11">
        <f t="shared" si="11"/>
        <v>1985</v>
      </c>
      <c r="X21" s="8">
        <f t="shared" si="0"/>
        <v>842.13667682817947</v>
      </c>
      <c r="Y21" s="8">
        <f t="shared" si="1"/>
        <v>2374.8876231718205</v>
      </c>
      <c r="Z21" s="8">
        <v>0</v>
      </c>
      <c r="AA21" s="8">
        <v>145.88494</v>
      </c>
      <c r="AB21" s="8">
        <f t="shared" si="7"/>
        <v>1054.4439712530534</v>
      </c>
      <c r="AC21" s="8">
        <v>6383.1139999999996</v>
      </c>
      <c r="AD21" s="8">
        <v>7936.5614528560618</v>
      </c>
      <c r="AE21" s="8">
        <v>38000</v>
      </c>
    </row>
    <row r="22" spans="1:31" x14ac:dyDescent="0.25">
      <c r="A22">
        <v>1986</v>
      </c>
      <c r="B22" s="4">
        <v>993.14239999999995</v>
      </c>
      <c r="C22" s="4"/>
      <c r="D22" s="4"/>
      <c r="E22" s="4"/>
      <c r="F22" s="4">
        <f t="shared" si="8"/>
        <v>1169.1315443152835</v>
      </c>
      <c r="G22" s="4">
        <f t="shared" si="8"/>
        <v>220.96179763925085</v>
      </c>
      <c r="H22" s="4"/>
      <c r="I22" s="4">
        <v>2312.4639999999999</v>
      </c>
      <c r="J22" s="4"/>
      <c r="K22" s="4">
        <v>1981</v>
      </c>
      <c r="L22" s="4">
        <v>1981</v>
      </c>
      <c r="M22" s="4"/>
      <c r="N22" s="4">
        <f t="shared" si="2"/>
        <v>282.82550884640358</v>
      </c>
      <c r="O22" s="4" t="str">
        <f t="shared" si="3"/>
        <v/>
      </c>
      <c r="P22" s="4">
        <f t="shared" si="4"/>
        <v>565.65101769280716</v>
      </c>
      <c r="R22" s="4">
        <f t="shared" si="9"/>
        <v>867.0622468679602</v>
      </c>
      <c r="S22" s="4">
        <f t="shared" si="5"/>
        <v>220.28117770571305</v>
      </c>
      <c r="T22" s="4">
        <f t="shared" si="6"/>
        <v>1087.3434245736732</v>
      </c>
      <c r="V22">
        <f t="shared" si="10"/>
        <v>17</v>
      </c>
      <c r="W22" s="11">
        <f t="shared" si="11"/>
        <v>1986</v>
      </c>
      <c r="X22" s="8">
        <f t="shared" si="0"/>
        <v>835.27779955007043</v>
      </c>
      <c r="Y22" s="8">
        <f t="shared" si="1"/>
        <v>2470.3286004499296</v>
      </c>
      <c r="Z22" s="8">
        <v>0</v>
      </c>
      <c r="AA22" s="8">
        <v>159.54884999999999</v>
      </c>
      <c r="AB22" s="8">
        <f t="shared" si="7"/>
        <v>1087.3434245736732</v>
      </c>
      <c r="AC22" s="8">
        <v>6621.9269999999997</v>
      </c>
      <c r="AD22" s="8">
        <v>8039.5851101209373</v>
      </c>
      <c r="AE22" s="8">
        <v>36400</v>
      </c>
    </row>
    <row r="23" spans="1:31" x14ac:dyDescent="0.25">
      <c r="A23">
        <v>1987</v>
      </c>
      <c r="B23" s="4">
        <v>1004.9995</v>
      </c>
      <c r="C23" s="4"/>
      <c r="D23" s="4"/>
      <c r="E23" s="4"/>
      <c r="F23" s="4">
        <f t="shared" si="8"/>
        <v>1137.2077959392914</v>
      </c>
      <c r="G23" s="4">
        <f t="shared" si="8"/>
        <v>245.59210252362283</v>
      </c>
      <c r="H23" s="4"/>
      <c r="I23" s="4">
        <v>2391.9720000000002</v>
      </c>
      <c r="J23" s="4"/>
      <c r="K23" s="4">
        <v>1982</v>
      </c>
      <c r="L23" s="4">
        <v>1982</v>
      </c>
      <c r="M23" s="4"/>
      <c r="N23" s="4">
        <f t="shared" si="2"/>
        <v>306.20532644965158</v>
      </c>
      <c r="O23" s="4" t="str">
        <f t="shared" si="3"/>
        <v/>
      </c>
      <c r="P23" s="4">
        <f t="shared" si="4"/>
        <v>612.41065289930316</v>
      </c>
      <c r="R23" s="4">
        <f t="shared" si="9"/>
        <v>893.94117652086697</v>
      </c>
      <c r="S23" s="4">
        <f t="shared" si="5"/>
        <v>227.32835676544175</v>
      </c>
      <c r="T23" s="4">
        <f t="shared" si="6"/>
        <v>1121.2695332863086</v>
      </c>
      <c r="V23">
        <f t="shared" si="10"/>
        <v>18</v>
      </c>
      <c r="W23" s="11">
        <f t="shared" si="11"/>
        <v>1987</v>
      </c>
      <c r="X23" s="8">
        <f t="shared" si="0"/>
        <v>826.50661717975345</v>
      </c>
      <c r="Y23" s="8">
        <f t="shared" si="1"/>
        <v>2570.4648828202467</v>
      </c>
      <c r="Z23" s="8">
        <v>0</v>
      </c>
      <c r="AA23" s="8">
        <v>174.49253999999999</v>
      </c>
      <c r="AB23" s="8">
        <f t="shared" si="7"/>
        <v>1121.2695332863086</v>
      </c>
      <c r="AC23" s="8">
        <v>6869.6729999999998</v>
      </c>
      <c r="AD23" s="8">
        <v>8143.9461064865409</v>
      </c>
      <c r="AE23" s="8">
        <v>34800</v>
      </c>
    </row>
    <row r="24" spans="1:31" x14ac:dyDescent="0.25">
      <c r="A24">
        <v>1988</v>
      </c>
      <c r="B24" s="4">
        <v>1016.9981</v>
      </c>
      <c r="C24" s="4"/>
      <c r="D24" s="4"/>
      <c r="E24" s="4"/>
      <c r="F24" s="4">
        <f t="shared" si="8"/>
        <v>1106.1557422116296</v>
      </c>
      <c r="G24" s="4">
        <f t="shared" si="8"/>
        <v>272.96791330620243</v>
      </c>
      <c r="H24" s="4"/>
      <c r="I24" s="4">
        <v>2474.2139999999999</v>
      </c>
      <c r="J24" s="4"/>
      <c r="K24" s="4">
        <v>1983</v>
      </c>
      <c r="L24" s="4">
        <v>1983</v>
      </c>
      <c r="M24" s="4"/>
      <c r="N24" s="4">
        <f t="shared" si="2"/>
        <v>326.81271440593588</v>
      </c>
      <c r="O24" s="4" t="str">
        <f t="shared" si="3"/>
        <v/>
      </c>
      <c r="P24" s="4">
        <f t="shared" si="4"/>
        <v>653.62542881187176</v>
      </c>
      <c r="R24" s="4">
        <f t="shared" si="9"/>
        <v>921.65335299301387</v>
      </c>
      <c r="S24" s="4">
        <f t="shared" si="5"/>
        <v>234.60098737403689</v>
      </c>
      <c r="T24" s="4">
        <f t="shared" si="6"/>
        <v>1156.2543403670506</v>
      </c>
      <c r="V24">
        <f t="shared" si="10"/>
        <v>19</v>
      </c>
      <c r="W24" s="11">
        <f t="shared" si="11"/>
        <v>1988</v>
      </c>
      <c r="X24" s="8">
        <f t="shared" si="0"/>
        <v>815.70516438637901</v>
      </c>
      <c r="Y24" s="8">
        <f t="shared" si="1"/>
        <v>2675.506935613621</v>
      </c>
      <c r="Z24" s="8">
        <v>0</v>
      </c>
      <c r="AA24" s="8">
        <v>190.83590000000001</v>
      </c>
      <c r="AB24" s="8">
        <f t="shared" si="7"/>
        <v>1156.2543403670506</v>
      </c>
      <c r="AC24" s="8">
        <v>7126.6890000000003</v>
      </c>
      <c r="AD24" s="8">
        <v>8249.661801809023</v>
      </c>
      <c r="AE24" s="8">
        <v>33200</v>
      </c>
    </row>
    <row r="25" spans="1:31" x14ac:dyDescent="0.25">
      <c r="A25">
        <v>1989</v>
      </c>
      <c r="B25" s="4">
        <v>1029.1400000000001</v>
      </c>
      <c r="C25" s="4"/>
      <c r="D25" s="4"/>
      <c r="E25" s="4"/>
      <c r="F25" s="4">
        <f t="shared" si="8"/>
        <v>1075.9515810539524</v>
      </c>
      <c r="G25" s="4">
        <f t="shared" si="8"/>
        <v>303.39526771865718</v>
      </c>
      <c r="H25" s="4"/>
      <c r="I25" s="4">
        <v>2559.2840000000001</v>
      </c>
      <c r="J25" s="4"/>
      <c r="K25" s="4">
        <v>1984</v>
      </c>
      <c r="L25" s="4">
        <v>1984</v>
      </c>
      <c r="M25" s="4"/>
      <c r="N25" s="4">
        <f t="shared" si="2"/>
        <v>344.38067977812256</v>
      </c>
      <c r="O25" s="4" t="str">
        <f t="shared" si="3"/>
        <v/>
      </c>
      <c r="P25" s="4">
        <f t="shared" si="4"/>
        <v>688.76135955624511</v>
      </c>
      <c r="R25" s="4">
        <f t="shared" si="9"/>
        <v>950.22460693579728</v>
      </c>
      <c r="S25" s="4">
        <f t="shared" si="5"/>
        <v>242.10628211974912</v>
      </c>
      <c r="T25" s="4">
        <f t="shared" si="6"/>
        <v>1192.3308890555463</v>
      </c>
      <c r="V25">
        <f t="shared" si="10"/>
        <v>20</v>
      </c>
      <c r="W25" s="11">
        <f t="shared" si="11"/>
        <v>1989</v>
      </c>
      <c r="X25" s="8">
        <f t="shared" si="0"/>
        <v>802.77474161860209</v>
      </c>
      <c r="Y25" s="8">
        <f t="shared" si="1"/>
        <v>2785.6492583813979</v>
      </c>
      <c r="Z25" s="8">
        <v>0</v>
      </c>
      <c r="AA25" s="8">
        <v>208.71001000000001</v>
      </c>
      <c r="AB25" s="8">
        <f t="shared" si="7"/>
        <v>1192.3308890555463</v>
      </c>
      <c r="AC25" s="8">
        <v>7393.3209999999999</v>
      </c>
      <c r="AD25" s="8">
        <v>8356.7497812909769</v>
      </c>
      <c r="AE25" s="8">
        <v>31600</v>
      </c>
    </row>
    <row r="26" spans="1:31" x14ac:dyDescent="0.25">
      <c r="A26">
        <v>1990</v>
      </c>
      <c r="B26" s="4">
        <v>1041.4268999999999</v>
      </c>
      <c r="C26" s="4"/>
      <c r="D26" s="4"/>
      <c r="E26" s="4"/>
      <c r="F26" s="4">
        <f t="shared" si="8"/>
        <v>1046.5721603161142</v>
      </c>
      <c r="G26" s="4">
        <f t="shared" si="8"/>
        <v>337.21431709381829</v>
      </c>
      <c r="H26" s="4"/>
      <c r="I26" s="4">
        <v>2647.2779999999998</v>
      </c>
      <c r="J26" s="4"/>
      <c r="K26" s="4">
        <v>1985</v>
      </c>
      <c r="L26" s="4">
        <v>1985</v>
      </c>
      <c r="M26" s="4"/>
      <c r="N26" s="4">
        <f t="shared" si="2"/>
        <v>358.91673268128517</v>
      </c>
      <c r="O26" s="4" t="str">
        <f t="shared" si="3"/>
        <v/>
      </c>
      <c r="P26" s="4">
        <f t="shared" si="4"/>
        <v>717.83346536257034</v>
      </c>
      <c r="R26" s="4">
        <f t="shared" si="9"/>
        <v>979.68156975080694</v>
      </c>
      <c r="S26" s="4">
        <f t="shared" si="5"/>
        <v>249.85168433410644</v>
      </c>
      <c r="T26" s="4">
        <f t="shared" si="6"/>
        <v>1229.5332540849133</v>
      </c>
      <c r="V26">
        <f t="shared" si="10"/>
        <v>21</v>
      </c>
      <c r="W26" s="11">
        <f t="shared" si="11"/>
        <v>1990</v>
      </c>
      <c r="X26" s="8">
        <f t="shared" si="0"/>
        <v>787.6420375088212</v>
      </c>
      <c r="Y26" s="8">
        <f t="shared" si="1"/>
        <v>2901.0628624911783</v>
      </c>
      <c r="Z26" s="8">
        <v>0</v>
      </c>
      <c r="AA26" s="8">
        <v>228.25825</v>
      </c>
      <c r="AB26" s="8">
        <f t="shared" si="7"/>
        <v>1229.5332540849133</v>
      </c>
      <c r="AC26" s="8">
        <v>7669.9279999999999</v>
      </c>
      <c r="AD26" s="8">
        <v>8465.2278584066316</v>
      </c>
      <c r="AE26" s="8">
        <v>24689.687450000001</v>
      </c>
    </row>
    <row r="27" spans="1:31" x14ac:dyDescent="0.25">
      <c r="A27">
        <v>1991</v>
      </c>
      <c r="B27" s="4">
        <v>1053.8604</v>
      </c>
      <c r="C27" s="4"/>
      <c r="D27" s="4"/>
      <c r="E27" s="4"/>
      <c r="F27" s="4">
        <f t="shared" si="8"/>
        <v>1017.9949600295396</v>
      </c>
      <c r="G27" s="4">
        <f t="shared" si="8"/>
        <v>374.80312896145239</v>
      </c>
      <c r="H27" s="4"/>
      <c r="I27" s="4">
        <v>2738.2979999999998</v>
      </c>
      <c r="J27" s="4"/>
      <c r="K27" s="4">
        <v>1986</v>
      </c>
      <c r="L27" s="4">
        <v>1986</v>
      </c>
      <c r="M27" s="4"/>
      <c r="N27" s="4">
        <f t="shared" si="2"/>
        <v>370.63741953890553</v>
      </c>
      <c r="O27" s="4" t="str">
        <f t="shared" si="3"/>
        <v/>
      </c>
      <c r="P27" s="4">
        <f t="shared" si="4"/>
        <v>741.27483907781107</v>
      </c>
      <c r="R27" s="4">
        <f t="shared" si="9"/>
        <v>1010.0516984130819</v>
      </c>
      <c r="S27" s="4">
        <f t="shared" si="5"/>
        <v>257.84487547379405</v>
      </c>
      <c r="T27" s="4">
        <f t="shared" si="6"/>
        <v>1267.896573886876</v>
      </c>
      <c r="V27">
        <f t="shared" si="10"/>
        <v>22</v>
      </c>
      <c r="W27" s="11">
        <f t="shared" si="11"/>
        <v>1991</v>
      </c>
      <c r="X27" s="8">
        <f t="shared" si="0"/>
        <v>770.26568621437355</v>
      </c>
      <c r="Y27" s="8">
        <f t="shared" si="1"/>
        <v>3021.8927137856263</v>
      </c>
      <c r="Z27" s="8">
        <v>0</v>
      </c>
      <c r="AA27" s="8">
        <v>249.63741999999999</v>
      </c>
      <c r="AB27" s="8">
        <f t="shared" si="7"/>
        <v>1267.896573886876</v>
      </c>
      <c r="AC27" s="8">
        <v>7956.8829999999998</v>
      </c>
      <c r="AD27" s="8">
        <v>8575.1140778650242</v>
      </c>
      <c r="AE27" s="8">
        <v>21271.279869999998</v>
      </c>
    </row>
    <row r="28" spans="1:31" x14ac:dyDescent="0.25">
      <c r="A28">
        <v>1992</v>
      </c>
      <c r="B28" s="4">
        <v>1066.4423999999999</v>
      </c>
      <c r="C28" s="4"/>
      <c r="D28" s="4"/>
      <c r="E28" s="4"/>
      <c r="F28" s="4">
        <f t="shared" si="8"/>
        <v>990.19807514517515</v>
      </c>
      <c r="G28" s="4">
        <f t="shared" si="8"/>
        <v>416.58191351410534</v>
      </c>
      <c r="H28" s="4"/>
      <c r="I28" s="4">
        <v>2832.4470000000001</v>
      </c>
      <c r="J28" s="4"/>
      <c r="K28" s="4">
        <v>1987</v>
      </c>
      <c r="L28" s="4">
        <v>1987</v>
      </c>
      <c r="M28" s="4"/>
      <c r="N28" s="4">
        <f t="shared" si="2"/>
        <v>379.88576437089421</v>
      </c>
      <c r="O28" s="4" t="str">
        <f t="shared" si="3"/>
        <v/>
      </c>
      <c r="P28" s="4">
        <f t="shared" si="4"/>
        <v>759.77152874178842</v>
      </c>
      <c r="R28" s="4">
        <f t="shared" si="9"/>
        <v>1041.3633010638875</v>
      </c>
      <c r="S28" s="4">
        <f t="shared" si="5"/>
        <v>266.09378273869356</v>
      </c>
      <c r="T28" s="4">
        <f t="shared" si="6"/>
        <v>1307.4570838025811</v>
      </c>
      <c r="V28">
        <f t="shared" si="10"/>
        <v>23</v>
      </c>
      <c r="W28" s="11">
        <f t="shared" si="11"/>
        <v>1992</v>
      </c>
      <c r="X28" s="8">
        <f t="shared" si="0"/>
        <v>750.64275881518779</v>
      </c>
      <c r="Y28" s="8">
        <f t="shared" si="1"/>
        <v>3148.2466411848122</v>
      </c>
      <c r="Z28" s="8">
        <v>0</v>
      </c>
      <c r="AA28" s="8">
        <v>273.01900999999998</v>
      </c>
      <c r="AB28" s="8">
        <f t="shared" si="7"/>
        <v>1307.4570838025811</v>
      </c>
      <c r="AC28" s="8">
        <v>8254.5750000000007</v>
      </c>
      <c r="AD28" s="8">
        <v>8686.4267186116358</v>
      </c>
      <c r="AE28" s="8">
        <v>18670.442899999998</v>
      </c>
    </row>
    <row r="29" spans="1:31" x14ac:dyDescent="0.25">
      <c r="A29">
        <v>1993</v>
      </c>
      <c r="B29" s="4">
        <v>1079.1746000000001</v>
      </c>
      <c r="C29" s="4"/>
      <c r="D29" s="4"/>
      <c r="E29" s="4"/>
      <c r="F29" s="4">
        <f t="shared" si="8"/>
        <v>963.16019874279004</v>
      </c>
      <c r="G29" s="4">
        <f t="shared" si="8"/>
        <v>463.01772119122779</v>
      </c>
      <c r="H29" s="4"/>
      <c r="I29" s="4">
        <v>2929.8339999999998</v>
      </c>
      <c r="J29" s="4"/>
      <c r="K29" s="4">
        <v>1988</v>
      </c>
      <c r="L29" s="4">
        <v>1988</v>
      </c>
      <c r="M29" s="4"/>
      <c r="N29" s="4">
        <f t="shared" si="2"/>
        <v>387.05582299863471</v>
      </c>
      <c r="O29" s="4" t="str">
        <f t="shared" si="3"/>
        <v/>
      </c>
      <c r="P29" s="4">
        <f t="shared" si="4"/>
        <v>774.11164599726942</v>
      </c>
      <c r="R29" s="4">
        <f t="shared" si="9"/>
        <v>1073.6455633968681</v>
      </c>
      <c r="S29" s="4">
        <f t="shared" si="5"/>
        <v>274.60658693363627</v>
      </c>
      <c r="T29" s="4">
        <f t="shared" si="6"/>
        <v>1348.2521503305043</v>
      </c>
      <c r="V29">
        <f t="shared" si="10"/>
        <v>24</v>
      </c>
      <c r="W29" s="11">
        <f t="shared" si="11"/>
        <v>1993</v>
      </c>
      <c r="X29" s="8">
        <f t="shared" si="0"/>
        <v>728.81371088837204</v>
      </c>
      <c r="Y29" s="8">
        <f t="shared" si="1"/>
        <v>3280.1948891116281</v>
      </c>
      <c r="Z29" s="8">
        <v>0</v>
      </c>
      <c r="AA29" s="8">
        <v>298.59057000000001</v>
      </c>
      <c r="AB29" s="8">
        <f t="shared" si="7"/>
        <v>1348.2521503305043</v>
      </c>
      <c r="AC29" s="8">
        <v>8563.4040000000005</v>
      </c>
      <c r="AD29" s="8">
        <v>8799.1842968689889</v>
      </c>
      <c r="AE29" s="8">
        <v>17056.791519999999</v>
      </c>
    </row>
    <row r="30" spans="1:31" x14ac:dyDescent="0.25">
      <c r="A30">
        <v>1994</v>
      </c>
      <c r="B30" s="4">
        <v>1092.0588</v>
      </c>
      <c r="C30" s="4"/>
      <c r="D30" s="4"/>
      <c r="E30" s="4"/>
      <c r="F30" s="4">
        <f t="shared" si="8"/>
        <v>936.86060569875565</v>
      </c>
      <c r="G30" s="4">
        <f t="shared" si="8"/>
        <v>514.62966389648238</v>
      </c>
      <c r="H30" s="4"/>
      <c r="I30" s="4">
        <v>3030.5680000000002</v>
      </c>
      <c r="J30" s="4"/>
      <c r="K30" s="4">
        <v>1989</v>
      </c>
      <c r="L30" s="4">
        <v>1989</v>
      </c>
      <c r="M30" s="4"/>
      <c r="N30" s="4">
        <f t="shared" si="2"/>
        <v>392.53725775995656</v>
      </c>
      <c r="O30" s="4" t="str">
        <f t="shared" si="3"/>
        <v/>
      </c>
      <c r="P30" s="4">
        <f t="shared" si="4"/>
        <v>785.07451551991312</v>
      </c>
      <c r="R30" s="4">
        <f t="shared" si="9"/>
        <v>1106.9285758621709</v>
      </c>
      <c r="S30" s="4">
        <f t="shared" si="5"/>
        <v>283.39173058166796</v>
      </c>
      <c r="T30" s="4">
        <f t="shared" si="6"/>
        <v>1390.3203064438389</v>
      </c>
      <c r="V30">
        <f t="shared" si="10"/>
        <v>25</v>
      </c>
      <c r="W30" s="11">
        <f t="shared" si="11"/>
        <v>1994</v>
      </c>
      <c r="X30" s="8">
        <f t="shared" si="0"/>
        <v>704.86650186911652</v>
      </c>
      <c r="Y30" s="8">
        <f t="shared" si="1"/>
        <v>3417.7602981308837</v>
      </c>
      <c r="Z30" s="8">
        <v>0</v>
      </c>
      <c r="AA30" s="8">
        <v>326.55723</v>
      </c>
      <c r="AB30" s="8">
        <f t="shared" si="7"/>
        <v>1390.3203064438389</v>
      </c>
      <c r="AC30" s="8">
        <v>8883.7880000000005</v>
      </c>
      <c r="AD30" s="8">
        <v>8913.4055692167112</v>
      </c>
      <c r="AE30" s="8">
        <v>15443.14014</v>
      </c>
    </row>
    <row r="31" spans="1:31" x14ac:dyDescent="0.25">
      <c r="A31">
        <v>1995</v>
      </c>
      <c r="B31" s="4">
        <v>1105.0968</v>
      </c>
      <c r="C31" s="4">
        <v>300</v>
      </c>
      <c r="D31" s="4">
        <v>650</v>
      </c>
      <c r="E31" s="4">
        <v>500</v>
      </c>
      <c r="F31" s="4">
        <f t="shared" si="8"/>
        <v>911.27913679978531</v>
      </c>
      <c r="G31" s="4">
        <f t="shared" si="8"/>
        <v>571.9947182168977</v>
      </c>
      <c r="H31" s="4">
        <f>SUM((F31-SUM(C31:D31))^2+(E31-G31)^2)</f>
        <v>6682.5446981002415</v>
      </c>
      <c r="I31" s="4">
        <v>3134.7669999999998</v>
      </c>
      <c r="J31" s="4"/>
      <c r="K31" s="4">
        <v>1990</v>
      </c>
      <c r="L31" s="4">
        <v>1990</v>
      </c>
      <c r="M31" s="4"/>
      <c r="N31" s="4">
        <f t="shared" si="2"/>
        <v>396.68217944263591</v>
      </c>
      <c r="O31" s="4" t="str">
        <f t="shared" si="3"/>
        <v/>
      </c>
      <c r="P31" s="4">
        <f t="shared" si="4"/>
        <v>793.36435888527183</v>
      </c>
      <c r="R31" s="4">
        <f t="shared" si="9"/>
        <v>1141.2433617138981</v>
      </c>
      <c r="S31" s="4">
        <f t="shared" si="5"/>
        <v>292.45792629687094</v>
      </c>
      <c r="T31" s="4">
        <f t="shared" si="6"/>
        <v>1433.7012880107691</v>
      </c>
      <c r="V31">
        <f t="shared" si="10"/>
        <v>26</v>
      </c>
      <c r="W31" s="11">
        <f t="shared" si="11"/>
        <v>1995</v>
      </c>
      <c r="X31" s="8">
        <f t="shared" si="0"/>
        <v>678.93845400037628</v>
      </c>
      <c r="Y31" s="8">
        <f t="shared" si="1"/>
        <v>3560.9253459996235</v>
      </c>
      <c r="Z31" s="8">
        <v>23.094211944830978</v>
      </c>
      <c r="AA31" s="8">
        <v>357.14328999999998</v>
      </c>
      <c r="AB31" s="8">
        <f t="shared" si="7"/>
        <v>1433.7012880107691</v>
      </c>
      <c r="AC31" s="8">
        <v>9216.1579999999994</v>
      </c>
      <c r="AD31" s="8">
        <v>9029.1095357115919</v>
      </c>
      <c r="AE31" s="8">
        <v>13647.64443</v>
      </c>
    </row>
    <row r="32" spans="1:31" x14ac:dyDescent="0.25">
      <c r="A32">
        <v>1996</v>
      </c>
      <c r="B32" s="4">
        <v>1118.2905000000001</v>
      </c>
      <c r="C32" s="4"/>
      <c r="D32" s="4"/>
      <c r="E32" s="4"/>
      <c r="F32" s="4">
        <f t="shared" si="8"/>
        <v>886.39618329045595</v>
      </c>
      <c r="G32" s="4">
        <f t="shared" si="8"/>
        <v>635.7541755188056</v>
      </c>
      <c r="H32" s="4"/>
      <c r="I32" s="4">
        <v>3242.5479999999998</v>
      </c>
      <c r="J32" s="4"/>
      <c r="K32" s="4">
        <v>1991</v>
      </c>
      <c r="L32" s="4">
        <v>1991</v>
      </c>
      <c r="M32" s="4"/>
      <c r="N32" s="4">
        <f t="shared" si="2"/>
        <v>399.79024009282398</v>
      </c>
      <c r="O32" s="4" t="str">
        <f t="shared" si="3"/>
        <v/>
      </c>
      <c r="P32" s="4">
        <f t="shared" si="4"/>
        <v>799.58048018564796</v>
      </c>
      <c r="R32" s="4">
        <f t="shared" si="9"/>
        <v>1176.621905927029</v>
      </c>
      <c r="S32" s="4">
        <f t="shared" si="5"/>
        <v>301.81416542504741</v>
      </c>
      <c r="T32" s="4">
        <f t="shared" si="6"/>
        <v>1478.4360713520764</v>
      </c>
      <c r="V32">
        <f t="shared" si="10"/>
        <v>27</v>
      </c>
      <c r="W32" s="11">
        <f t="shared" si="11"/>
        <v>1996</v>
      </c>
      <c r="X32" s="8">
        <f t="shared" si="0"/>
        <v>651.21584426482252</v>
      </c>
      <c r="Y32" s="8">
        <f t="shared" si="1"/>
        <v>3709.6226557351774</v>
      </c>
      <c r="Z32" s="8">
        <v>27.978526507837127</v>
      </c>
      <c r="AA32" s="8">
        <v>390.59411999999998</v>
      </c>
      <c r="AB32" s="8">
        <f t="shared" si="7"/>
        <v>1478.4360713520764</v>
      </c>
      <c r="AC32" s="8">
        <v>9560.9629999999997</v>
      </c>
      <c r="AD32" s="8">
        <v>9146.3154430481281</v>
      </c>
      <c r="AE32" s="8">
        <v>11852.148730000001</v>
      </c>
    </row>
    <row r="33" spans="1:31" x14ac:dyDescent="0.25">
      <c r="A33">
        <v>1997</v>
      </c>
      <c r="B33" s="4">
        <v>1131.6416999999999</v>
      </c>
      <c r="C33" s="4"/>
      <c r="D33" s="4"/>
      <c r="E33" s="4"/>
      <c r="F33" s="4">
        <f t="shared" si="8"/>
        <v>862.19267184266857</v>
      </c>
      <c r="G33" s="4">
        <f t="shared" si="8"/>
        <v>706.62081102702041</v>
      </c>
      <c r="H33" s="4"/>
      <c r="I33" s="4">
        <v>3354.0340000000001</v>
      </c>
      <c r="J33" s="4"/>
      <c r="K33" s="4">
        <v>1992</v>
      </c>
      <c r="L33" s="4">
        <v>1992</v>
      </c>
      <c r="M33" s="4"/>
      <c r="N33" s="4">
        <f t="shared" si="2"/>
        <v>402.10599697179373</v>
      </c>
      <c r="O33" s="4" t="str">
        <f t="shared" si="3"/>
        <v/>
      </c>
      <c r="P33" s="4">
        <f t="shared" si="4"/>
        <v>804.21199394358746</v>
      </c>
      <c r="R33" s="4">
        <f t="shared" si="9"/>
        <v>1213.0971850107669</v>
      </c>
      <c r="S33" s="4">
        <f t="shared" si="5"/>
        <v>311.46972696083321</v>
      </c>
      <c r="T33" s="4">
        <f t="shared" si="6"/>
        <v>1524.5669119716001</v>
      </c>
      <c r="V33">
        <f t="shared" si="10"/>
        <v>28</v>
      </c>
      <c r="W33" s="11">
        <f t="shared" si="11"/>
        <v>1997</v>
      </c>
      <c r="X33" s="8">
        <f t="shared" si="0"/>
        <v>621.93064474868743</v>
      </c>
      <c r="Y33" s="8">
        <f t="shared" si="1"/>
        <v>3863.7450552513128</v>
      </c>
      <c r="Z33" s="8">
        <v>33.895850069261755</v>
      </c>
      <c r="AA33" s="8">
        <v>427.17802999999998</v>
      </c>
      <c r="AB33" s="8">
        <f t="shared" si="7"/>
        <v>1524.5669119716001</v>
      </c>
      <c r="AC33" s="8">
        <v>9918.6679999999997</v>
      </c>
      <c r="AD33" s="8">
        <v>9265.0427877601051</v>
      </c>
      <c r="AE33" s="8">
        <v>11399.02289</v>
      </c>
    </row>
    <row r="34" spans="1:31" x14ac:dyDescent="0.25">
      <c r="A34">
        <v>1998</v>
      </c>
      <c r="B34" s="4">
        <v>1145.1523</v>
      </c>
      <c r="C34" s="4"/>
      <c r="D34" s="4"/>
      <c r="E34" s="4"/>
      <c r="F34" s="4">
        <f t="shared" si="8"/>
        <v>838.65004993552498</v>
      </c>
      <c r="G34" s="4">
        <f t="shared" si="8"/>
        <v>785.38685203132331</v>
      </c>
      <c r="H34" s="4"/>
      <c r="I34" s="4">
        <v>3469.3539999999998</v>
      </c>
      <c r="J34" s="4"/>
      <c r="K34" s="4">
        <v>1993</v>
      </c>
      <c r="L34" s="4">
        <v>1993</v>
      </c>
      <c r="M34" s="4"/>
      <c r="N34" s="4">
        <f t="shared" si="2"/>
        <v>403.82316841050141</v>
      </c>
      <c r="O34" s="4" t="str">
        <f t="shared" si="3"/>
        <v/>
      </c>
      <c r="P34" s="4">
        <f t="shared" si="4"/>
        <v>807.64633682100282</v>
      </c>
      <c r="R34" s="4">
        <f t="shared" si="9"/>
        <v>1250.7031977461006</v>
      </c>
      <c r="S34" s="4">
        <f t="shared" si="5"/>
        <v>321.43418675008587</v>
      </c>
      <c r="T34" s="4">
        <f t="shared" si="6"/>
        <v>1572.1373844961865</v>
      </c>
      <c r="V34">
        <f t="shared" si="10"/>
        <v>29</v>
      </c>
      <c r="W34" s="11">
        <f t="shared" si="11"/>
        <v>1998</v>
      </c>
      <c r="X34" s="8">
        <f t="shared" si="0"/>
        <v>591.35480998964749</v>
      </c>
      <c r="Y34" s="8">
        <f t="shared" si="1"/>
        <v>4023.1514900103521</v>
      </c>
      <c r="Z34" s="8">
        <v>41.06465905543822</v>
      </c>
      <c r="AA34" s="8">
        <v>467.18846000000002</v>
      </c>
      <c r="AB34" s="8">
        <f t="shared" si="7"/>
        <v>1572.1373844961865</v>
      </c>
      <c r="AC34" s="8">
        <v>10289.755999999999</v>
      </c>
      <c r="AD34" s="8">
        <v>9385.3113194637335</v>
      </c>
      <c r="AE34" s="8">
        <v>10945.89704</v>
      </c>
    </row>
    <row r="35" spans="1:31" x14ac:dyDescent="0.25">
      <c r="A35">
        <v>1999</v>
      </c>
      <c r="B35" s="4">
        <v>1158.8242</v>
      </c>
      <c r="C35" s="4"/>
      <c r="D35" s="4"/>
      <c r="E35" s="4"/>
      <c r="F35" s="4">
        <f t="shared" si="8"/>
        <v>815.7502716344145</v>
      </c>
      <c r="G35" s="4">
        <f t="shared" si="8"/>
        <v>872.93283429786322</v>
      </c>
      <c r="H35" s="4"/>
      <c r="I35" s="4">
        <v>3588.6390000000001</v>
      </c>
      <c r="J35" s="4"/>
      <c r="K35" s="4">
        <v>1994</v>
      </c>
      <c r="L35" s="4">
        <v>1994</v>
      </c>
      <c r="M35" s="4"/>
      <c r="N35" s="4">
        <f t="shared" si="2"/>
        <v>405.0919275282597</v>
      </c>
      <c r="O35" s="4" t="str">
        <f t="shared" si="3"/>
        <v/>
      </c>
      <c r="P35" s="4">
        <f t="shared" si="4"/>
        <v>810.18385505651941</v>
      </c>
      <c r="R35" s="4">
        <f t="shared" si="9"/>
        <v>1289.4749968762296</v>
      </c>
      <c r="S35" s="4">
        <f t="shared" si="5"/>
        <v>331.71742698667271</v>
      </c>
      <c r="T35" s="4">
        <f t="shared" si="6"/>
        <v>1621.1924238629024</v>
      </c>
      <c r="V35">
        <f t="shared" si="10"/>
        <v>30</v>
      </c>
      <c r="W35" s="11">
        <f t="shared" si="11"/>
        <v>1999</v>
      </c>
      <c r="X35" s="8">
        <f t="shared" si="0"/>
        <v>559.79191868840985</v>
      </c>
      <c r="Y35" s="8">
        <f t="shared" si="1"/>
        <v>4187.6712813115901</v>
      </c>
      <c r="Z35" s="8">
        <v>49.749636604293364</v>
      </c>
      <c r="AA35" s="8">
        <v>510.94637</v>
      </c>
      <c r="AB35" s="8">
        <f t="shared" si="7"/>
        <v>1621.1924238629024</v>
      </c>
      <c r="AC35" s="8">
        <v>10674.727999999999</v>
      </c>
      <c r="AD35" s="8">
        <v>9507.1410441428816</v>
      </c>
      <c r="AE35" s="8">
        <v>10548.28606</v>
      </c>
    </row>
    <row r="36" spans="1:31" x14ac:dyDescent="0.25">
      <c r="A36">
        <v>2000</v>
      </c>
      <c r="B36" s="4">
        <v>1172.6593</v>
      </c>
      <c r="C36" s="4">
        <v>200</v>
      </c>
      <c r="D36" s="4">
        <v>650</v>
      </c>
      <c r="E36" s="4">
        <v>1000</v>
      </c>
      <c r="F36" s="4">
        <f t="shared" si="8"/>
        <v>793.47578375841078</v>
      </c>
      <c r="G36" s="4">
        <f t="shared" si="8"/>
        <v>970.23744569244423</v>
      </c>
      <c r="H36" s="4">
        <f>SUM((F36-SUM(C36:D36))^2+(E36-G36)^2)</f>
        <v>4080.7966606361451</v>
      </c>
      <c r="I36" s="4">
        <v>3712.0250000000001</v>
      </c>
      <c r="J36" s="4"/>
      <c r="K36" s="4">
        <v>1995</v>
      </c>
      <c r="L36" s="4">
        <v>1995</v>
      </c>
      <c r="M36" s="4"/>
      <c r="N36" s="4">
        <f t="shared" si="2"/>
        <v>406.02688028417396</v>
      </c>
      <c r="O36" s="4" t="str">
        <f t="shared" si="3"/>
        <v/>
      </c>
      <c r="P36" s="4">
        <f t="shared" si="4"/>
        <v>812.05376056834791</v>
      </c>
      <c r="R36" s="4">
        <f t="shared" si="9"/>
        <v>1329.4487217793928</v>
      </c>
      <c r="S36" s="4">
        <f t="shared" si="5"/>
        <v>342.3296460130781</v>
      </c>
      <c r="T36" s="4">
        <f t="shared" si="6"/>
        <v>1671.7783677924708</v>
      </c>
      <c r="V36">
        <f t="shared" si="10"/>
        <v>31</v>
      </c>
      <c r="W36" s="11">
        <f t="shared" si="11"/>
        <v>2000</v>
      </c>
      <c r="X36" s="8">
        <f t="shared" si="0"/>
        <v>527.56692052414894</v>
      </c>
      <c r="Y36" s="8">
        <f t="shared" si="1"/>
        <v>4357.1173794758506</v>
      </c>
      <c r="Z36" s="8">
        <v>60.271445062234768</v>
      </c>
      <c r="AA36" s="8">
        <v>558.80273</v>
      </c>
      <c r="AB36" s="8">
        <f t="shared" si="7"/>
        <v>1671.7783677924708</v>
      </c>
      <c r="AC36" s="8">
        <v>11074.102000000001</v>
      </c>
      <c r="AD36" s="8">
        <v>9630.552227476961</v>
      </c>
      <c r="AE36" s="8">
        <v>10150.675080000001</v>
      </c>
    </row>
    <row r="37" spans="1:31" x14ac:dyDescent="0.25">
      <c r="A37">
        <v>2001</v>
      </c>
      <c r="B37" s="4">
        <v>1186.6596</v>
      </c>
      <c r="C37" s="4"/>
      <c r="D37" s="4"/>
      <c r="E37" s="4"/>
      <c r="F37" s="4">
        <f t="shared" si="8"/>
        <v>771.80951242537458</v>
      </c>
      <c r="G37" s="4">
        <f t="shared" si="8"/>
        <v>1078.3884670588373</v>
      </c>
      <c r="H37" s="4"/>
      <c r="I37" s="4">
        <v>3839.654</v>
      </c>
      <c r="J37" s="4"/>
      <c r="K37" s="4">
        <v>1996</v>
      </c>
      <c r="L37" s="4">
        <v>1996</v>
      </c>
      <c r="M37" s="4"/>
      <c r="N37" s="4">
        <f t="shared" si="2"/>
        <v>406.71449590225643</v>
      </c>
      <c r="O37" s="4" t="str">
        <f t="shared" si="3"/>
        <v/>
      </c>
      <c r="P37" s="4">
        <f t="shared" si="4"/>
        <v>813.42899180451286</v>
      </c>
      <c r="R37" s="4">
        <f t="shared" si="9"/>
        <v>1370.6616321545539</v>
      </c>
      <c r="S37" s="4">
        <f t="shared" si="5"/>
        <v>353.28136843454911</v>
      </c>
      <c r="T37" s="4">
        <f t="shared" si="6"/>
        <v>1723.9430005891031</v>
      </c>
      <c r="V37">
        <f t="shared" si="10"/>
        <v>32</v>
      </c>
      <c r="W37" s="11">
        <f t="shared" si="11"/>
        <v>2001</v>
      </c>
      <c r="X37" s="8">
        <f t="shared" si="0"/>
        <v>495.01468353468459</v>
      </c>
      <c r="Y37" s="8">
        <f t="shared" si="1"/>
        <v>4531.2989164653154</v>
      </c>
      <c r="Z37" s="8">
        <v>73.018565317047731</v>
      </c>
      <c r="AA37" s="8">
        <v>611.14142000000004</v>
      </c>
      <c r="AB37" s="8">
        <f t="shared" si="7"/>
        <v>1723.9430005891031</v>
      </c>
      <c r="AC37" s="8">
        <v>11488.419</v>
      </c>
      <c r="AD37" s="8">
        <v>9755.5653982120057</v>
      </c>
      <c r="AE37" s="8">
        <v>10807.402969999999</v>
      </c>
    </row>
    <row r="38" spans="1:31" x14ac:dyDescent="0.25">
      <c r="A38">
        <v>2002</v>
      </c>
      <c r="B38" s="4">
        <v>1200.8271</v>
      </c>
      <c r="C38" s="4"/>
      <c r="D38" s="4"/>
      <c r="E38" s="4"/>
      <c r="F38" s="4">
        <f t="shared" si="8"/>
        <v>750.73484996444938</v>
      </c>
      <c r="G38" s="4">
        <f t="shared" si="8"/>
        <v>1198.5949326616112</v>
      </c>
      <c r="H38" s="4"/>
      <c r="I38" s="4">
        <v>3971.67</v>
      </c>
      <c r="J38" s="4"/>
      <c r="K38" s="4">
        <v>1997</v>
      </c>
      <c r="L38" s="4">
        <v>1997</v>
      </c>
      <c r="M38" s="4">
        <v>334</v>
      </c>
      <c r="N38" s="4">
        <f t="shared" si="2"/>
        <v>407.2194729280053</v>
      </c>
      <c r="O38" s="4">
        <f t="shared" si="3"/>
        <v>5361.0912158549017</v>
      </c>
      <c r="P38" s="4">
        <f t="shared" si="4"/>
        <v>814.4389458560106</v>
      </c>
      <c r="R38" s="4">
        <f t="shared" si="9"/>
        <v>1413.1521427513451</v>
      </c>
      <c r="S38" s="4">
        <f t="shared" si="5"/>
        <v>364.58345555681024</v>
      </c>
      <c r="T38" s="4">
        <f t="shared" si="6"/>
        <v>1777.7355983081552</v>
      </c>
      <c r="V38">
        <f t="shared" si="10"/>
        <v>33</v>
      </c>
      <c r="W38" s="11">
        <f t="shared" si="11"/>
        <v>2002</v>
      </c>
      <c r="X38" s="8">
        <f t="shared" si="0"/>
        <v>462.46805480870239</v>
      </c>
      <c r="Y38" s="8">
        <f t="shared" si="1"/>
        <v>4710.0290451912979</v>
      </c>
      <c r="Z38" s="8">
        <v>88.461640092660403</v>
      </c>
      <c r="AA38" s="8">
        <v>668.38226999999995</v>
      </c>
      <c r="AB38" s="8">
        <f t="shared" si="7"/>
        <v>1777.7355983081552</v>
      </c>
      <c r="AC38" s="8">
        <v>11918.236000000001</v>
      </c>
      <c r="AD38" s="8">
        <v>9882.2013515755116</v>
      </c>
      <c r="AE38" s="8">
        <v>11464.130870000001</v>
      </c>
    </row>
    <row r="39" spans="1:31" x14ac:dyDescent="0.25">
      <c r="A39">
        <v>2003</v>
      </c>
      <c r="B39" s="4">
        <v>1215.1637000000001</v>
      </c>
      <c r="C39" s="4"/>
      <c r="D39" s="4"/>
      <c r="E39" s="4"/>
      <c r="F39" s="4">
        <f t="shared" si="8"/>
        <v>730.23564218591889</v>
      </c>
      <c r="G39" s="4">
        <f t="shared" si="8"/>
        <v>1332.2006461366479</v>
      </c>
      <c r="H39" s="4"/>
      <c r="I39" s="4">
        <v>4108.2259999999997</v>
      </c>
      <c r="J39" s="4"/>
      <c r="K39" s="4">
        <v>1998</v>
      </c>
      <c r="L39" s="4">
        <v>1998</v>
      </c>
      <c r="M39" s="4"/>
      <c r="N39" s="4">
        <f t="shared" ref="N39:N56" si="12">N38+r_3*N38*(1-N38/k_3)</f>
        <v>407.58992646077797</v>
      </c>
      <c r="O39" s="4" t="str">
        <f t="shared" si="3"/>
        <v/>
      </c>
      <c r="P39" s="4">
        <f t="shared" si="4"/>
        <v>815.17985292155595</v>
      </c>
      <c r="R39" s="4">
        <f t="shared" si="9"/>
        <v>1456.9598591766369</v>
      </c>
      <c r="S39" s="4">
        <f t="shared" si="5"/>
        <v>376.24711615769888</v>
      </c>
      <c r="T39" s="4">
        <f t="shared" si="6"/>
        <v>1833.2069753343358</v>
      </c>
      <c r="V39">
        <f t="shared" si="10"/>
        <v>34</v>
      </c>
      <c r="W39" s="11">
        <f t="shared" si="11"/>
        <v>2003</v>
      </c>
      <c r="X39" s="8">
        <f t="shared" si="0"/>
        <v>430.24642741920866</v>
      </c>
      <c r="Y39" s="8">
        <f t="shared" si="1"/>
        <v>4893.1432725807908</v>
      </c>
      <c r="Z39" s="8">
        <v>107.17085078164857</v>
      </c>
      <c r="AA39" s="8">
        <v>730.98442999999997</v>
      </c>
      <c r="AB39" s="8">
        <f t="shared" si="7"/>
        <v>1833.2069753343358</v>
      </c>
      <c r="AC39" s="8">
        <v>12364.134</v>
      </c>
      <c r="AD39" s="8">
        <v>10010.481152735601</v>
      </c>
      <c r="AE39" s="8">
        <v>12120.858759999999</v>
      </c>
    </row>
    <row r="40" spans="1:31" x14ac:dyDescent="0.25">
      <c r="A40">
        <v>2004</v>
      </c>
      <c r="B40" s="4">
        <v>1229.6714999999999</v>
      </c>
      <c r="C40" s="4"/>
      <c r="D40" s="4"/>
      <c r="E40" s="4"/>
      <c r="F40" s="4">
        <f t="shared" si="8"/>
        <v>710.29617599866697</v>
      </c>
      <c r="G40" s="4">
        <f t="shared" si="8"/>
        <v>1480.6992030459003</v>
      </c>
      <c r="H40" s="4"/>
      <c r="I40" s="4">
        <v>4249.4769999999999</v>
      </c>
      <c r="J40" s="4"/>
      <c r="K40" s="4">
        <v>1999</v>
      </c>
      <c r="L40" s="4">
        <v>1999</v>
      </c>
      <c r="M40" s="4"/>
      <c r="N40" s="4">
        <f t="shared" si="12"/>
        <v>407.86147977942818</v>
      </c>
      <c r="O40" s="4" t="str">
        <f t="shared" si="3"/>
        <v/>
      </c>
      <c r="P40" s="4">
        <f t="shared" si="4"/>
        <v>815.72295955885636</v>
      </c>
      <c r="R40" s="4">
        <f t="shared" si="9"/>
        <v>1502.1256148111127</v>
      </c>
      <c r="S40" s="4">
        <f t="shared" si="5"/>
        <v>388.2839176034044</v>
      </c>
      <c r="T40" s="4">
        <f t="shared" si="6"/>
        <v>1890.4095324145171</v>
      </c>
      <c r="V40">
        <f t="shared" si="10"/>
        <v>35</v>
      </c>
      <c r="W40" s="11">
        <f t="shared" si="11"/>
        <v>2004</v>
      </c>
      <c r="X40" s="8">
        <f t="shared" si="0"/>
        <v>398.6457354215982</v>
      </c>
      <c r="Y40" s="8">
        <f t="shared" si="1"/>
        <v>5080.5027645784021</v>
      </c>
      <c r="Z40">
        <v>200</v>
      </c>
      <c r="AA40" s="8">
        <v>799.45003999999994</v>
      </c>
      <c r="AB40" s="8">
        <f t="shared" si="7"/>
        <v>1890.4095324145171</v>
      </c>
      <c r="AC40" s="8">
        <v>12826.715</v>
      </c>
      <c r="AD40" s="8">
        <v>10140.426140305099</v>
      </c>
      <c r="AE40" s="8">
        <v>12777.586649999999</v>
      </c>
    </row>
    <row r="41" spans="1:31" x14ac:dyDescent="0.25">
      <c r="A41">
        <v>2005</v>
      </c>
      <c r="B41" s="4">
        <v>1244.3524</v>
      </c>
      <c r="C41" s="4"/>
      <c r="D41" s="4"/>
      <c r="E41" s="4"/>
      <c r="F41" s="4">
        <f t="shared" si="8"/>
        <v>690.90116736574964</v>
      </c>
      <c r="G41" s="4">
        <f t="shared" si="8"/>
        <v>1645.7506879754776</v>
      </c>
      <c r="H41" s="4"/>
      <c r="I41" s="4">
        <v>4395.5839999999998</v>
      </c>
      <c r="J41" s="4"/>
      <c r="K41" s="4">
        <v>2000</v>
      </c>
      <c r="L41" s="4">
        <v>2000</v>
      </c>
      <c r="M41" s="4"/>
      <c r="N41" s="4">
        <f t="shared" si="12"/>
        <v>408.06042175582951</v>
      </c>
      <c r="O41" s="4" t="str">
        <f t="shared" si="3"/>
        <v/>
      </c>
      <c r="P41" s="4">
        <f t="shared" si="4"/>
        <v>816.12084351165902</v>
      </c>
      <c r="R41" s="4">
        <f t="shared" si="9"/>
        <v>1548.6915088702572</v>
      </c>
      <c r="S41" s="4">
        <f t="shared" si="5"/>
        <v>400.7057973203348</v>
      </c>
      <c r="T41" s="4">
        <f t="shared" si="6"/>
        <v>1949.397306190592</v>
      </c>
      <c r="V41">
        <f t="shared" si="10"/>
        <v>36</v>
      </c>
      <c r="W41" s="11">
        <f t="shared" si="11"/>
        <v>2005</v>
      </c>
      <c r="X41" s="8">
        <f t="shared" si="0"/>
        <v>367.93008928958506</v>
      </c>
      <c r="Y41" s="8">
        <f t="shared" si="1"/>
        <v>5272.0063107104152</v>
      </c>
      <c r="Z41">
        <v>245</v>
      </c>
      <c r="AA41" s="8">
        <v>874.32830000000001</v>
      </c>
      <c r="AB41" s="8">
        <f t="shared" si="7"/>
        <v>1949.397306190592</v>
      </c>
      <c r="AC41" s="8">
        <v>13306.602000000001</v>
      </c>
      <c r="AD41" s="8">
        <v>10272.057929891083</v>
      </c>
      <c r="AE41" s="8">
        <v>13434.314549999999</v>
      </c>
    </row>
    <row r="42" spans="1:31" x14ac:dyDescent="0.25">
      <c r="A42">
        <v>2006</v>
      </c>
      <c r="B42" s="4">
        <v>1259.2086999999999</v>
      </c>
      <c r="C42" s="4"/>
      <c r="D42" s="4"/>
      <c r="E42" s="4"/>
      <c r="F42" s="4">
        <f t="shared" si="8"/>
        <v>672.03574958884678</v>
      </c>
      <c r="G42" s="4">
        <f t="shared" si="8"/>
        <v>1829.2002328360793</v>
      </c>
      <c r="H42" s="4"/>
      <c r="I42" s="4">
        <v>4546.7150000000001</v>
      </c>
      <c r="J42" s="4"/>
      <c r="K42" s="4">
        <v>2001</v>
      </c>
      <c r="L42" s="4">
        <v>2001</v>
      </c>
      <c r="M42" s="4"/>
      <c r="N42" s="4">
        <f t="shared" si="12"/>
        <v>408.2061066064976</v>
      </c>
      <c r="O42" s="4" t="str">
        <f t="shared" si="3"/>
        <v/>
      </c>
      <c r="P42" s="4">
        <f t="shared" si="4"/>
        <v>816.4122132129952</v>
      </c>
      <c r="R42" s="4">
        <f t="shared" si="9"/>
        <v>1596.7009456452352</v>
      </c>
      <c r="S42" s="4">
        <f t="shared" si="5"/>
        <v>413.52507463398842</v>
      </c>
      <c r="T42" s="4">
        <f t="shared" si="6"/>
        <v>2010.2260202792236</v>
      </c>
      <c r="V42">
        <f t="shared" si="10"/>
        <v>37</v>
      </c>
      <c r="W42" s="11">
        <f t="shared" si="11"/>
        <v>2006</v>
      </c>
      <c r="X42" s="8">
        <f t="shared" si="0"/>
        <v>338.32603902206847</v>
      </c>
      <c r="Y42" s="8">
        <f t="shared" si="1"/>
        <v>5467.5976609779318</v>
      </c>
      <c r="Z42">
        <v>136</v>
      </c>
      <c r="AA42" s="8">
        <v>956.21981000000005</v>
      </c>
      <c r="AB42" s="8">
        <f t="shared" si="7"/>
        <v>2010.2260202792236</v>
      </c>
      <c r="AC42" s="8">
        <v>13804.442999999999</v>
      </c>
      <c r="AD42" s="8">
        <v>10405.398417690521</v>
      </c>
      <c r="AE42" s="8">
        <v>14091.042439999999</v>
      </c>
    </row>
    <row r="43" spans="1:31" x14ac:dyDescent="0.25">
      <c r="A43">
        <v>2007</v>
      </c>
      <c r="B43" s="4">
        <v>1274.2422999999999</v>
      </c>
      <c r="C43" s="4"/>
      <c r="D43" s="4"/>
      <c r="E43" s="4"/>
      <c r="F43" s="4">
        <f t="shared" si="8"/>
        <v>653.68546191261248</v>
      </c>
      <c r="G43" s="4">
        <f t="shared" si="8"/>
        <v>2033.098643831418</v>
      </c>
      <c r="H43" s="4"/>
      <c r="I43" s="4">
        <v>4703.0420000000004</v>
      </c>
      <c r="J43" s="4"/>
      <c r="K43" s="4">
        <v>2002</v>
      </c>
      <c r="L43" s="4">
        <v>2002</v>
      </c>
      <c r="M43" s="4">
        <v>385</v>
      </c>
      <c r="N43" s="4">
        <f t="shared" si="12"/>
        <v>408.31275836251416</v>
      </c>
      <c r="O43" s="4">
        <f t="shared" si="3"/>
        <v>543.48470246897386</v>
      </c>
      <c r="P43" s="4">
        <f t="shared" si="4"/>
        <v>816.62551672502832</v>
      </c>
      <c r="R43" s="4">
        <f t="shared" si="9"/>
        <v>1646.1986749602374</v>
      </c>
      <c r="S43" s="4">
        <f t="shared" si="5"/>
        <v>426.75446298657215</v>
      </c>
      <c r="T43" s="4">
        <f t="shared" si="6"/>
        <v>2072.9531379468094</v>
      </c>
      <c r="V43">
        <f t="shared" si="10"/>
        <v>38</v>
      </c>
      <c r="W43" s="11">
        <f t="shared" si="11"/>
        <v>2007</v>
      </c>
      <c r="X43" s="8">
        <f t="shared" si="0"/>
        <v>310.01883057270288</v>
      </c>
      <c r="Y43" s="8">
        <f t="shared" si="1"/>
        <v>5667.2654694272969</v>
      </c>
      <c r="Z43">
        <v>188</v>
      </c>
      <c r="AA43" s="8">
        <v>1045.7814699999999</v>
      </c>
      <c r="AB43" s="8">
        <f t="shared" si="7"/>
        <v>2072.9531379468094</v>
      </c>
      <c r="AC43" s="8">
        <v>14320.91</v>
      </c>
      <c r="AD43" s="8">
        <v>10540.46978413258</v>
      </c>
      <c r="AE43" s="8">
        <v>14747.770329999999</v>
      </c>
    </row>
    <row r="44" spans="1:31" x14ac:dyDescent="0.25">
      <c r="A44">
        <v>2008</v>
      </c>
      <c r="B44" s="4">
        <v>1289.4554000000001</v>
      </c>
      <c r="C44" s="4"/>
      <c r="D44" s="4"/>
      <c r="E44" s="4"/>
      <c r="F44" s="4">
        <f t="shared" si="8"/>
        <v>635.83623844018962</v>
      </c>
      <c r="G44" s="4">
        <f t="shared" si="8"/>
        <v>2259.7253276861829</v>
      </c>
      <c r="H44" s="4"/>
      <c r="I44" s="4">
        <v>4864.7439999999997</v>
      </c>
      <c r="J44" s="4"/>
      <c r="K44" s="4">
        <v>2003</v>
      </c>
      <c r="L44" s="4">
        <v>2003</v>
      </c>
      <c r="M44" s="4">
        <v>555</v>
      </c>
      <c r="N44" s="4">
        <f t="shared" si="12"/>
        <v>408.3908174071783</v>
      </c>
      <c r="O44" s="4">
        <f t="shared" si="3"/>
        <v>21494.252420535333</v>
      </c>
      <c r="P44" s="4">
        <f t="shared" si="4"/>
        <v>816.78163481435661</v>
      </c>
      <c r="R44" s="4">
        <f t="shared" si="9"/>
        <v>1697.2308338840048</v>
      </c>
      <c r="S44" s="4">
        <f t="shared" si="5"/>
        <v>440.40708254548207</v>
      </c>
      <c r="T44" s="4">
        <f t="shared" si="6"/>
        <v>2137.6379164294867</v>
      </c>
      <c r="V44">
        <f t="shared" si="10"/>
        <v>39</v>
      </c>
      <c r="W44" s="11">
        <f t="shared" si="11"/>
        <v>2008</v>
      </c>
      <c r="X44" s="8">
        <f t="shared" si="0"/>
        <v>283.15145523540474</v>
      </c>
      <c r="Y44" s="8">
        <f t="shared" si="1"/>
        <v>5871.0479447645948</v>
      </c>
      <c r="Z44">
        <v>272</v>
      </c>
      <c r="AA44" s="8">
        <v>1143.7316599999999</v>
      </c>
      <c r="AB44" s="8">
        <f t="shared" si="7"/>
        <v>2137.6379164294867</v>
      </c>
      <c r="AC44" s="8">
        <v>14856.7</v>
      </c>
      <c r="AD44" s="8">
        <v>10677.294497568204</v>
      </c>
      <c r="AE44" s="8">
        <v>15404.498229999999</v>
      </c>
    </row>
    <row r="45" spans="1:31" x14ac:dyDescent="0.25">
      <c r="A45">
        <v>2009</v>
      </c>
      <c r="B45" s="4">
        <v>1304.8501000000001</v>
      </c>
      <c r="C45" s="4"/>
      <c r="D45" s="4"/>
      <c r="E45" s="4"/>
      <c r="F45" s="4">
        <f t="shared" si="8"/>
        <v>618.47439735139244</v>
      </c>
      <c r="G45" s="4">
        <f t="shared" si="8"/>
        <v>2511.6137734288113</v>
      </c>
      <c r="H45" s="4"/>
      <c r="I45" s="4">
        <v>5032.0060000000003</v>
      </c>
      <c r="J45" s="4"/>
      <c r="K45" s="4">
        <v>2004</v>
      </c>
      <c r="L45" s="4">
        <v>2004</v>
      </c>
      <c r="M45" s="4"/>
      <c r="N45" s="4">
        <f t="shared" si="12"/>
        <v>408.44793980282412</v>
      </c>
      <c r="O45" s="4" t="str">
        <f t="shared" si="3"/>
        <v/>
      </c>
      <c r="P45" s="4">
        <f t="shared" si="4"/>
        <v>816.89587960564825</v>
      </c>
      <c r="R45" s="4">
        <f t="shared" si="9"/>
        <v>1749.844989734409</v>
      </c>
      <c r="S45" s="4">
        <f t="shared" si="5"/>
        <v>454.49647321515175</v>
      </c>
      <c r="T45" s="4">
        <f t="shared" si="6"/>
        <v>2204.3414629495605</v>
      </c>
      <c r="V45">
        <f t="shared" si="10"/>
        <v>40</v>
      </c>
      <c r="W45" s="11">
        <f t="shared" si="11"/>
        <v>2009</v>
      </c>
      <c r="X45" s="8">
        <f t="shared" si="0"/>
        <v>257.82544618551367</v>
      </c>
      <c r="Y45" s="8">
        <f t="shared" si="1"/>
        <v>6079.0306538144869</v>
      </c>
      <c r="Z45">
        <v>375</v>
      </c>
      <c r="AA45" s="8">
        <v>1250.85609</v>
      </c>
      <c r="AB45" s="8">
        <f t="shared" si="7"/>
        <v>2204.3414629495605</v>
      </c>
      <c r="AC45" s="8">
        <v>15412.535</v>
      </c>
      <c r="AD45" s="8">
        <v>10815.89531800761</v>
      </c>
      <c r="AE45" s="8">
        <v>16061.226119999999</v>
      </c>
    </row>
    <row r="46" spans="1:31" x14ac:dyDescent="0.25">
      <c r="A46">
        <v>2010</v>
      </c>
      <c r="B46" s="4">
        <v>1320.4286999999999</v>
      </c>
      <c r="C46" s="4"/>
      <c r="D46" s="4"/>
      <c r="E46" s="4"/>
      <c r="F46" s="4">
        <f t="shared" si="8"/>
        <v>601.58663041529246</v>
      </c>
      <c r="G46" s="4">
        <f t="shared" si="8"/>
        <v>2791.5798745932179</v>
      </c>
      <c r="H46" s="4"/>
      <c r="I46" s="4">
        <v>5205.0190000000002</v>
      </c>
      <c r="J46" s="4"/>
      <c r="K46" s="4">
        <v>2005</v>
      </c>
      <c r="L46" s="4">
        <v>2005</v>
      </c>
      <c r="M46" s="4"/>
      <c r="N46" s="4">
        <f t="shared" si="12"/>
        <v>408.48973600907135</v>
      </c>
      <c r="O46" s="4" t="str">
        <f t="shared" si="3"/>
        <v/>
      </c>
      <c r="P46" s="4">
        <f t="shared" si="4"/>
        <v>816.9794720181427</v>
      </c>
      <c r="R46" s="4">
        <f t="shared" si="9"/>
        <v>1804.0901844161756</v>
      </c>
      <c r="S46" s="4">
        <f t="shared" si="5"/>
        <v>469.03660806517206</v>
      </c>
      <c r="T46" s="4">
        <f t="shared" si="6"/>
        <v>2273.1267924813478</v>
      </c>
      <c r="V46">
        <f t="shared" si="10"/>
        <v>41</v>
      </c>
      <c r="W46" s="11">
        <f t="shared" si="11"/>
        <v>2010</v>
      </c>
      <c r="X46" s="8">
        <f t="shared" si="0"/>
        <v>234.10352871400065</v>
      </c>
      <c r="Y46" s="8">
        <f t="shared" si="1"/>
        <v>6291.3441712859994</v>
      </c>
      <c r="Z46">
        <v>357</v>
      </c>
      <c r="AA46" s="8">
        <v>1368.01403</v>
      </c>
      <c r="AB46" s="8">
        <f t="shared" si="7"/>
        <v>2273.1267924813478</v>
      </c>
      <c r="AC46" s="8">
        <v>15989.165000000001</v>
      </c>
      <c r="AD46" s="8">
        <v>10956.295300906275</v>
      </c>
      <c r="AE46" s="8">
        <v>16717.954010000001</v>
      </c>
    </row>
    <row r="47" spans="1:31" x14ac:dyDescent="0.25">
      <c r="A47">
        <v>2011</v>
      </c>
      <c r="B47" s="4">
        <v>1336.1931999999999</v>
      </c>
      <c r="C47" s="4"/>
      <c r="D47" s="4"/>
      <c r="E47" s="4"/>
      <c r="F47" s="4">
        <f t="shared" si="8"/>
        <v>585.15999278916775</v>
      </c>
      <c r="G47" s="4">
        <f t="shared" si="8"/>
        <v>3102.7534084570375</v>
      </c>
      <c r="H47" s="4"/>
      <c r="I47" s="4">
        <v>5383.98</v>
      </c>
      <c r="J47" s="4"/>
      <c r="K47" s="4">
        <v>2006</v>
      </c>
      <c r="L47" s="4">
        <v>2006</v>
      </c>
      <c r="M47" s="4"/>
      <c r="N47" s="4">
        <f t="shared" si="12"/>
        <v>408.52031539251874</v>
      </c>
      <c r="O47" s="4" t="str">
        <f t="shared" si="3"/>
        <v/>
      </c>
      <c r="P47" s="4">
        <f t="shared" si="4"/>
        <v>817.04063078503748</v>
      </c>
      <c r="R47" s="4">
        <f t="shared" si="9"/>
        <v>1860.0169801330771</v>
      </c>
      <c r="S47" s="4">
        <f t="shared" si="5"/>
        <v>484.04190718800004</v>
      </c>
      <c r="T47" s="4">
        <f t="shared" si="6"/>
        <v>2344.0588873210772</v>
      </c>
      <c r="V47">
        <f t="shared" si="10"/>
        <v>42</v>
      </c>
      <c r="W47" s="11">
        <f t="shared" si="11"/>
        <v>2011</v>
      </c>
      <c r="X47" s="8">
        <f t="shared" si="0"/>
        <v>212.01333063100742</v>
      </c>
      <c r="Y47" s="8">
        <f t="shared" si="1"/>
        <v>6508.1598693689921</v>
      </c>
      <c r="Z47">
        <v>303</v>
      </c>
      <c r="AA47" s="8">
        <v>1496.1452300000001</v>
      </c>
      <c r="AB47" s="8">
        <f t="shared" si="7"/>
        <v>2344.0588873210772</v>
      </c>
      <c r="AC47" s="8">
        <v>16587.37</v>
      </c>
      <c r="AD47" s="8">
        <v>11098.517801000084</v>
      </c>
      <c r="AE47" s="8">
        <v>17374.681909999999</v>
      </c>
    </row>
    <row r="48" spans="1:31" x14ac:dyDescent="0.25">
      <c r="A48">
        <v>2012</v>
      </c>
      <c r="B48" s="4">
        <v>1352.1459</v>
      </c>
      <c r="C48" s="4"/>
      <c r="D48" s="4"/>
      <c r="E48" s="4"/>
      <c r="F48" s="4">
        <f t="shared" si="8"/>
        <v>569.18189309599836</v>
      </c>
      <c r="G48" s="4">
        <f t="shared" si="8"/>
        <v>3448.6130242268628</v>
      </c>
      <c r="H48" s="4"/>
      <c r="I48" s="4">
        <v>5569.0940000000001</v>
      </c>
      <c r="J48" s="4"/>
      <c r="K48" s="4">
        <v>2007</v>
      </c>
      <c r="L48" s="4">
        <v>2007</v>
      </c>
      <c r="M48" s="4">
        <v>244</v>
      </c>
      <c r="N48" s="4">
        <f t="shared" si="12"/>
        <v>408.54268675059069</v>
      </c>
      <c r="O48" s="4">
        <f t="shared" si="3"/>
        <v>27074.295763103011</v>
      </c>
      <c r="P48" s="4">
        <f t="shared" si="4"/>
        <v>817.08537350118138</v>
      </c>
      <c r="R48" s="4">
        <f t="shared" si="9"/>
        <v>1917.6775065172026</v>
      </c>
      <c r="S48" s="4">
        <f t="shared" si="5"/>
        <v>499.52725200000003</v>
      </c>
      <c r="T48" s="4">
        <f t="shared" si="6"/>
        <v>2417.2047585172027</v>
      </c>
      <c r="V48">
        <f t="shared" si="10"/>
        <v>43</v>
      </c>
      <c r="W48" s="11">
        <f t="shared" si="11"/>
        <v>2012</v>
      </c>
      <c r="X48" s="8">
        <f t="shared" si="0"/>
        <v>191.55207743077241</v>
      </c>
      <c r="Y48" s="8">
        <f t="shared" si="1"/>
        <v>6729.6878225692271</v>
      </c>
      <c r="Z48">
        <v>242</v>
      </c>
      <c r="AA48" s="8">
        <v>1636.2774899999999</v>
      </c>
      <c r="AB48" s="8">
        <f t="shared" si="7"/>
        <v>2417.2047585172027</v>
      </c>
      <c r="AC48" s="8">
        <v>17207.955000000002</v>
      </c>
      <c r="AD48" s="8">
        <v>11242.586476190256</v>
      </c>
      <c r="AE48" s="8">
        <v>18031.409800000001</v>
      </c>
    </row>
    <row r="49" spans="1:31" x14ac:dyDescent="0.25">
      <c r="A49">
        <v>2013</v>
      </c>
      <c r="B49" s="4">
        <v>1368.2891</v>
      </c>
      <c r="C49" s="4"/>
      <c r="D49" s="4"/>
      <c r="E49" s="4"/>
      <c r="F49" s="4">
        <f t="shared" si="8"/>
        <v>553.6400837729002</v>
      </c>
      <c r="G49" s="4">
        <f t="shared" si="8"/>
        <v>3833.0251313079252</v>
      </c>
      <c r="H49" s="4"/>
      <c r="I49" s="4">
        <v>5760.5730000000003</v>
      </c>
      <c r="J49" s="4"/>
      <c r="K49" s="4">
        <v>2008</v>
      </c>
      <c r="L49" s="4">
        <v>2008</v>
      </c>
      <c r="M49" s="4">
        <v>251</v>
      </c>
      <c r="N49" s="4">
        <f t="shared" si="12"/>
        <v>408.55905247802673</v>
      </c>
      <c r="O49" s="4">
        <f t="shared" si="3"/>
        <v>24824.855017773581</v>
      </c>
      <c r="P49" s="4">
        <f t="shared" si="4"/>
        <v>817.11810495605346</v>
      </c>
      <c r="R49" s="4">
        <f t="shared" si="9"/>
        <v>1977.1255092192359</v>
      </c>
      <c r="S49" s="4">
        <f>S50-S50*0.031</f>
        <v>515.50800000000004</v>
      </c>
      <c r="T49" s="4">
        <f t="shared" si="6"/>
        <v>2492.6335092192357</v>
      </c>
      <c r="V49">
        <f t="shared" si="10"/>
        <v>44</v>
      </c>
      <c r="W49" s="11">
        <f t="shared" si="11"/>
        <v>2013</v>
      </c>
      <c r="X49" s="8">
        <f t="shared" si="0"/>
        <v>172.69147628253376</v>
      </c>
      <c r="Y49" s="8">
        <f t="shared" si="1"/>
        <v>6956.1706237174667</v>
      </c>
      <c r="Z49">
        <v>738</v>
      </c>
      <c r="AA49" s="8">
        <v>1789.53485</v>
      </c>
      <c r="AB49" s="8">
        <f t="shared" si="7"/>
        <v>2492.6335092192357</v>
      </c>
      <c r="AC49" s="8">
        <v>17851.757000000001</v>
      </c>
      <c r="AD49" s="8">
        <v>11388.525291478702</v>
      </c>
      <c r="AE49" s="8">
        <v>18688.13769</v>
      </c>
    </row>
    <row r="50" spans="1:31" x14ac:dyDescent="0.25">
      <c r="A50">
        <v>2014</v>
      </c>
      <c r="B50" s="4">
        <v>1384.625</v>
      </c>
      <c r="C50" s="4"/>
      <c r="D50" s="4"/>
      <c r="E50" s="4"/>
      <c r="F50" s="4">
        <f t="shared" si="8"/>
        <v>538.52265168310021</v>
      </c>
      <c r="G50" s="4">
        <f t="shared" si="8"/>
        <v>4260.2871223952197</v>
      </c>
      <c r="H50" s="4"/>
      <c r="I50" s="4">
        <v>5958.6360000000004</v>
      </c>
      <c r="J50" s="4"/>
      <c r="K50" s="4">
        <v>2009</v>
      </c>
      <c r="L50" s="4">
        <v>2009</v>
      </c>
      <c r="M50" s="4">
        <v>680</v>
      </c>
      <c r="N50" s="4">
        <f t="shared" si="12"/>
        <v>408.57102438033348</v>
      </c>
      <c r="O50" s="4">
        <f t="shared" si="3"/>
        <v>73673.688805941521</v>
      </c>
      <c r="P50" s="4">
        <f t="shared" si="4"/>
        <v>817.14204876066697</v>
      </c>
      <c r="R50" s="4">
        <f t="shared" si="9"/>
        <v>2038.4164000050323</v>
      </c>
      <c r="S50" s="4">
        <f>350*1.52</f>
        <v>532</v>
      </c>
      <c r="T50" s="4">
        <f t="shared" si="6"/>
        <v>2570.4164000050323</v>
      </c>
      <c r="V50">
        <f t="shared" si="10"/>
        <v>45</v>
      </c>
      <c r="W50" s="11">
        <f t="shared" si="11"/>
        <v>2014</v>
      </c>
      <c r="X50" s="8">
        <f t="shared" si="0"/>
        <v>155.38268064187349</v>
      </c>
      <c r="Y50" s="8">
        <f t="shared" si="1"/>
        <v>7187.8783193581266</v>
      </c>
      <c r="Z50">
        <v>1426</v>
      </c>
      <c r="AA50" s="8">
        <v>1957.14663</v>
      </c>
      <c r="AB50" s="8">
        <f t="shared" si="7"/>
        <v>2570.4164000050323</v>
      </c>
      <c r="AC50" s="8">
        <v>18519.647000000001</v>
      </c>
      <c r="AD50" s="8">
        <v>11536.358522954462</v>
      </c>
      <c r="AE50" s="8">
        <v>19344.865590000001</v>
      </c>
    </row>
    <row r="51" spans="1:31" x14ac:dyDescent="0.25">
      <c r="A51">
        <v>2015</v>
      </c>
      <c r="B51" s="4">
        <v>1401.1559999999999</v>
      </c>
      <c r="C51" s="4"/>
      <c r="D51" s="4"/>
      <c r="E51" s="4"/>
      <c r="F51" s="4">
        <f t="shared" si="8"/>
        <v>523.81800898425672</v>
      </c>
      <c r="G51" s="4">
        <f t="shared" si="8"/>
        <v>4735.1754145826035</v>
      </c>
      <c r="H51" s="4"/>
      <c r="I51" s="4">
        <v>6163.5079999999998</v>
      </c>
      <c r="J51" s="4"/>
      <c r="K51" s="4">
        <v>2010</v>
      </c>
      <c r="L51" s="4">
        <v>2010</v>
      </c>
      <c r="M51" s="4"/>
      <c r="N51" s="4">
        <f t="shared" si="12"/>
        <v>408.57978187653134</v>
      </c>
      <c r="O51" s="4" t="str">
        <f t="shared" si="3"/>
        <v/>
      </c>
      <c r="P51" s="4">
        <f t="shared" si="4"/>
        <v>817.15956375306268</v>
      </c>
      <c r="R51" s="4">
        <f t="shared" si="9"/>
        <v>2101.6073084051882</v>
      </c>
      <c r="S51" s="4">
        <f>S50+S50*0.031</f>
        <v>548.49199999999996</v>
      </c>
      <c r="T51" s="4">
        <f t="shared" si="6"/>
        <v>2650.0993084051879</v>
      </c>
      <c r="V51">
        <f t="shared" si="10"/>
        <v>46</v>
      </c>
      <c r="W51" s="11">
        <f t="shared" si="11"/>
        <v>2015</v>
      </c>
      <c r="X51" s="8">
        <f t="shared" si="0"/>
        <v>139.5610694068049</v>
      </c>
      <c r="Y51" s="8">
        <f t="shared" si="1"/>
        <v>7425.1029305931952</v>
      </c>
      <c r="Z51">
        <v>2058</v>
      </c>
      <c r="AA51" s="8">
        <v>2140.4572899999998</v>
      </c>
      <c r="AB51" s="8">
        <f t="shared" si="7"/>
        <v>2650.0993084051879</v>
      </c>
      <c r="AC51" s="8">
        <v>19212.524000000001</v>
      </c>
      <c r="AD51" s="8">
        <v>11686.110761831904</v>
      </c>
      <c r="AE51" s="8">
        <v>20001.59348</v>
      </c>
    </row>
    <row r="52" spans="1:31" x14ac:dyDescent="0.25">
      <c r="K52">
        <v>2011</v>
      </c>
      <c r="L52">
        <v>2011</v>
      </c>
      <c r="N52" s="4">
        <f t="shared" si="12"/>
        <v>408.5861879020149</v>
      </c>
      <c r="O52" s="4" t="str">
        <f t="shared" si="3"/>
        <v/>
      </c>
      <c r="P52" s="4">
        <f t="shared" si="4"/>
        <v>817.1723758040298</v>
      </c>
    </row>
    <row r="53" spans="1:31" x14ac:dyDescent="0.25">
      <c r="K53">
        <v>2012</v>
      </c>
      <c r="L53">
        <v>2012</v>
      </c>
      <c r="N53" s="4">
        <f t="shared" si="12"/>
        <v>408.59087378511128</v>
      </c>
      <c r="O53" s="4" t="str">
        <f t="shared" si="3"/>
        <v/>
      </c>
      <c r="P53" s="4">
        <f t="shared" si="4"/>
        <v>817.18174757022257</v>
      </c>
    </row>
    <row r="54" spans="1:31" x14ac:dyDescent="0.25">
      <c r="K54">
        <v>2013</v>
      </c>
      <c r="L54">
        <v>2013</v>
      </c>
      <c r="N54" s="4">
        <f t="shared" si="12"/>
        <v>408.59430138333437</v>
      </c>
      <c r="O54" s="4" t="str">
        <f t="shared" si="3"/>
        <v/>
      </c>
      <c r="P54" s="4">
        <f t="shared" si="4"/>
        <v>817.18860276666874</v>
      </c>
    </row>
    <row r="55" spans="1:31" x14ac:dyDescent="0.25">
      <c r="K55">
        <v>2014</v>
      </c>
      <c r="L55">
        <v>2014</v>
      </c>
      <c r="N55" s="4">
        <f t="shared" si="12"/>
        <v>408.59680856153142</v>
      </c>
      <c r="O55" s="4" t="str">
        <f t="shared" si="3"/>
        <v/>
      </c>
      <c r="P55" s="4">
        <f t="shared" si="4"/>
        <v>817.19361712306284</v>
      </c>
    </row>
    <row r="56" spans="1:31" x14ac:dyDescent="0.25">
      <c r="L56">
        <v>2015</v>
      </c>
      <c r="N56" s="4">
        <f t="shared" si="12"/>
        <v>408.5986424722127</v>
      </c>
      <c r="O56" s="4" t="str">
        <f t="shared" si="3"/>
        <v/>
      </c>
      <c r="P56" s="4">
        <f t="shared" si="4"/>
        <v>817.19728494442541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A25" workbookViewId="0">
      <selection activeCell="A2" sqref="A2"/>
    </sheetView>
  </sheetViews>
  <sheetFormatPr defaultRowHeight="15" x14ac:dyDescent="0.25"/>
  <sheetData>
    <row r="1" spans="1:13" x14ac:dyDescent="0.25">
      <c r="A1" s="16"/>
      <c r="B1" s="17"/>
      <c r="C1" s="16"/>
      <c r="D1" s="17"/>
      <c r="E1" s="16"/>
      <c r="F1" s="17"/>
      <c r="G1" s="16"/>
      <c r="H1" s="17"/>
    </row>
    <row r="4" spans="1:13" x14ac:dyDescent="0.25">
      <c r="E4" t="s">
        <v>112</v>
      </c>
      <c r="F4" t="s">
        <v>113</v>
      </c>
      <c r="J4" t="s">
        <v>114</v>
      </c>
    </row>
    <row r="5" spans="1:13" x14ac:dyDescent="0.25">
      <c r="D5">
        <v>1960</v>
      </c>
      <c r="E5" s="4">
        <v>69000</v>
      </c>
      <c r="F5">
        <f>(E22-E5)/(1977-1960)</f>
        <v>-823.52941176470586</v>
      </c>
      <c r="J5">
        <v>1960</v>
      </c>
      <c r="K5">
        <v>69000</v>
      </c>
    </row>
    <row r="6" spans="1:13" x14ac:dyDescent="0.25">
      <c r="D6">
        <f>D5+1</f>
        <v>1961</v>
      </c>
      <c r="E6" s="4">
        <f>E5+$F$5</f>
        <v>68176.470588235301</v>
      </c>
      <c r="J6">
        <v>1977</v>
      </c>
      <c r="K6">
        <v>55000</v>
      </c>
    </row>
    <row r="7" spans="1:13" x14ac:dyDescent="0.25">
      <c r="D7">
        <f t="shared" ref="D7:D60" si="0">D6+1</f>
        <v>1962</v>
      </c>
      <c r="E7" s="4">
        <f t="shared" ref="E7:E21" si="1">E6+$F$5</f>
        <v>67352.941176470602</v>
      </c>
      <c r="J7">
        <v>1985</v>
      </c>
      <c r="K7">
        <v>38000</v>
      </c>
    </row>
    <row r="8" spans="1:13" x14ac:dyDescent="0.25">
      <c r="D8">
        <f t="shared" si="0"/>
        <v>1963</v>
      </c>
      <c r="E8" s="4">
        <f t="shared" si="1"/>
        <v>66529.411764705903</v>
      </c>
      <c r="J8">
        <v>1989</v>
      </c>
      <c r="K8">
        <v>31600</v>
      </c>
    </row>
    <row r="9" spans="1:13" x14ac:dyDescent="0.25">
      <c r="D9">
        <f t="shared" si="0"/>
        <v>1964</v>
      </c>
      <c r="E9" s="4">
        <f t="shared" si="1"/>
        <v>65705.882352941204</v>
      </c>
    </row>
    <row r="10" spans="1:13" x14ac:dyDescent="0.25">
      <c r="D10">
        <f t="shared" si="0"/>
        <v>1965</v>
      </c>
      <c r="E10" s="4">
        <f t="shared" si="1"/>
        <v>64882.352941176498</v>
      </c>
    </row>
    <row r="11" spans="1:13" x14ac:dyDescent="0.25">
      <c r="D11">
        <f t="shared" si="0"/>
        <v>1966</v>
      </c>
      <c r="E11" s="4">
        <f t="shared" si="1"/>
        <v>64058.823529411791</v>
      </c>
      <c r="J11" t="s">
        <v>115</v>
      </c>
    </row>
    <row r="12" spans="1:13" x14ac:dyDescent="0.25">
      <c r="D12">
        <f t="shared" si="0"/>
        <v>1967</v>
      </c>
      <c r="E12" s="4">
        <f t="shared" si="1"/>
        <v>63235.294117647085</v>
      </c>
      <c r="J12">
        <f>ROUND(K12,0)</f>
        <v>1989</v>
      </c>
      <c r="K12">
        <v>1989.04791371994</v>
      </c>
      <c r="L12">
        <v>8.88355317234811</v>
      </c>
      <c r="M12">
        <f>EXP(L12)+EXP(O36)</f>
        <v>15863.976157572921</v>
      </c>
    </row>
    <row r="13" spans="1:13" x14ac:dyDescent="0.25">
      <c r="D13">
        <f t="shared" si="0"/>
        <v>1968</v>
      </c>
      <c r="E13" s="4">
        <f t="shared" si="1"/>
        <v>62411.764705882379</v>
      </c>
      <c r="J13">
        <f>ROUND(K13,0)</f>
        <v>1990</v>
      </c>
      <c r="K13">
        <v>1990.04614568599</v>
      </c>
      <c r="L13">
        <v>8.5710345766440703</v>
      </c>
      <c r="M13">
        <f>EXP(L13)+EXP(O37)</f>
        <v>12394.829524842551</v>
      </c>
    </row>
    <row r="14" spans="1:13" x14ac:dyDescent="0.25">
      <c r="D14">
        <f t="shared" si="0"/>
        <v>1969</v>
      </c>
      <c r="E14" s="4">
        <f t="shared" si="1"/>
        <v>61588.235294117672</v>
      </c>
      <c r="J14">
        <f>ROUND(K14,0)</f>
        <v>1991</v>
      </c>
      <c r="K14">
        <v>1990.9902758132901</v>
      </c>
      <c r="L14">
        <v>8.4052288433431102</v>
      </c>
      <c r="M14">
        <f>EXP(L14)+EXP(O38)</f>
        <v>10678.7049569257</v>
      </c>
    </row>
    <row r="15" spans="1:13" x14ac:dyDescent="0.25">
      <c r="D15">
        <f t="shared" si="0"/>
        <v>1970</v>
      </c>
      <c r="E15" s="4">
        <f t="shared" si="1"/>
        <v>60764.705882352966</v>
      </c>
      <c r="J15">
        <f>ROUND(K15,0)</f>
        <v>1992</v>
      </c>
      <c r="K15">
        <v>1991.99275106082</v>
      </c>
      <c r="L15">
        <v>8.2158383625774896</v>
      </c>
      <c r="M15">
        <f>EXP(L15)+EXP(O39)</f>
        <v>9373.0209180275324</v>
      </c>
    </row>
    <row r="16" spans="1:13" x14ac:dyDescent="0.25">
      <c r="D16">
        <f t="shared" si="0"/>
        <v>1971</v>
      </c>
      <c r="E16" s="4">
        <f t="shared" si="1"/>
        <v>59941.17647058826</v>
      </c>
      <c r="J16">
        <f>ROUND(K16,0)</f>
        <v>1994</v>
      </c>
      <c r="K16">
        <v>1993.9483734087601</v>
      </c>
      <c r="L16">
        <v>8.0963468968157706</v>
      </c>
      <c r="M16">
        <f>EXP(L16)+EXP(O40)</f>
        <v>7752.8356616756173</v>
      </c>
    </row>
    <row r="17" spans="4:13" x14ac:dyDescent="0.25">
      <c r="D17">
        <f t="shared" si="0"/>
        <v>1972</v>
      </c>
      <c r="E17" s="4">
        <f t="shared" si="1"/>
        <v>59117.647058823553</v>
      </c>
      <c r="J17">
        <f>ROUND(K17,0)</f>
        <v>1996</v>
      </c>
      <c r="K17">
        <v>1996.0095473833001</v>
      </c>
      <c r="L17">
        <v>7.66040875115739</v>
      </c>
      <c r="M17">
        <f>EXP(L17)+EXP(O41)</f>
        <v>5950.0697721213455</v>
      </c>
    </row>
    <row r="18" spans="4:13" x14ac:dyDescent="0.25">
      <c r="D18">
        <f t="shared" si="0"/>
        <v>1973</v>
      </c>
      <c r="E18" s="4">
        <f t="shared" si="1"/>
        <v>58294.117647058847</v>
      </c>
      <c r="J18">
        <f>ROUND(K18,0)</f>
        <v>1998</v>
      </c>
      <c r="K18">
        <v>1998.0288189533201</v>
      </c>
      <c r="L18">
        <v>7.6479487379742199</v>
      </c>
      <c r="M18">
        <f>EXP(L18)+EXP(O42)</f>
        <v>5495.1091691273832</v>
      </c>
    </row>
    <row r="19" spans="4:13" x14ac:dyDescent="0.25">
      <c r="D19">
        <f t="shared" si="0"/>
        <v>1974</v>
      </c>
      <c r="E19" s="4">
        <f t="shared" si="1"/>
        <v>57470.588235294141</v>
      </c>
      <c r="J19">
        <f>ROUND(K19,0)</f>
        <v>2000</v>
      </c>
      <c r="K19">
        <v>1999.9865629420001</v>
      </c>
      <c r="L19">
        <v>7.5859520154790703</v>
      </c>
      <c r="M19">
        <f>EXP(L19)+EXP(O43)</f>
        <v>5095.8882097635587</v>
      </c>
    </row>
    <row r="20" spans="4:13" x14ac:dyDescent="0.25">
      <c r="D20">
        <f t="shared" si="0"/>
        <v>1975</v>
      </c>
      <c r="E20" s="4">
        <f t="shared" si="1"/>
        <v>56647.058823529434</v>
      </c>
      <c r="J20">
        <f>ROUND(K20,0)</f>
        <v>2002</v>
      </c>
      <c r="K20">
        <v>2002.01591230551</v>
      </c>
      <c r="L20">
        <v>7.8115217921041102</v>
      </c>
      <c r="M20">
        <f>EXP(L20)+EXP(O44)</f>
        <v>5755.2752757988028</v>
      </c>
    </row>
    <row r="21" spans="4:13" x14ac:dyDescent="0.25">
      <c r="D21">
        <f>D20+1</f>
        <v>1976</v>
      </c>
      <c r="E21" s="4">
        <f t="shared" si="1"/>
        <v>55823.529411764728</v>
      </c>
    </row>
    <row r="22" spans="4:13" x14ac:dyDescent="0.25">
      <c r="D22">
        <f t="shared" si="0"/>
        <v>1977</v>
      </c>
      <c r="E22" s="4">
        <v>55000</v>
      </c>
      <c r="F22">
        <f>(E30-E22)/(1985-1977)</f>
        <v>-2125</v>
      </c>
      <c r="G22">
        <f>LN(E22)</f>
        <v>10.915088464214607</v>
      </c>
    </row>
    <row r="23" spans="4:13" x14ac:dyDescent="0.25">
      <c r="D23">
        <f t="shared" si="0"/>
        <v>1978</v>
      </c>
      <c r="E23" s="4">
        <f>E22+$F$22</f>
        <v>52875</v>
      </c>
    </row>
    <row r="24" spans="4:13" x14ac:dyDescent="0.25">
      <c r="D24">
        <f t="shared" si="0"/>
        <v>1979</v>
      </c>
      <c r="E24" s="4">
        <f t="shared" ref="E24:E29" si="2">E23+$F$22</f>
        <v>50750</v>
      </c>
    </row>
    <row r="25" spans="4:13" x14ac:dyDescent="0.25">
      <c r="D25">
        <f t="shared" si="0"/>
        <v>1980</v>
      </c>
      <c r="E25" s="4">
        <f t="shared" si="2"/>
        <v>48625</v>
      </c>
    </row>
    <row r="26" spans="4:13" x14ac:dyDescent="0.25">
      <c r="D26">
        <f t="shared" si="0"/>
        <v>1981</v>
      </c>
      <c r="E26" s="4">
        <f t="shared" si="2"/>
        <v>46500</v>
      </c>
    </row>
    <row r="27" spans="4:13" x14ac:dyDescent="0.25">
      <c r="D27">
        <f t="shared" si="0"/>
        <v>1982</v>
      </c>
      <c r="E27" s="4">
        <f t="shared" si="2"/>
        <v>44375</v>
      </c>
    </row>
    <row r="28" spans="4:13" x14ac:dyDescent="0.25">
      <c r="D28">
        <f t="shared" si="0"/>
        <v>1983</v>
      </c>
      <c r="E28" s="4">
        <f t="shared" si="2"/>
        <v>42250</v>
      </c>
    </row>
    <row r="29" spans="4:13" x14ac:dyDescent="0.25">
      <c r="D29">
        <f t="shared" si="0"/>
        <v>1984</v>
      </c>
      <c r="E29" s="4">
        <f t="shared" si="2"/>
        <v>40125</v>
      </c>
    </row>
    <row r="30" spans="4:13" x14ac:dyDescent="0.25">
      <c r="D30">
        <f t="shared" si="0"/>
        <v>1985</v>
      </c>
      <c r="E30" s="4">
        <v>38000</v>
      </c>
      <c r="F30">
        <f>(E34-E30)/(1989-1985)</f>
        <v>-1600</v>
      </c>
    </row>
    <row r="31" spans="4:13" x14ac:dyDescent="0.25">
      <c r="D31">
        <f t="shared" si="0"/>
        <v>1986</v>
      </c>
      <c r="E31" s="4">
        <f>E30+$F$30</f>
        <v>36400</v>
      </c>
    </row>
    <row r="32" spans="4:13" x14ac:dyDescent="0.25">
      <c r="D32">
        <f t="shared" si="0"/>
        <v>1987</v>
      </c>
      <c r="E32" s="4">
        <f t="shared" ref="E32:E33" si="3">E31+$F$30</f>
        <v>34800</v>
      </c>
    </row>
    <row r="33" spans="4:15" x14ac:dyDescent="0.25">
      <c r="D33">
        <f t="shared" si="0"/>
        <v>1988</v>
      </c>
      <c r="E33" s="4">
        <f t="shared" si="3"/>
        <v>33200</v>
      </c>
    </row>
    <row r="34" spans="4:15" x14ac:dyDescent="0.25">
      <c r="D34">
        <f t="shared" si="0"/>
        <v>1989</v>
      </c>
      <c r="E34" s="4">
        <v>31600</v>
      </c>
    </row>
    <row r="35" spans="4:15" x14ac:dyDescent="0.25">
      <c r="D35">
        <f t="shared" si="0"/>
        <v>1990</v>
      </c>
      <c r="E35" s="4">
        <f>M13*$E$34/$M$12</f>
        <v>24689.687446236585</v>
      </c>
    </row>
    <row r="36" spans="4:15" x14ac:dyDescent="0.25">
      <c r="D36">
        <f t="shared" si="0"/>
        <v>1991</v>
      </c>
      <c r="E36" s="4">
        <f>M14*$E$34/$M$12</f>
        <v>21271.279866224861</v>
      </c>
      <c r="N36">
        <v>1989.09508196721</v>
      </c>
      <c r="O36">
        <v>9.0655000272581194</v>
      </c>
    </row>
    <row r="37" spans="4:15" x14ac:dyDescent="0.25">
      <c r="D37">
        <f t="shared" si="0"/>
        <v>1992</v>
      </c>
      <c r="E37" s="4">
        <f>M15*$E$34/$M$12</f>
        <v>18670.442899542573</v>
      </c>
      <c r="N37">
        <v>1989.9606557377001</v>
      </c>
      <c r="O37">
        <v>8.8704162780351599</v>
      </c>
    </row>
    <row r="38" spans="4:15" x14ac:dyDescent="0.25">
      <c r="D38">
        <f t="shared" si="0"/>
        <v>1993</v>
      </c>
      <c r="E38" s="4">
        <f>(E39-E37)/2+E37</f>
        <v>17056.791517562891</v>
      </c>
      <c r="N38">
        <v>1990.82622950819</v>
      </c>
      <c r="O38">
        <v>8.73364629867209</v>
      </c>
    </row>
    <row r="39" spans="4:15" x14ac:dyDescent="0.25">
      <c r="D39">
        <f t="shared" si="0"/>
        <v>1994</v>
      </c>
      <c r="E39" s="4">
        <f>M16*$E$34/$M$12</f>
        <v>15443.140135583211</v>
      </c>
      <c r="N39">
        <v>1991.6524590163899</v>
      </c>
      <c r="O39">
        <v>8.6436398913276893</v>
      </c>
    </row>
    <row r="40" spans="4:15" x14ac:dyDescent="0.25">
      <c r="D40">
        <f t="shared" si="0"/>
        <v>1995</v>
      </c>
      <c r="E40" s="4">
        <f>(E41-E39)/2+E39</f>
        <v>13647.644430595004</v>
      </c>
      <c r="N40">
        <v>1993.4229508196699</v>
      </c>
      <c r="O40">
        <v>8.4052288433431102</v>
      </c>
    </row>
    <row r="41" spans="4:15" x14ac:dyDescent="0.25">
      <c r="D41">
        <f t="shared" si="0"/>
        <v>1996</v>
      </c>
      <c r="E41" s="4">
        <f>M17*$E$34/$M$12</f>
        <v>11852.148725606798</v>
      </c>
      <c r="N41">
        <v>1995.11475409836</v>
      </c>
      <c r="O41">
        <v>8.2499527304236597</v>
      </c>
    </row>
    <row r="42" spans="4:15" x14ac:dyDescent="0.25">
      <c r="D42">
        <f t="shared" si="0"/>
        <v>1997</v>
      </c>
      <c r="E42" s="4">
        <f>(E43-E41)/2+E41</f>
        <v>11399.022885281254</v>
      </c>
      <c r="N42">
        <v>1996.8459016393399</v>
      </c>
      <c r="O42">
        <v>8.1311683325522992</v>
      </c>
    </row>
    <row r="43" spans="4:15" x14ac:dyDescent="0.25">
      <c r="D43">
        <f t="shared" si="0"/>
        <v>1998</v>
      </c>
      <c r="E43" s="4">
        <f>M18*$E$34/$M$12</f>
        <v>10945.897044955711</v>
      </c>
      <c r="N43">
        <v>1998.5377049180299</v>
      </c>
      <c r="O43">
        <v>8.0473708871214207</v>
      </c>
    </row>
    <row r="44" spans="4:15" x14ac:dyDescent="0.25">
      <c r="D44">
        <f t="shared" si="0"/>
        <v>1999</v>
      </c>
      <c r="E44" s="4">
        <f>(E45-E43)/2+E43</f>
        <v>10548.286061725801</v>
      </c>
      <c r="N44">
        <v>2000.2688524590101</v>
      </c>
      <c r="O44">
        <v>8.0975451499014497</v>
      </c>
    </row>
    <row r="45" spans="4:15" x14ac:dyDescent="0.25">
      <c r="D45">
        <f t="shared" si="0"/>
        <v>2000</v>
      </c>
      <c r="E45" s="4">
        <f>M19*$E$34/$M$12</f>
        <v>10150.675078495891</v>
      </c>
    </row>
    <row r="46" spans="4:15" x14ac:dyDescent="0.25">
      <c r="D46">
        <f t="shared" si="0"/>
        <v>2001</v>
      </c>
      <c r="E46" s="4">
        <f>(E47-E45)/2+E45</f>
        <v>10807.402971924017</v>
      </c>
    </row>
    <row r="47" spans="4:15" x14ac:dyDescent="0.25">
      <c r="D47">
        <f t="shared" si="0"/>
        <v>2002</v>
      </c>
      <c r="E47" s="4">
        <f>M20*$E$34/$M$12</f>
        <v>11464.130865352141</v>
      </c>
      <c r="F47">
        <f>E47-E45</f>
        <v>1313.4557868562497</v>
      </c>
    </row>
    <row r="48" spans="4:15" x14ac:dyDescent="0.25">
      <c r="D48">
        <f t="shared" si="0"/>
        <v>2003</v>
      </c>
      <c r="E48" s="4">
        <f>E47+$F$47/2</f>
        <v>12120.858758780265</v>
      </c>
    </row>
    <row r="49" spans="4:5" x14ac:dyDescent="0.25">
      <c r="D49">
        <f t="shared" si="0"/>
        <v>2004</v>
      </c>
      <c r="E49" s="4">
        <f t="shared" ref="E49:E60" si="4">E48+$F$47/2</f>
        <v>12777.586652208389</v>
      </c>
    </row>
    <row r="50" spans="4:5" x14ac:dyDescent="0.25">
      <c r="D50">
        <f t="shared" si="0"/>
        <v>2005</v>
      </c>
      <c r="E50" s="4">
        <f t="shared" si="4"/>
        <v>13434.314545636513</v>
      </c>
    </row>
    <row r="51" spans="4:5" x14ac:dyDescent="0.25">
      <c r="D51">
        <f t="shared" si="0"/>
        <v>2006</v>
      </c>
      <c r="E51" s="4">
        <f t="shared" si="4"/>
        <v>14091.042439064637</v>
      </c>
    </row>
    <row r="52" spans="4:5" x14ac:dyDescent="0.25">
      <c r="D52">
        <f t="shared" si="0"/>
        <v>2007</v>
      </c>
      <c r="E52" s="4">
        <f t="shared" si="4"/>
        <v>14747.770332492761</v>
      </c>
    </row>
    <row r="53" spans="4:5" x14ac:dyDescent="0.25">
      <c r="D53">
        <f t="shared" si="0"/>
        <v>2008</v>
      </c>
      <c r="E53" s="4">
        <f t="shared" si="4"/>
        <v>15404.498225920885</v>
      </c>
    </row>
    <row r="54" spans="4:5" x14ac:dyDescent="0.25">
      <c r="D54">
        <f t="shared" si="0"/>
        <v>2009</v>
      </c>
      <c r="E54" s="4">
        <f t="shared" si="4"/>
        <v>16061.226119349009</v>
      </c>
    </row>
    <row r="55" spans="4:5" x14ac:dyDescent="0.25">
      <c r="D55">
        <f t="shared" si="0"/>
        <v>2010</v>
      </c>
      <c r="E55" s="4">
        <f t="shared" si="4"/>
        <v>16717.954012777132</v>
      </c>
    </row>
    <row r="56" spans="4:5" x14ac:dyDescent="0.25">
      <c r="D56">
        <f t="shared" si="0"/>
        <v>2011</v>
      </c>
      <c r="E56" s="4">
        <f t="shared" si="4"/>
        <v>17374.681906205256</v>
      </c>
    </row>
    <row r="57" spans="4:5" x14ac:dyDescent="0.25">
      <c r="D57">
        <f t="shared" si="0"/>
        <v>2012</v>
      </c>
      <c r="E57" s="4">
        <f t="shared" si="4"/>
        <v>18031.40979963338</v>
      </c>
    </row>
    <row r="58" spans="4:5" x14ac:dyDescent="0.25">
      <c r="D58">
        <f t="shared" si="0"/>
        <v>2013</v>
      </c>
      <c r="E58" s="4">
        <f t="shared" si="4"/>
        <v>18688.137693061504</v>
      </c>
    </row>
    <row r="59" spans="4:5" x14ac:dyDescent="0.25">
      <c r="D59">
        <f t="shared" si="0"/>
        <v>2014</v>
      </c>
      <c r="E59" s="4">
        <f t="shared" si="4"/>
        <v>19344.865586489628</v>
      </c>
    </row>
    <row r="60" spans="4:5" x14ac:dyDescent="0.25">
      <c r="D60">
        <f t="shared" si="0"/>
        <v>2015</v>
      </c>
      <c r="E60" s="4">
        <f t="shared" si="4"/>
        <v>20001.593479917752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4"/>
  <sheetViews>
    <sheetView zoomScale="85" zoomScaleNormal="85" workbookViewId="0">
      <selection activeCell="I5" sqref="I5"/>
    </sheetView>
  </sheetViews>
  <sheetFormatPr defaultRowHeight="15" x14ac:dyDescent="0.25"/>
  <cols>
    <col min="14" max="14" width="13.28515625" bestFit="1" customWidth="1"/>
    <col min="15" max="15" width="13.7109375" bestFit="1" customWidth="1"/>
    <col min="23" max="23" width="13.28515625" bestFit="1" customWidth="1"/>
    <col min="24" max="24" width="15.28515625" bestFit="1" customWidth="1"/>
    <col min="36" max="36" width="12.28515625" bestFit="1" customWidth="1"/>
  </cols>
  <sheetData>
    <row r="1" spans="1:36" x14ac:dyDescent="0.25">
      <c r="A1" t="s">
        <v>62</v>
      </c>
    </row>
    <row r="2" spans="1:36" x14ac:dyDescent="0.25">
      <c r="A2" t="s">
        <v>63</v>
      </c>
    </row>
    <row r="3" spans="1:36" x14ac:dyDescent="0.25">
      <c r="AF3" t="s">
        <v>46</v>
      </c>
      <c r="AG3">
        <v>1.2210291755487501</v>
      </c>
      <c r="AJ3">
        <f>SUM(AJ25:AJ36)</f>
        <v>2.301757852839712</v>
      </c>
    </row>
    <row r="4" spans="1:36" x14ac:dyDescent="0.25">
      <c r="A4">
        <v>2004.58666666666</v>
      </c>
      <c r="B4">
        <v>199.75786924939399</v>
      </c>
      <c r="C4">
        <f>MOD(A4,1)</f>
        <v>0.58666666665999401</v>
      </c>
      <c r="D4">
        <f>FLOOR(A4,1)</f>
        <v>2004</v>
      </c>
      <c r="E4">
        <f>CEILING(C4*12,1)</f>
        <v>8</v>
      </c>
      <c r="F4">
        <f>ROUND(B4,0)</f>
        <v>200</v>
      </c>
      <c r="G4">
        <f>F4</f>
        <v>200</v>
      </c>
      <c r="I4" t="s">
        <v>64</v>
      </c>
      <c r="J4" t="s">
        <v>65</v>
      </c>
      <c r="K4" t="s">
        <v>66</v>
      </c>
      <c r="L4" t="s">
        <v>67</v>
      </c>
      <c r="N4" t="s">
        <v>68</v>
      </c>
      <c r="O4" t="s">
        <v>69</v>
      </c>
      <c r="Q4" t="s">
        <v>64</v>
      </c>
      <c r="R4" t="s">
        <v>65</v>
      </c>
      <c r="S4" t="s">
        <v>66</v>
      </c>
      <c r="T4" t="s">
        <v>67</v>
      </c>
      <c r="W4" t="s">
        <v>68</v>
      </c>
      <c r="X4" t="s">
        <v>70</v>
      </c>
      <c r="AB4" s="5"/>
      <c r="AF4" t="s">
        <v>56</v>
      </c>
      <c r="AG4">
        <v>-1.5535530599578786</v>
      </c>
    </row>
    <row r="5" spans="1:36" x14ac:dyDescent="0.25">
      <c r="A5">
        <v>2004.68444444444</v>
      </c>
      <c r="B5">
        <v>163.43825665859501</v>
      </c>
      <c r="C5">
        <f t="shared" ref="C5:C68" si="0">MOD(A5,1)</f>
        <v>0.68444444444003238</v>
      </c>
      <c r="D5">
        <f t="shared" ref="D5:D68" si="1">FLOOR(A5,1)</f>
        <v>2004</v>
      </c>
      <c r="E5">
        <f t="shared" ref="E5:E68" si="2">CEILING(C5*12,1)</f>
        <v>9</v>
      </c>
      <c r="F5">
        <f t="shared" ref="F5:F68" si="3">ROUND(B5,0)</f>
        <v>163</v>
      </c>
      <c r="G5">
        <f>IF(E5=E6,MAX(F5:F6),IF(E5=E4,"",F5))</f>
        <v>163</v>
      </c>
      <c r="I5">
        <v>2004</v>
      </c>
      <c r="J5">
        <v>8</v>
      </c>
      <c r="K5">
        <v>200</v>
      </c>
      <c r="L5">
        <f t="shared" ref="L5:L36" si="4">K5/VLOOKUP(I5,year,2)</f>
        <v>1</v>
      </c>
      <c r="N5" s="5">
        <v>2004</v>
      </c>
      <c r="O5" s="6">
        <v>200</v>
      </c>
      <c r="Q5">
        <v>2005</v>
      </c>
      <c r="R5">
        <v>2</v>
      </c>
      <c r="S5">
        <v>85</v>
      </c>
      <c r="T5">
        <v>0.34693877551020408</v>
      </c>
      <c r="W5" s="5">
        <v>1</v>
      </c>
      <c r="X5" s="6">
        <v>0.1559418668899818</v>
      </c>
      <c r="Y5">
        <v>0.1559418668899818</v>
      </c>
      <c r="Z5">
        <f>(Y5-MIN($Y$5:$Y$16))</f>
        <v>1.148268155863344E-2</v>
      </c>
      <c r="AA5">
        <f>Z5/MAX($Z$5:$Z$16)</f>
        <v>1.7635274895648478E-2</v>
      </c>
      <c r="AB5" s="5">
        <v>2</v>
      </c>
      <c r="AC5">
        <v>1.7635274895648478E-2</v>
      </c>
      <c r="AG5" s="6" t="s">
        <v>72</v>
      </c>
      <c r="AH5" s="4" t="s">
        <v>73</v>
      </c>
      <c r="AI5" s="4" t="s">
        <v>74</v>
      </c>
    </row>
    <row r="6" spans="1:36" x14ac:dyDescent="0.25">
      <c r="A6">
        <v>2004.74311111111</v>
      </c>
      <c r="B6">
        <v>96.852300242130696</v>
      </c>
      <c r="C6">
        <f t="shared" si="0"/>
        <v>0.74311111111001082</v>
      </c>
      <c r="D6">
        <f t="shared" si="1"/>
        <v>2004</v>
      </c>
      <c r="E6">
        <f t="shared" si="2"/>
        <v>9</v>
      </c>
      <c r="F6">
        <f t="shared" si="3"/>
        <v>97</v>
      </c>
      <c r="G6" t="str">
        <f t="shared" ref="G6:G69" si="5">IF(E6=E7,MAX(F6:F7),IF(E6=E5,"",F6))</f>
        <v/>
      </c>
      <c r="I6">
        <v>2004</v>
      </c>
      <c r="J6">
        <v>9</v>
      </c>
      <c r="K6">
        <v>163</v>
      </c>
      <c r="L6">
        <f t="shared" si="4"/>
        <v>0.81499999999999995</v>
      </c>
      <c r="N6" s="5">
        <v>2005</v>
      </c>
      <c r="O6" s="6">
        <v>245</v>
      </c>
      <c r="Q6">
        <v>2005</v>
      </c>
      <c r="R6">
        <v>3</v>
      </c>
      <c r="S6">
        <v>97</v>
      </c>
      <c r="T6">
        <v>0.39591836734693875</v>
      </c>
      <c r="W6" s="5">
        <v>2</v>
      </c>
      <c r="X6" s="6">
        <v>0.31078609570886367</v>
      </c>
      <c r="Y6">
        <v>0.31078609570886367</v>
      </c>
      <c r="Z6">
        <f t="shared" ref="Z6:Z16" si="6">(Y6-MIN($Y$5:$Y$16))</f>
        <v>0.16632691037751532</v>
      </c>
      <c r="AA6">
        <f t="shared" ref="AA6:AA16" si="7">Z6/MAX($Z$5:$Z$16)</f>
        <v>0.25544736846298594</v>
      </c>
      <c r="AB6" s="5">
        <v>3</v>
      </c>
      <c r="AC6">
        <v>0.25544736846298594</v>
      </c>
      <c r="AF6">
        <f t="shared" ref="AF6:AF23" si="8">AF7-1</f>
        <v>1985</v>
      </c>
      <c r="AG6" s="6"/>
      <c r="AH6" s="4">
        <f>EXP(AG3)</f>
        <v>3.390675538889897</v>
      </c>
      <c r="AI6" s="4"/>
    </row>
    <row r="7" spans="1:36" x14ac:dyDescent="0.25">
      <c r="A7">
        <v>2004.84088888888</v>
      </c>
      <c r="B7">
        <v>90.799031476997698</v>
      </c>
      <c r="C7">
        <f t="shared" si="0"/>
        <v>0.84088888888004476</v>
      </c>
      <c r="D7">
        <f t="shared" si="1"/>
        <v>2004</v>
      </c>
      <c r="E7">
        <f t="shared" si="2"/>
        <v>11</v>
      </c>
      <c r="F7">
        <f t="shared" si="3"/>
        <v>91</v>
      </c>
      <c r="G7">
        <f t="shared" si="5"/>
        <v>91</v>
      </c>
      <c r="I7">
        <v>2004</v>
      </c>
      <c r="J7">
        <v>11</v>
      </c>
      <c r="K7">
        <v>91</v>
      </c>
      <c r="L7">
        <f t="shared" si="4"/>
        <v>0.45500000000000002</v>
      </c>
      <c r="N7" s="5">
        <v>2006</v>
      </c>
      <c r="O7" s="6">
        <v>136</v>
      </c>
      <c r="Q7">
        <v>2005</v>
      </c>
      <c r="R7">
        <v>4</v>
      </c>
      <c r="S7">
        <v>121</v>
      </c>
      <c r="T7">
        <v>0.49387755102040815</v>
      </c>
      <c r="W7" s="5">
        <v>3</v>
      </c>
      <c r="X7" s="6">
        <v>0.55472626676773751</v>
      </c>
      <c r="Y7">
        <v>0.55472626676773751</v>
      </c>
      <c r="Z7">
        <f t="shared" si="6"/>
        <v>0.41026708143638912</v>
      </c>
      <c r="AA7">
        <f t="shared" si="7"/>
        <v>0.63009434902653394</v>
      </c>
      <c r="AB7" s="5">
        <v>4</v>
      </c>
      <c r="AC7">
        <v>0.63009434902653394</v>
      </c>
      <c r="AF7">
        <f t="shared" si="8"/>
        <v>1986</v>
      </c>
      <c r="AG7" s="6"/>
      <c r="AH7" s="4">
        <f t="shared" ref="AH7:AH36" si="9">AH6+AH6*EXP($AG$4)</f>
        <v>4.1077870797639049</v>
      </c>
      <c r="AI7" s="4"/>
    </row>
    <row r="8" spans="1:36" x14ac:dyDescent="0.25">
      <c r="A8">
        <v>2004.9191111111099</v>
      </c>
      <c r="B8">
        <v>115.01210653753</v>
      </c>
      <c r="C8">
        <f t="shared" si="0"/>
        <v>0.9191111111099417</v>
      </c>
      <c r="D8">
        <f t="shared" si="1"/>
        <v>2004</v>
      </c>
      <c r="E8">
        <f t="shared" si="2"/>
        <v>12</v>
      </c>
      <c r="F8">
        <f t="shared" si="3"/>
        <v>115</v>
      </c>
      <c r="G8">
        <f t="shared" si="5"/>
        <v>115</v>
      </c>
      <c r="I8">
        <v>2004</v>
      </c>
      <c r="J8">
        <v>12</v>
      </c>
      <c r="K8">
        <v>115</v>
      </c>
      <c r="L8">
        <f t="shared" si="4"/>
        <v>0.57499999999999996</v>
      </c>
      <c r="N8" s="5">
        <v>2007</v>
      </c>
      <c r="O8" s="6">
        <v>188</v>
      </c>
      <c r="Q8">
        <v>2005</v>
      </c>
      <c r="R8">
        <v>5</v>
      </c>
      <c r="S8">
        <v>200</v>
      </c>
      <c r="T8">
        <v>0.81632653061224492</v>
      </c>
      <c r="W8" s="5">
        <v>4</v>
      </c>
      <c r="X8" s="6">
        <v>0.71522352452647509</v>
      </c>
      <c r="Y8">
        <v>0.71522352452647509</v>
      </c>
      <c r="Z8">
        <f t="shared" si="6"/>
        <v>0.5707643391951267</v>
      </c>
      <c r="AA8">
        <f t="shared" si="7"/>
        <v>0.87658844939153058</v>
      </c>
      <c r="AB8" s="5">
        <v>5</v>
      </c>
      <c r="AC8">
        <v>0.87658844939153058</v>
      </c>
      <c r="AF8">
        <f t="shared" si="8"/>
        <v>1987</v>
      </c>
      <c r="AG8" s="6"/>
      <c r="AH8" s="4">
        <f t="shared" si="9"/>
        <v>4.9765642566318116</v>
      </c>
      <c r="AI8" s="4"/>
    </row>
    <row r="9" spans="1:36" x14ac:dyDescent="0.25">
      <c r="A9">
        <v>2004.9973333333301</v>
      </c>
      <c r="B9">
        <v>84.7457627118647</v>
      </c>
      <c r="C9">
        <f t="shared" si="0"/>
        <v>0.99733333333006158</v>
      </c>
      <c r="D9">
        <f t="shared" si="1"/>
        <v>2004</v>
      </c>
      <c r="E9">
        <f t="shared" si="2"/>
        <v>12</v>
      </c>
      <c r="F9">
        <f t="shared" si="3"/>
        <v>85</v>
      </c>
      <c r="G9" t="str">
        <f t="shared" si="5"/>
        <v/>
      </c>
      <c r="I9">
        <v>2005</v>
      </c>
      <c r="J9">
        <v>2</v>
      </c>
      <c r="K9">
        <v>85</v>
      </c>
      <c r="L9">
        <f t="shared" si="4"/>
        <v>0.34693877551020408</v>
      </c>
      <c r="N9" s="5">
        <v>2008</v>
      </c>
      <c r="O9" s="6">
        <v>272</v>
      </c>
      <c r="Q9">
        <v>2005</v>
      </c>
      <c r="R9">
        <v>6</v>
      </c>
      <c r="S9">
        <v>97</v>
      </c>
      <c r="T9">
        <v>0.39591836734693875</v>
      </c>
      <c r="W9" s="5">
        <v>5</v>
      </c>
      <c r="X9" s="6">
        <v>0.4390913227817691</v>
      </c>
      <c r="Y9">
        <v>0.4390913227817691</v>
      </c>
      <c r="Z9">
        <f t="shared" si="6"/>
        <v>0.29463213745042072</v>
      </c>
      <c r="AA9">
        <f t="shared" si="7"/>
        <v>0.45250046432960783</v>
      </c>
      <c r="AB9" s="5">
        <v>6</v>
      </c>
      <c r="AC9">
        <v>0.45250046432960783</v>
      </c>
      <c r="AF9">
        <f t="shared" si="8"/>
        <v>1988</v>
      </c>
      <c r="AG9" s="6"/>
      <c r="AH9" s="4">
        <f t="shared" si="9"/>
        <v>6.0290836208114209</v>
      </c>
      <c r="AI9" s="4"/>
    </row>
    <row r="10" spans="1:36" x14ac:dyDescent="0.25">
      <c r="A10">
        <v>2005.0951111111101</v>
      </c>
      <c r="B10">
        <v>84.7457627118647</v>
      </c>
      <c r="C10">
        <f t="shared" si="0"/>
        <v>9.5111111110099955E-2</v>
      </c>
      <c r="D10">
        <f t="shared" si="1"/>
        <v>2005</v>
      </c>
      <c r="E10">
        <f t="shared" si="2"/>
        <v>2</v>
      </c>
      <c r="F10">
        <f t="shared" si="3"/>
        <v>85</v>
      </c>
      <c r="G10">
        <f t="shared" si="5"/>
        <v>85</v>
      </c>
      <c r="I10">
        <v>2005</v>
      </c>
      <c r="J10">
        <v>3</v>
      </c>
      <c r="K10">
        <v>97</v>
      </c>
      <c r="L10">
        <f t="shared" si="4"/>
        <v>0.39591836734693875</v>
      </c>
      <c r="N10" s="5">
        <v>2009</v>
      </c>
      <c r="O10" s="6">
        <v>375</v>
      </c>
      <c r="Q10">
        <v>2005</v>
      </c>
      <c r="R10">
        <v>8</v>
      </c>
      <c r="S10">
        <v>166</v>
      </c>
      <c r="T10">
        <v>0.67755102040816328</v>
      </c>
      <c r="W10" s="5">
        <v>6</v>
      </c>
      <c r="X10" s="6">
        <v>0.18618236161715049</v>
      </c>
      <c r="Y10">
        <v>0.18618236161715049</v>
      </c>
      <c r="Z10">
        <f t="shared" si="6"/>
        <v>4.1723176285802133E-2</v>
      </c>
      <c r="AA10">
        <f t="shared" si="7"/>
        <v>6.407908114167804E-2</v>
      </c>
      <c r="AB10" s="5">
        <v>7</v>
      </c>
      <c r="AC10">
        <v>6.407908114167804E-2</v>
      </c>
      <c r="AF10">
        <f t="shared" si="8"/>
        <v>1989</v>
      </c>
      <c r="AG10" s="6"/>
      <c r="AH10" s="4">
        <f t="shared" si="9"/>
        <v>7.3042057596857983</v>
      </c>
      <c r="AI10" s="4"/>
    </row>
    <row r="11" spans="1:36" x14ac:dyDescent="0.25">
      <c r="A11">
        <v>2005.17333333333</v>
      </c>
      <c r="B11">
        <v>96.852300242130696</v>
      </c>
      <c r="C11">
        <f t="shared" si="0"/>
        <v>0.17333333332999246</v>
      </c>
      <c r="D11">
        <f t="shared" si="1"/>
        <v>2005</v>
      </c>
      <c r="E11">
        <f t="shared" si="2"/>
        <v>3</v>
      </c>
      <c r="F11">
        <f t="shared" si="3"/>
        <v>97</v>
      </c>
      <c r="G11">
        <f t="shared" si="5"/>
        <v>97</v>
      </c>
      <c r="I11">
        <v>2005</v>
      </c>
      <c r="J11">
        <v>4</v>
      </c>
      <c r="K11">
        <v>121</v>
      </c>
      <c r="L11">
        <f t="shared" si="4"/>
        <v>0.49387755102040815</v>
      </c>
      <c r="N11" s="5">
        <v>2010</v>
      </c>
      <c r="O11" s="6">
        <v>357</v>
      </c>
      <c r="Q11">
        <v>2005</v>
      </c>
      <c r="R11">
        <v>9</v>
      </c>
      <c r="S11">
        <v>245</v>
      </c>
      <c r="T11">
        <v>1</v>
      </c>
      <c r="W11" s="5">
        <v>7</v>
      </c>
      <c r="X11" s="6">
        <v>0.14445918533134836</v>
      </c>
      <c r="Y11">
        <v>0.14445918533134836</v>
      </c>
      <c r="Z11">
        <f t="shared" si="6"/>
        <v>0</v>
      </c>
      <c r="AA11">
        <f t="shared" si="7"/>
        <v>0</v>
      </c>
      <c r="AB11" s="5">
        <v>8</v>
      </c>
      <c r="AC11">
        <v>0</v>
      </c>
      <c r="AF11">
        <f t="shared" si="8"/>
        <v>1990</v>
      </c>
      <c r="AG11" s="6"/>
      <c r="AH11" s="4">
        <f t="shared" si="9"/>
        <v>8.8490100876469384</v>
      </c>
      <c r="AI11" s="4"/>
    </row>
    <row r="12" spans="1:36" x14ac:dyDescent="0.25">
      <c r="A12">
        <v>2005.2515555555501</v>
      </c>
      <c r="B12">
        <v>121.065375302663</v>
      </c>
      <c r="C12">
        <f t="shared" si="0"/>
        <v>0.25155555555011233</v>
      </c>
      <c r="D12">
        <f t="shared" si="1"/>
        <v>2005</v>
      </c>
      <c r="E12">
        <f t="shared" si="2"/>
        <v>4</v>
      </c>
      <c r="F12">
        <f t="shared" si="3"/>
        <v>121</v>
      </c>
      <c r="G12">
        <f t="shared" si="5"/>
        <v>121</v>
      </c>
      <c r="I12">
        <v>2005</v>
      </c>
      <c r="J12">
        <v>5</v>
      </c>
      <c r="K12">
        <v>200</v>
      </c>
      <c r="L12">
        <f t="shared" si="4"/>
        <v>0.81632653061224492</v>
      </c>
      <c r="N12" s="5">
        <v>2011</v>
      </c>
      <c r="O12" s="6">
        <v>303</v>
      </c>
      <c r="Q12">
        <v>2005</v>
      </c>
      <c r="R12">
        <v>10</v>
      </c>
      <c r="S12">
        <v>176</v>
      </c>
      <c r="T12">
        <v>0.71836734693877546</v>
      </c>
      <c r="W12" s="5">
        <v>8</v>
      </c>
      <c r="X12" s="6">
        <v>0.79557926293596815</v>
      </c>
      <c r="Y12">
        <v>0.79557926293596815</v>
      </c>
      <c r="Z12">
        <f t="shared" si="6"/>
        <v>0.65112007760461976</v>
      </c>
      <c r="AA12">
        <f t="shared" si="7"/>
        <v>1</v>
      </c>
      <c r="AB12" s="5">
        <v>9</v>
      </c>
      <c r="AC12">
        <v>1</v>
      </c>
      <c r="AF12">
        <f t="shared" si="8"/>
        <v>1991</v>
      </c>
      <c r="AG12" s="6"/>
      <c r="AH12" s="4">
        <f t="shared" si="9"/>
        <v>10.720533088411475</v>
      </c>
      <c r="AI12" s="4"/>
    </row>
    <row r="13" spans="1:36" x14ac:dyDescent="0.25">
      <c r="A13">
        <v>2005.3395555555501</v>
      </c>
      <c r="B13">
        <v>199.75786924939399</v>
      </c>
      <c r="C13">
        <f t="shared" si="0"/>
        <v>0.33955555555007777</v>
      </c>
      <c r="D13">
        <f t="shared" si="1"/>
        <v>2005</v>
      </c>
      <c r="E13">
        <f t="shared" si="2"/>
        <v>5</v>
      </c>
      <c r="F13">
        <f t="shared" si="3"/>
        <v>200</v>
      </c>
      <c r="G13">
        <f t="shared" si="5"/>
        <v>200</v>
      </c>
      <c r="I13">
        <v>2005</v>
      </c>
      <c r="J13">
        <v>6</v>
      </c>
      <c r="K13">
        <v>97</v>
      </c>
      <c r="L13">
        <f t="shared" si="4"/>
        <v>0.39591836734693875</v>
      </c>
      <c r="N13" s="5">
        <v>2012</v>
      </c>
      <c r="O13" s="6">
        <v>242</v>
      </c>
      <c r="Q13">
        <v>2005</v>
      </c>
      <c r="R13">
        <v>11</v>
      </c>
      <c r="S13">
        <v>100</v>
      </c>
      <c r="T13">
        <v>0.40816326530612246</v>
      </c>
      <c r="W13" s="5">
        <v>9</v>
      </c>
      <c r="X13" s="6">
        <v>0.77213594539826103</v>
      </c>
      <c r="Y13">
        <v>0.77213594539826103</v>
      </c>
      <c r="Z13">
        <f t="shared" si="6"/>
        <v>0.62767676006691264</v>
      </c>
      <c r="AA13">
        <f t="shared" si="7"/>
        <v>0.96399540062725164</v>
      </c>
      <c r="AB13" s="5">
        <v>10</v>
      </c>
      <c r="AC13">
        <v>0.96399540062725164</v>
      </c>
      <c r="AF13">
        <f t="shared" si="8"/>
        <v>1992</v>
      </c>
      <c r="AG13" s="6"/>
      <c r="AH13" s="4">
        <f t="shared" si="9"/>
        <v>12.987874187211663</v>
      </c>
      <c r="AI13" s="4"/>
    </row>
    <row r="14" spans="1:36" x14ac:dyDescent="0.25">
      <c r="A14">
        <v>2005.41777777777</v>
      </c>
      <c r="B14">
        <v>96.852300242130696</v>
      </c>
      <c r="C14">
        <f t="shared" si="0"/>
        <v>0.41777777776997027</v>
      </c>
      <c r="D14">
        <f t="shared" si="1"/>
        <v>2005</v>
      </c>
      <c r="E14">
        <f t="shared" si="2"/>
        <v>6</v>
      </c>
      <c r="F14">
        <f t="shared" si="3"/>
        <v>97</v>
      </c>
      <c r="G14">
        <f t="shared" si="5"/>
        <v>97</v>
      </c>
      <c r="I14">
        <v>2005</v>
      </c>
      <c r="J14">
        <v>8</v>
      </c>
      <c r="K14">
        <v>166</v>
      </c>
      <c r="L14">
        <f t="shared" si="4"/>
        <v>0.67755102040816328</v>
      </c>
      <c r="N14" s="5">
        <v>2013</v>
      </c>
      <c r="O14" s="6">
        <v>738</v>
      </c>
      <c r="Q14">
        <v>2005</v>
      </c>
      <c r="R14">
        <v>12</v>
      </c>
      <c r="S14">
        <v>39</v>
      </c>
      <c r="T14">
        <v>0.15918367346938775</v>
      </c>
      <c r="W14" s="5">
        <v>10</v>
      </c>
      <c r="X14" s="6">
        <v>0.62324747984465001</v>
      </c>
      <c r="Y14">
        <v>0.62324747984465001</v>
      </c>
      <c r="Z14">
        <f t="shared" si="6"/>
        <v>0.47878829451330163</v>
      </c>
      <c r="AA14">
        <f t="shared" si="7"/>
        <v>0.73533025778393624</v>
      </c>
      <c r="AB14" s="5">
        <v>11</v>
      </c>
      <c r="AC14">
        <v>0.73533025778393624</v>
      </c>
      <c r="AF14">
        <f t="shared" si="8"/>
        <v>1993</v>
      </c>
      <c r="AG14" s="6"/>
      <c r="AH14" s="4">
        <f t="shared" si="9"/>
        <v>15.734747004809071</v>
      </c>
      <c r="AI14" s="4"/>
    </row>
    <row r="15" spans="1:36" x14ac:dyDescent="0.25">
      <c r="A15">
        <v>2005.5839999999901</v>
      </c>
      <c r="B15">
        <v>166.46489104116199</v>
      </c>
      <c r="C15">
        <f t="shared" si="0"/>
        <v>0.58399999999005558</v>
      </c>
      <c r="D15">
        <f t="shared" si="1"/>
        <v>2005</v>
      </c>
      <c r="E15">
        <f t="shared" si="2"/>
        <v>8</v>
      </c>
      <c r="F15">
        <f t="shared" si="3"/>
        <v>166</v>
      </c>
      <c r="G15">
        <f t="shared" si="5"/>
        <v>166</v>
      </c>
      <c r="I15">
        <v>2005</v>
      </c>
      <c r="J15">
        <v>9</v>
      </c>
      <c r="K15">
        <v>245</v>
      </c>
      <c r="L15">
        <f t="shared" si="4"/>
        <v>1</v>
      </c>
      <c r="N15" s="5">
        <v>2014</v>
      </c>
      <c r="O15" s="6">
        <v>1426</v>
      </c>
      <c r="Q15">
        <v>2006</v>
      </c>
      <c r="R15">
        <v>1</v>
      </c>
      <c r="S15">
        <v>48</v>
      </c>
      <c r="T15">
        <v>0.35294117647058826</v>
      </c>
      <c r="W15" s="5">
        <v>11</v>
      </c>
      <c r="X15" s="6">
        <v>0.47062318159618005</v>
      </c>
      <c r="Y15">
        <v>0.47062318159618005</v>
      </c>
      <c r="Z15">
        <f t="shared" si="6"/>
        <v>0.32616399626483172</v>
      </c>
      <c r="AA15">
        <f t="shared" si="7"/>
        <v>0.5009275669470119</v>
      </c>
      <c r="AB15" s="5">
        <v>12</v>
      </c>
      <c r="AC15">
        <v>0.5009275669470119</v>
      </c>
      <c r="AF15">
        <f t="shared" si="8"/>
        <v>1994</v>
      </c>
      <c r="AG15" s="6"/>
      <c r="AH15" s="4">
        <f t="shared" si="9"/>
        <v>19.062570189440748</v>
      </c>
      <c r="AI15" s="4"/>
    </row>
    <row r="16" spans="1:36" x14ac:dyDescent="0.25">
      <c r="A16">
        <v>2005.672</v>
      </c>
      <c r="B16">
        <v>245.15738498789301</v>
      </c>
      <c r="C16">
        <f t="shared" si="0"/>
        <v>0.67200000000002547</v>
      </c>
      <c r="D16">
        <f t="shared" si="1"/>
        <v>2005</v>
      </c>
      <c r="E16">
        <f t="shared" si="2"/>
        <v>9</v>
      </c>
      <c r="F16">
        <f t="shared" si="3"/>
        <v>245</v>
      </c>
      <c r="G16">
        <f t="shared" si="5"/>
        <v>245</v>
      </c>
      <c r="I16">
        <v>2005</v>
      </c>
      <c r="J16">
        <v>10</v>
      </c>
      <c r="K16">
        <v>176</v>
      </c>
      <c r="L16">
        <f t="shared" si="4"/>
        <v>0.71836734693877546</v>
      </c>
      <c r="N16" s="5">
        <v>2015</v>
      </c>
      <c r="O16" s="6">
        <v>2058</v>
      </c>
      <c r="Q16">
        <v>2006</v>
      </c>
      <c r="R16">
        <v>2</v>
      </c>
      <c r="S16">
        <v>61</v>
      </c>
      <c r="T16">
        <v>0.4485294117647059</v>
      </c>
      <c r="W16" s="5">
        <v>12</v>
      </c>
      <c r="X16" s="6">
        <v>0.23937069016734719</v>
      </c>
      <c r="Y16">
        <v>0.23937069016734719</v>
      </c>
      <c r="Z16">
        <f t="shared" si="6"/>
        <v>9.4911504835998833E-2</v>
      </c>
      <c r="AA16">
        <f t="shared" si="7"/>
        <v>0.14576651542548813</v>
      </c>
      <c r="AB16" s="5">
        <v>1</v>
      </c>
      <c r="AC16">
        <v>0.14576651542548813</v>
      </c>
      <c r="AF16">
        <f t="shared" si="8"/>
        <v>1995</v>
      </c>
      <c r="AG16" s="6"/>
      <c r="AH16" s="4">
        <f t="shared" si="9"/>
        <v>23.094211944830978</v>
      </c>
      <c r="AI16" s="4">
        <f>AH16</f>
        <v>23.094211944830978</v>
      </c>
    </row>
    <row r="17" spans="1:36" x14ac:dyDescent="0.25">
      <c r="A17">
        <v>2005.7502222222199</v>
      </c>
      <c r="B17">
        <v>175.544794188861</v>
      </c>
      <c r="C17">
        <f t="shared" si="0"/>
        <v>0.75022222221991797</v>
      </c>
      <c r="D17">
        <f t="shared" si="1"/>
        <v>2005</v>
      </c>
      <c r="E17">
        <f t="shared" si="2"/>
        <v>10</v>
      </c>
      <c r="F17">
        <f t="shared" si="3"/>
        <v>176</v>
      </c>
      <c r="G17">
        <f t="shared" si="5"/>
        <v>176</v>
      </c>
      <c r="I17">
        <v>2005</v>
      </c>
      <c r="J17">
        <v>11</v>
      </c>
      <c r="K17">
        <v>100</v>
      </c>
      <c r="L17">
        <f t="shared" si="4"/>
        <v>0.40816326530612246</v>
      </c>
      <c r="N17" s="5" t="s">
        <v>71</v>
      </c>
      <c r="O17" s="6">
        <v>2058</v>
      </c>
      <c r="Q17">
        <v>2006</v>
      </c>
      <c r="R17">
        <v>3</v>
      </c>
      <c r="S17">
        <v>48</v>
      </c>
      <c r="T17">
        <v>0.35294117647058826</v>
      </c>
      <c r="W17" s="5" t="s">
        <v>71</v>
      </c>
      <c r="X17" s="6">
        <v>0.45960407056701358</v>
      </c>
      <c r="AF17">
        <f t="shared" si="8"/>
        <v>1996</v>
      </c>
      <c r="AH17" s="4">
        <f t="shared" si="9"/>
        <v>27.978526507837127</v>
      </c>
      <c r="AI17" s="4">
        <f t="shared" ref="AI17:AI24" si="10">AH17</f>
        <v>27.978526507837127</v>
      </c>
    </row>
    <row r="18" spans="1:36" x14ac:dyDescent="0.25">
      <c r="A18">
        <v>2005.848</v>
      </c>
      <c r="B18">
        <v>99.878934624697195</v>
      </c>
      <c r="C18">
        <f t="shared" si="0"/>
        <v>0.84799999999995634</v>
      </c>
      <c r="D18">
        <f t="shared" si="1"/>
        <v>2005</v>
      </c>
      <c r="E18">
        <f t="shared" si="2"/>
        <v>11</v>
      </c>
      <c r="F18">
        <f t="shared" si="3"/>
        <v>100</v>
      </c>
      <c r="G18">
        <f t="shared" si="5"/>
        <v>100</v>
      </c>
      <c r="I18">
        <v>2005</v>
      </c>
      <c r="J18">
        <v>12</v>
      </c>
      <c r="K18">
        <v>39</v>
      </c>
      <c r="L18">
        <f t="shared" si="4"/>
        <v>0.15918367346938775</v>
      </c>
      <c r="Q18">
        <v>2006</v>
      </c>
      <c r="R18">
        <v>4</v>
      </c>
      <c r="S18">
        <v>85</v>
      </c>
      <c r="T18">
        <v>0.625</v>
      </c>
      <c r="AF18">
        <f t="shared" si="8"/>
        <v>1997</v>
      </c>
      <c r="AH18" s="4">
        <f t="shared" si="9"/>
        <v>33.895850069261755</v>
      </c>
      <c r="AI18" s="4">
        <f t="shared" si="10"/>
        <v>33.895850069261755</v>
      </c>
    </row>
    <row r="19" spans="1:36" x14ac:dyDescent="0.25">
      <c r="A19">
        <v>2005.9262222222201</v>
      </c>
      <c r="B19">
        <v>39.346246973365801</v>
      </c>
      <c r="C19">
        <f t="shared" si="0"/>
        <v>0.92622222222007622</v>
      </c>
      <c r="D19">
        <f t="shared" si="1"/>
        <v>2005</v>
      </c>
      <c r="E19">
        <f t="shared" si="2"/>
        <v>12</v>
      </c>
      <c r="F19">
        <f t="shared" si="3"/>
        <v>39</v>
      </c>
      <c r="G19">
        <f t="shared" si="5"/>
        <v>39</v>
      </c>
      <c r="I19">
        <v>2006</v>
      </c>
      <c r="J19">
        <v>1</v>
      </c>
      <c r="K19">
        <v>48</v>
      </c>
      <c r="L19">
        <f t="shared" si="4"/>
        <v>0.35294117647058826</v>
      </c>
      <c r="Q19">
        <v>2006</v>
      </c>
      <c r="R19">
        <v>5</v>
      </c>
      <c r="S19">
        <v>61</v>
      </c>
      <c r="T19">
        <v>0.4485294117647059</v>
      </c>
      <c r="AF19">
        <f t="shared" si="8"/>
        <v>1998</v>
      </c>
      <c r="AH19" s="4">
        <f t="shared" si="9"/>
        <v>41.06465905543822</v>
      </c>
      <c r="AI19" s="4">
        <f t="shared" si="10"/>
        <v>41.06465905543822</v>
      </c>
    </row>
    <row r="20" spans="1:36" x14ac:dyDescent="0.25">
      <c r="A20">
        <v>2006.01422222222</v>
      </c>
      <c r="B20">
        <v>48.426150121065298</v>
      </c>
      <c r="C20">
        <f t="shared" si="0"/>
        <v>1.4222222220041658E-2</v>
      </c>
      <c r="D20">
        <f t="shared" si="1"/>
        <v>2006</v>
      </c>
      <c r="E20">
        <f t="shared" si="2"/>
        <v>1</v>
      </c>
      <c r="F20">
        <f t="shared" si="3"/>
        <v>48</v>
      </c>
      <c r="G20">
        <f t="shared" si="5"/>
        <v>48</v>
      </c>
      <c r="I20">
        <v>2006</v>
      </c>
      <c r="J20">
        <v>2</v>
      </c>
      <c r="K20">
        <v>61</v>
      </c>
      <c r="L20">
        <f t="shared" si="4"/>
        <v>0.4485294117647059</v>
      </c>
      <c r="Q20">
        <v>2006</v>
      </c>
      <c r="R20">
        <v>7</v>
      </c>
      <c r="S20">
        <v>0</v>
      </c>
      <c r="T20">
        <v>0</v>
      </c>
      <c r="AF20">
        <f t="shared" si="8"/>
        <v>1999</v>
      </c>
      <c r="AH20" s="4">
        <f t="shared" si="9"/>
        <v>49.749636604293364</v>
      </c>
      <c r="AI20" s="4">
        <f t="shared" si="10"/>
        <v>49.749636604293364</v>
      </c>
    </row>
    <row r="21" spans="1:36" x14ac:dyDescent="0.25">
      <c r="A21">
        <v>2006.0924444444399</v>
      </c>
      <c r="B21">
        <v>60.532687651331798</v>
      </c>
      <c r="C21">
        <f t="shared" si="0"/>
        <v>9.2444444439934159E-2</v>
      </c>
      <c r="D21">
        <f t="shared" si="1"/>
        <v>2006</v>
      </c>
      <c r="E21">
        <f t="shared" si="2"/>
        <v>2</v>
      </c>
      <c r="F21">
        <f t="shared" si="3"/>
        <v>61</v>
      </c>
      <c r="G21">
        <f t="shared" si="5"/>
        <v>61</v>
      </c>
      <c r="I21">
        <v>2006</v>
      </c>
      <c r="J21">
        <v>3</v>
      </c>
      <c r="K21">
        <v>48</v>
      </c>
      <c r="L21">
        <f t="shared" si="4"/>
        <v>0.35294117647058826</v>
      </c>
      <c r="Q21">
        <v>2006</v>
      </c>
      <c r="R21">
        <v>8</v>
      </c>
      <c r="S21">
        <v>112</v>
      </c>
      <c r="T21">
        <v>0.82352941176470584</v>
      </c>
      <c r="AF21">
        <f t="shared" si="8"/>
        <v>2000</v>
      </c>
      <c r="AH21" s="4">
        <f t="shared" si="9"/>
        <v>60.271445062234768</v>
      </c>
      <c r="AI21" s="4">
        <f t="shared" si="10"/>
        <v>60.271445062234768</v>
      </c>
    </row>
    <row r="22" spans="1:36" x14ac:dyDescent="0.25">
      <c r="A22">
        <v>2006.1706666666601</v>
      </c>
      <c r="B22">
        <v>48.426150121065298</v>
      </c>
      <c r="C22">
        <f t="shared" si="0"/>
        <v>0.17066666666005403</v>
      </c>
      <c r="D22">
        <f t="shared" si="1"/>
        <v>2006</v>
      </c>
      <c r="E22">
        <f t="shared" si="2"/>
        <v>3</v>
      </c>
      <c r="F22">
        <f t="shared" si="3"/>
        <v>48</v>
      </c>
      <c r="G22">
        <f t="shared" si="5"/>
        <v>48</v>
      </c>
      <c r="I22">
        <v>2006</v>
      </c>
      <c r="J22">
        <v>4</v>
      </c>
      <c r="K22">
        <v>85</v>
      </c>
      <c r="L22">
        <f t="shared" si="4"/>
        <v>0.625</v>
      </c>
      <c r="Q22">
        <v>2006</v>
      </c>
      <c r="R22">
        <v>10</v>
      </c>
      <c r="S22">
        <v>136</v>
      </c>
      <c r="T22">
        <v>1</v>
      </c>
      <c r="AF22">
        <f t="shared" si="8"/>
        <v>2001</v>
      </c>
      <c r="AH22" s="4">
        <f t="shared" si="9"/>
        <v>73.018565317047731</v>
      </c>
      <c r="AI22" s="4">
        <f t="shared" si="10"/>
        <v>73.018565317047731</v>
      </c>
    </row>
    <row r="23" spans="1:36" x14ac:dyDescent="0.25">
      <c r="A23">
        <v>2006.25866666666</v>
      </c>
      <c r="B23">
        <v>84.7457627118647</v>
      </c>
      <c r="C23">
        <f t="shared" si="0"/>
        <v>0.25866666666001947</v>
      </c>
      <c r="D23">
        <f t="shared" si="1"/>
        <v>2006</v>
      </c>
      <c r="E23">
        <f t="shared" si="2"/>
        <v>4</v>
      </c>
      <c r="F23">
        <f t="shared" si="3"/>
        <v>85</v>
      </c>
      <c r="G23">
        <f t="shared" si="5"/>
        <v>103</v>
      </c>
      <c r="I23">
        <v>2006</v>
      </c>
      <c r="J23">
        <v>5</v>
      </c>
      <c r="K23">
        <v>61</v>
      </c>
      <c r="L23">
        <f t="shared" si="4"/>
        <v>0.4485294117647059</v>
      </c>
      <c r="Q23">
        <v>2006</v>
      </c>
      <c r="R23">
        <v>11</v>
      </c>
      <c r="S23">
        <v>94</v>
      </c>
      <c r="T23">
        <v>0.69117647058823528</v>
      </c>
      <c r="AF23">
        <f t="shared" si="8"/>
        <v>2002</v>
      </c>
      <c r="AH23" s="4">
        <f t="shared" si="9"/>
        <v>88.461640092660403</v>
      </c>
      <c r="AI23" s="4">
        <f t="shared" si="10"/>
        <v>88.461640092660403</v>
      </c>
    </row>
    <row r="24" spans="1:36" x14ac:dyDescent="0.25">
      <c r="A24">
        <v>2006.3271111111101</v>
      </c>
      <c r="B24">
        <v>102.90556900726401</v>
      </c>
      <c r="C24">
        <f t="shared" si="0"/>
        <v>0.32711111111007085</v>
      </c>
      <c r="D24">
        <f t="shared" si="1"/>
        <v>2006</v>
      </c>
      <c r="E24">
        <f t="shared" si="2"/>
        <v>4</v>
      </c>
      <c r="F24">
        <f t="shared" si="3"/>
        <v>103</v>
      </c>
      <c r="G24" t="str">
        <f t="shared" si="5"/>
        <v/>
      </c>
      <c r="I24">
        <v>2006</v>
      </c>
      <c r="J24">
        <v>7</v>
      </c>
      <c r="K24">
        <v>0</v>
      </c>
      <c r="L24">
        <f t="shared" si="4"/>
        <v>0</v>
      </c>
      <c r="Q24">
        <v>2007</v>
      </c>
      <c r="R24">
        <v>1</v>
      </c>
      <c r="S24">
        <v>45</v>
      </c>
      <c r="T24">
        <v>0.23936170212765959</v>
      </c>
      <c r="AF24">
        <f>AF25-1</f>
        <v>2003</v>
      </c>
      <c r="AH24" s="4">
        <f t="shared" si="9"/>
        <v>107.17085078164857</v>
      </c>
      <c r="AI24" s="4">
        <f t="shared" si="10"/>
        <v>107.17085078164857</v>
      </c>
    </row>
    <row r="25" spans="1:36" x14ac:dyDescent="0.25">
      <c r="A25">
        <v>2006.41511111111</v>
      </c>
      <c r="B25">
        <v>60.532687651331798</v>
      </c>
      <c r="C25">
        <f t="shared" si="0"/>
        <v>0.41511111111003629</v>
      </c>
      <c r="D25">
        <f t="shared" si="1"/>
        <v>2006</v>
      </c>
      <c r="E25">
        <f t="shared" si="2"/>
        <v>5</v>
      </c>
      <c r="F25">
        <f t="shared" si="3"/>
        <v>61</v>
      </c>
      <c r="G25">
        <f t="shared" si="5"/>
        <v>61</v>
      </c>
      <c r="I25">
        <v>2006</v>
      </c>
      <c r="J25">
        <v>8</v>
      </c>
      <c r="K25">
        <v>112</v>
      </c>
      <c r="L25">
        <f t="shared" si="4"/>
        <v>0.82352941176470584</v>
      </c>
      <c r="Q25">
        <v>2007</v>
      </c>
      <c r="R25">
        <v>2</v>
      </c>
      <c r="S25">
        <v>73</v>
      </c>
      <c r="T25">
        <v>0.38829787234042551</v>
      </c>
      <c r="AF25" s="5">
        <v>2004</v>
      </c>
      <c r="AG25" s="6">
        <v>200</v>
      </c>
      <c r="AH25" s="4">
        <f t="shared" si="9"/>
        <v>129.83696939409714</v>
      </c>
      <c r="AI25" s="4">
        <f>AG25</f>
        <v>200</v>
      </c>
      <c r="AJ25">
        <f>(LN(AG25/AH25))^2</f>
        <v>0.18665664740389615</v>
      </c>
    </row>
    <row r="26" spans="1:36" x14ac:dyDescent="0.25">
      <c r="A26">
        <v>2006.50311111111</v>
      </c>
      <c r="B26">
        <v>0</v>
      </c>
      <c r="C26">
        <f t="shared" si="0"/>
        <v>0.50311111111000173</v>
      </c>
      <c r="D26">
        <f t="shared" si="1"/>
        <v>2006</v>
      </c>
      <c r="E26">
        <f t="shared" si="2"/>
        <v>7</v>
      </c>
      <c r="F26">
        <f t="shared" si="3"/>
        <v>0</v>
      </c>
      <c r="G26">
        <f t="shared" si="5"/>
        <v>0</v>
      </c>
      <c r="I26">
        <v>2006</v>
      </c>
      <c r="J26">
        <v>10</v>
      </c>
      <c r="K26">
        <v>136</v>
      </c>
      <c r="L26">
        <f t="shared" si="4"/>
        <v>1</v>
      </c>
      <c r="Q26">
        <v>2007</v>
      </c>
      <c r="R26">
        <v>3</v>
      </c>
      <c r="S26">
        <v>121</v>
      </c>
      <c r="T26">
        <v>0.6436170212765957</v>
      </c>
      <c r="AF26" s="5">
        <v>2005</v>
      </c>
      <c r="AG26" s="6">
        <v>245</v>
      </c>
      <c r="AH26" s="4">
        <f t="shared" si="9"/>
        <v>157.29686289222161</v>
      </c>
      <c r="AI26" s="4">
        <f t="shared" ref="AI26:AI36" si="11">AG26</f>
        <v>245</v>
      </c>
      <c r="AJ26">
        <f t="shared" ref="AJ26:AJ36" si="12">(LN(AG26/AH26))^2</f>
        <v>0.19635829812982331</v>
      </c>
    </row>
    <row r="27" spans="1:36" x14ac:dyDescent="0.25">
      <c r="A27">
        <v>2006.59111111111</v>
      </c>
      <c r="B27">
        <v>111.98547215496301</v>
      </c>
      <c r="C27">
        <f t="shared" si="0"/>
        <v>0.59111111110996717</v>
      </c>
      <c r="D27">
        <f t="shared" si="1"/>
        <v>2006</v>
      </c>
      <c r="E27">
        <f t="shared" si="2"/>
        <v>8</v>
      </c>
      <c r="F27">
        <f t="shared" si="3"/>
        <v>112</v>
      </c>
      <c r="G27">
        <f t="shared" si="5"/>
        <v>166</v>
      </c>
      <c r="I27">
        <v>2006</v>
      </c>
      <c r="J27">
        <v>11</v>
      </c>
      <c r="K27">
        <v>94</v>
      </c>
      <c r="L27">
        <f t="shared" si="4"/>
        <v>0.69117647058823528</v>
      </c>
      <c r="Q27">
        <v>2007</v>
      </c>
      <c r="R27">
        <v>5</v>
      </c>
      <c r="S27">
        <v>103</v>
      </c>
      <c r="T27">
        <v>0.5478723404255319</v>
      </c>
      <c r="AF27" s="5">
        <v>2006</v>
      </c>
      <c r="AG27" s="6">
        <v>136</v>
      </c>
      <c r="AH27" s="4">
        <f t="shared" si="9"/>
        <v>190.56439156888729</v>
      </c>
      <c r="AI27" s="4">
        <f t="shared" si="11"/>
        <v>136</v>
      </c>
      <c r="AJ27">
        <f t="shared" si="12"/>
        <v>0.11379508114889564</v>
      </c>
    </row>
    <row r="28" spans="1:36" x14ac:dyDescent="0.25">
      <c r="A28">
        <v>2006.65955555555</v>
      </c>
      <c r="B28">
        <v>166.46489104116199</v>
      </c>
      <c r="C28">
        <f t="shared" si="0"/>
        <v>0.65955555555001411</v>
      </c>
      <c r="D28">
        <f t="shared" si="1"/>
        <v>2006</v>
      </c>
      <c r="E28">
        <f t="shared" si="2"/>
        <v>8</v>
      </c>
      <c r="F28">
        <f t="shared" si="3"/>
        <v>166</v>
      </c>
      <c r="G28" t="str">
        <f t="shared" si="5"/>
        <v/>
      </c>
      <c r="I28">
        <v>2007</v>
      </c>
      <c r="J28">
        <v>1</v>
      </c>
      <c r="K28">
        <v>45</v>
      </c>
      <c r="L28">
        <f t="shared" si="4"/>
        <v>0.23936170212765959</v>
      </c>
      <c r="Q28">
        <v>2007</v>
      </c>
      <c r="R28">
        <v>7</v>
      </c>
      <c r="S28">
        <v>6</v>
      </c>
      <c r="T28">
        <v>3.1914893617021274E-2</v>
      </c>
      <c r="AF28" s="5">
        <v>2007</v>
      </c>
      <c r="AG28" s="6">
        <v>188</v>
      </c>
      <c r="AH28" s="4">
        <f t="shared" si="9"/>
        <v>230.86784228432302</v>
      </c>
      <c r="AI28" s="4">
        <f t="shared" si="11"/>
        <v>188</v>
      </c>
      <c r="AJ28">
        <f t="shared" si="12"/>
        <v>4.2190586576859201E-2</v>
      </c>
    </row>
    <row r="29" spans="1:36" x14ac:dyDescent="0.25">
      <c r="A29">
        <v>2006.8257777777701</v>
      </c>
      <c r="B29">
        <v>136.19854721549601</v>
      </c>
      <c r="C29">
        <f t="shared" si="0"/>
        <v>0.82577777777009942</v>
      </c>
      <c r="D29">
        <f t="shared" si="1"/>
        <v>2006</v>
      </c>
      <c r="E29">
        <f t="shared" si="2"/>
        <v>10</v>
      </c>
      <c r="F29">
        <f t="shared" si="3"/>
        <v>136</v>
      </c>
      <c r="G29">
        <f t="shared" si="5"/>
        <v>136</v>
      </c>
      <c r="I29">
        <v>2007</v>
      </c>
      <c r="J29">
        <v>2</v>
      </c>
      <c r="K29">
        <v>73</v>
      </c>
      <c r="L29">
        <f t="shared" si="4"/>
        <v>0.38829787234042551</v>
      </c>
      <c r="Q29">
        <v>2007</v>
      </c>
      <c r="R29">
        <v>8</v>
      </c>
      <c r="S29">
        <v>182</v>
      </c>
      <c r="T29">
        <v>0.96808510638297873</v>
      </c>
      <c r="AF29" s="5">
        <v>2008</v>
      </c>
      <c r="AG29" s="6">
        <v>272</v>
      </c>
      <c r="AH29" s="4">
        <f t="shared" si="9"/>
        <v>279.69527865205396</v>
      </c>
      <c r="AI29" s="4">
        <f t="shared" si="11"/>
        <v>272</v>
      </c>
      <c r="AJ29">
        <f t="shared" si="12"/>
        <v>7.7833487976437571E-4</v>
      </c>
    </row>
    <row r="30" spans="1:36" x14ac:dyDescent="0.25">
      <c r="A30">
        <v>2006.9137777777701</v>
      </c>
      <c r="B30">
        <v>93.825665859564197</v>
      </c>
      <c r="C30">
        <f t="shared" si="0"/>
        <v>0.91377777777006486</v>
      </c>
      <c r="D30">
        <f t="shared" si="1"/>
        <v>2006</v>
      </c>
      <c r="E30">
        <f t="shared" si="2"/>
        <v>11</v>
      </c>
      <c r="F30">
        <f t="shared" si="3"/>
        <v>94</v>
      </c>
      <c r="G30">
        <f t="shared" si="5"/>
        <v>94</v>
      </c>
      <c r="I30">
        <v>2007</v>
      </c>
      <c r="J30">
        <v>3</v>
      </c>
      <c r="K30">
        <v>121</v>
      </c>
      <c r="L30">
        <f t="shared" si="4"/>
        <v>0.6436170212765957</v>
      </c>
      <c r="Q30">
        <v>2007</v>
      </c>
      <c r="R30">
        <v>10</v>
      </c>
      <c r="S30">
        <v>188</v>
      </c>
      <c r="T30">
        <v>1</v>
      </c>
      <c r="AF30" s="5">
        <v>2009</v>
      </c>
      <c r="AG30" s="6">
        <v>375</v>
      </c>
      <c r="AH30" s="4">
        <f t="shared" si="9"/>
        <v>338.84948257067089</v>
      </c>
      <c r="AI30" s="4">
        <f t="shared" si="11"/>
        <v>375</v>
      </c>
      <c r="AJ30">
        <f t="shared" si="12"/>
        <v>1.0275881239716938E-2</v>
      </c>
    </row>
    <row r="31" spans="1:36" x14ac:dyDescent="0.25">
      <c r="A31">
        <v>2007.0213333333299</v>
      </c>
      <c r="B31">
        <v>45.399515738498302</v>
      </c>
      <c r="C31">
        <f t="shared" si="0"/>
        <v>2.13333333299488E-2</v>
      </c>
      <c r="D31">
        <f t="shared" si="1"/>
        <v>2007</v>
      </c>
      <c r="E31">
        <f t="shared" si="2"/>
        <v>1</v>
      </c>
      <c r="F31">
        <f t="shared" si="3"/>
        <v>45</v>
      </c>
      <c r="G31">
        <f t="shared" si="5"/>
        <v>45</v>
      </c>
      <c r="I31">
        <v>2007</v>
      </c>
      <c r="J31">
        <v>5</v>
      </c>
      <c r="K31">
        <v>103</v>
      </c>
      <c r="L31">
        <f t="shared" si="4"/>
        <v>0.5478723404255319</v>
      </c>
      <c r="Q31">
        <v>2007</v>
      </c>
      <c r="R31">
        <v>11</v>
      </c>
      <c r="S31">
        <v>121</v>
      </c>
      <c r="T31">
        <v>0.6436170212765957</v>
      </c>
      <c r="AF31" s="5">
        <v>2010</v>
      </c>
      <c r="AG31" s="6">
        <v>357</v>
      </c>
      <c r="AH31" s="4">
        <f t="shared" si="9"/>
        <v>410.51451562487148</v>
      </c>
      <c r="AI31" s="4">
        <f t="shared" si="11"/>
        <v>357</v>
      </c>
      <c r="AJ31">
        <f t="shared" si="12"/>
        <v>1.9509247347275369E-2</v>
      </c>
    </row>
    <row r="32" spans="1:36" x14ac:dyDescent="0.25">
      <c r="A32">
        <v>2007.14844444444</v>
      </c>
      <c r="B32">
        <v>72.639225181597794</v>
      </c>
      <c r="C32">
        <f t="shared" si="0"/>
        <v>0.14844444443997418</v>
      </c>
      <c r="D32">
        <f t="shared" si="1"/>
        <v>2007</v>
      </c>
      <c r="E32">
        <f t="shared" si="2"/>
        <v>2</v>
      </c>
      <c r="F32">
        <f t="shared" si="3"/>
        <v>73</v>
      </c>
      <c r="G32">
        <f t="shared" si="5"/>
        <v>73</v>
      </c>
      <c r="I32">
        <v>2007</v>
      </c>
      <c r="J32">
        <v>7</v>
      </c>
      <c r="K32">
        <v>6</v>
      </c>
      <c r="L32">
        <f t="shared" si="4"/>
        <v>3.1914893617021274E-2</v>
      </c>
      <c r="Q32">
        <v>2008</v>
      </c>
      <c r="R32">
        <v>1</v>
      </c>
      <c r="S32">
        <v>36</v>
      </c>
      <c r="T32">
        <v>0.13235294117647059</v>
      </c>
      <c r="AF32" s="5">
        <v>2011</v>
      </c>
      <c r="AG32" s="6">
        <v>303</v>
      </c>
      <c r="AH32" s="4">
        <f t="shared" si="9"/>
        <v>497.33635790214214</v>
      </c>
      <c r="AI32" s="4">
        <f t="shared" si="11"/>
        <v>303</v>
      </c>
      <c r="AJ32">
        <f t="shared" si="12"/>
        <v>0.24555371536743009</v>
      </c>
    </row>
    <row r="33" spans="1:36" x14ac:dyDescent="0.25">
      <c r="A33">
        <v>2007.24622222222</v>
      </c>
      <c r="B33">
        <v>121.065375302663</v>
      </c>
      <c r="C33">
        <f t="shared" si="0"/>
        <v>0.24622222222001255</v>
      </c>
      <c r="D33">
        <f t="shared" si="1"/>
        <v>2007</v>
      </c>
      <c r="E33">
        <f t="shared" si="2"/>
        <v>3</v>
      </c>
      <c r="F33">
        <f t="shared" si="3"/>
        <v>121</v>
      </c>
      <c r="G33">
        <f t="shared" si="5"/>
        <v>121</v>
      </c>
      <c r="I33">
        <v>2007</v>
      </c>
      <c r="J33">
        <v>8</v>
      </c>
      <c r="K33">
        <v>182</v>
      </c>
      <c r="L33">
        <f t="shared" si="4"/>
        <v>0.96808510638297873</v>
      </c>
      <c r="Q33">
        <v>2008</v>
      </c>
      <c r="R33">
        <v>2</v>
      </c>
      <c r="S33">
        <v>61</v>
      </c>
      <c r="T33">
        <v>0.22426470588235295</v>
      </c>
      <c r="AF33" s="5">
        <v>2012</v>
      </c>
      <c r="AG33" s="6">
        <v>242</v>
      </c>
      <c r="AH33" s="4">
        <f t="shared" si="9"/>
        <v>602.52060153066623</v>
      </c>
      <c r="AI33" s="4">
        <f t="shared" si="11"/>
        <v>242</v>
      </c>
      <c r="AJ33">
        <f t="shared" si="12"/>
        <v>0.83207989073724264</v>
      </c>
    </row>
    <row r="34" spans="1:36" x14ac:dyDescent="0.25">
      <c r="A34">
        <v>2007.34399999999</v>
      </c>
      <c r="B34">
        <v>102.90556900726401</v>
      </c>
      <c r="C34">
        <f t="shared" si="0"/>
        <v>0.34399999999004649</v>
      </c>
      <c r="D34">
        <f t="shared" si="1"/>
        <v>2007</v>
      </c>
      <c r="E34">
        <f t="shared" si="2"/>
        <v>5</v>
      </c>
      <c r="F34">
        <f t="shared" si="3"/>
        <v>103</v>
      </c>
      <c r="G34">
        <f t="shared" si="5"/>
        <v>103</v>
      </c>
      <c r="I34">
        <v>2007</v>
      </c>
      <c r="J34">
        <v>10</v>
      </c>
      <c r="K34">
        <v>188</v>
      </c>
      <c r="L34">
        <f t="shared" si="4"/>
        <v>1</v>
      </c>
      <c r="Q34">
        <v>2008</v>
      </c>
      <c r="R34">
        <v>3</v>
      </c>
      <c r="S34">
        <v>127</v>
      </c>
      <c r="T34">
        <v>0.46691176470588236</v>
      </c>
      <c r="AF34" s="5">
        <v>2013</v>
      </c>
      <c r="AG34" s="6">
        <v>738</v>
      </c>
      <c r="AH34" s="4">
        <f t="shared" si="9"/>
        <v>729.95080592983163</v>
      </c>
      <c r="AI34" s="4">
        <f t="shared" si="11"/>
        <v>738</v>
      </c>
      <c r="AJ34">
        <f t="shared" si="12"/>
        <v>1.2026811115011115E-4</v>
      </c>
    </row>
    <row r="35" spans="1:36" x14ac:dyDescent="0.25">
      <c r="A35">
        <v>2007.4124444444401</v>
      </c>
      <c r="B35">
        <v>72.639225181597794</v>
      </c>
      <c r="C35">
        <f t="shared" si="0"/>
        <v>0.41244444444009787</v>
      </c>
      <c r="D35">
        <f t="shared" si="1"/>
        <v>2007</v>
      </c>
      <c r="E35">
        <f t="shared" si="2"/>
        <v>5</v>
      </c>
      <c r="F35">
        <f t="shared" si="3"/>
        <v>73</v>
      </c>
      <c r="G35" t="str">
        <f t="shared" si="5"/>
        <v/>
      </c>
      <c r="I35">
        <v>2007</v>
      </c>
      <c r="J35">
        <v>11</v>
      </c>
      <c r="K35">
        <v>121</v>
      </c>
      <c r="L35">
        <f t="shared" si="4"/>
        <v>0.6436170212765957</v>
      </c>
      <c r="Q35">
        <v>2008</v>
      </c>
      <c r="R35">
        <v>4</v>
      </c>
      <c r="S35">
        <v>163</v>
      </c>
      <c r="T35">
        <v>0.59926470588235292</v>
      </c>
      <c r="AF35" s="5">
        <v>2014</v>
      </c>
      <c r="AG35" s="6">
        <v>1426</v>
      </c>
      <c r="AH35" s="4">
        <f t="shared" si="9"/>
        <v>884.33188462600913</v>
      </c>
      <c r="AI35" s="4">
        <f t="shared" si="11"/>
        <v>1426</v>
      </c>
      <c r="AJ35">
        <f t="shared" si="12"/>
        <v>0.22828918359989916</v>
      </c>
    </row>
    <row r="36" spans="1:36" x14ac:dyDescent="0.25">
      <c r="A36">
        <v>2007.5004444444401</v>
      </c>
      <c r="B36">
        <v>6.05326876513345</v>
      </c>
      <c r="C36">
        <f t="shared" si="0"/>
        <v>0.50044444444006331</v>
      </c>
      <c r="D36">
        <f t="shared" si="1"/>
        <v>2007</v>
      </c>
      <c r="E36">
        <f t="shared" si="2"/>
        <v>7</v>
      </c>
      <c r="F36">
        <f t="shared" si="3"/>
        <v>6</v>
      </c>
      <c r="G36">
        <f t="shared" si="5"/>
        <v>151</v>
      </c>
      <c r="I36">
        <v>2008</v>
      </c>
      <c r="J36">
        <v>1</v>
      </c>
      <c r="K36">
        <v>36</v>
      </c>
      <c r="L36">
        <f t="shared" si="4"/>
        <v>0.13235294117647059</v>
      </c>
      <c r="Q36">
        <v>2008</v>
      </c>
      <c r="R36">
        <v>6</v>
      </c>
      <c r="S36">
        <v>48</v>
      </c>
      <c r="T36">
        <v>0.17647058823529413</v>
      </c>
      <c r="AF36" s="5">
        <v>2015</v>
      </c>
      <c r="AG36" s="6">
        <v>2058</v>
      </c>
      <c r="AH36" s="4">
        <f t="shared" si="9"/>
        <v>1071.3638176890581</v>
      </c>
      <c r="AI36" s="4">
        <f t="shared" si="11"/>
        <v>2058</v>
      </c>
      <c r="AJ36">
        <f t="shared" si="12"/>
        <v>0.42615071829775902</v>
      </c>
    </row>
    <row r="37" spans="1:36" x14ac:dyDescent="0.25">
      <c r="A37">
        <v>2007.57866666666</v>
      </c>
      <c r="B37">
        <v>151.33171912832901</v>
      </c>
      <c r="C37">
        <f t="shared" si="0"/>
        <v>0.57866666665995581</v>
      </c>
      <c r="D37">
        <f t="shared" si="1"/>
        <v>2007</v>
      </c>
      <c r="E37">
        <f t="shared" si="2"/>
        <v>7</v>
      </c>
      <c r="F37">
        <f t="shared" si="3"/>
        <v>151</v>
      </c>
      <c r="G37" t="str">
        <f t="shared" si="5"/>
        <v/>
      </c>
      <c r="I37">
        <v>2008</v>
      </c>
      <c r="J37">
        <v>2</v>
      </c>
      <c r="K37">
        <v>61</v>
      </c>
      <c r="L37">
        <f t="shared" ref="L37:L68" si="13">K37/VLOOKUP(I37,year,2)</f>
        <v>0.22426470588235295</v>
      </c>
      <c r="Q37">
        <v>2008</v>
      </c>
      <c r="R37">
        <v>7</v>
      </c>
      <c r="S37">
        <v>194</v>
      </c>
      <c r="T37">
        <v>0.71323529411764708</v>
      </c>
    </row>
    <row r="38" spans="1:36" x14ac:dyDescent="0.25">
      <c r="A38">
        <v>2007.6568888888801</v>
      </c>
      <c r="B38">
        <v>181.598062953994</v>
      </c>
      <c r="C38">
        <f t="shared" si="0"/>
        <v>0.65688888888007568</v>
      </c>
      <c r="D38">
        <f t="shared" si="1"/>
        <v>2007</v>
      </c>
      <c r="E38">
        <f t="shared" si="2"/>
        <v>8</v>
      </c>
      <c r="F38">
        <f t="shared" si="3"/>
        <v>182</v>
      </c>
      <c r="G38">
        <f t="shared" si="5"/>
        <v>182</v>
      </c>
      <c r="I38">
        <v>2008</v>
      </c>
      <c r="J38">
        <v>3</v>
      </c>
      <c r="K38">
        <v>127</v>
      </c>
      <c r="L38">
        <f t="shared" si="13"/>
        <v>0.46691176470588236</v>
      </c>
      <c r="Q38">
        <v>2008</v>
      </c>
      <c r="R38">
        <v>8</v>
      </c>
      <c r="S38">
        <v>212</v>
      </c>
      <c r="T38">
        <v>0.77941176470588236</v>
      </c>
    </row>
    <row r="39" spans="1:36" x14ac:dyDescent="0.25">
      <c r="A39">
        <v>2007.7546666666599</v>
      </c>
      <c r="B39">
        <v>187.651331719128</v>
      </c>
      <c r="C39">
        <f t="shared" si="0"/>
        <v>0.75466666665988669</v>
      </c>
      <c r="D39">
        <f t="shared" si="1"/>
        <v>2007</v>
      </c>
      <c r="E39">
        <f t="shared" si="2"/>
        <v>10</v>
      </c>
      <c r="F39">
        <f t="shared" si="3"/>
        <v>188</v>
      </c>
      <c r="G39">
        <f t="shared" si="5"/>
        <v>188</v>
      </c>
      <c r="I39">
        <v>2008</v>
      </c>
      <c r="J39">
        <v>4</v>
      </c>
      <c r="K39">
        <v>163</v>
      </c>
      <c r="L39">
        <f t="shared" si="13"/>
        <v>0.59926470588235292</v>
      </c>
      <c r="Q39">
        <v>2008</v>
      </c>
      <c r="R39">
        <v>10</v>
      </c>
      <c r="S39">
        <v>203</v>
      </c>
      <c r="T39">
        <v>0.74632352941176472</v>
      </c>
    </row>
    <row r="40" spans="1:36" x14ac:dyDescent="0.25">
      <c r="A40">
        <v>2007.8524444444399</v>
      </c>
      <c r="B40">
        <v>121.065375302663</v>
      </c>
      <c r="C40">
        <f t="shared" si="0"/>
        <v>0.85244444443992506</v>
      </c>
      <c r="D40">
        <f t="shared" si="1"/>
        <v>2007</v>
      </c>
      <c r="E40">
        <f t="shared" si="2"/>
        <v>11</v>
      </c>
      <c r="F40">
        <f t="shared" si="3"/>
        <v>121</v>
      </c>
      <c r="G40">
        <f t="shared" si="5"/>
        <v>121</v>
      </c>
      <c r="I40">
        <v>2008</v>
      </c>
      <c r="J40">
        <v>6</v>
      </c>
      <c r="K40">
        <v>48</v>
      </c>
      <c r="L40">
        <f t="shared" si="13"/>
        <v>0.17647058823529413</v>
      </c>
      <c r="Q40">
        <v>2008</v>
      </c>
      <c r="R40">
        <v>11</v>
      </c>
      <c r="S40">
        <v>272</v>
      </c>
      <c r="T40">
        <v>1</v>
      </c>
    </row>
    <row r="41" spans="1:36" x14ac:dyDescent="0.25">
      <c r="A41">
        <v>2007.9111111111099</v>
      </c>
      <c r="B41">
        <v>54.4794188861988</v>
      </c>
      <c r="C41">
        <f t="shared" si="0"/>
        <v>0.9111111111099035</v>
      </c>
      <c r="D41">
        <f t="shared" si="1"/>
        <v>2007</v>
      </c>
      <c r="E41">
        <f t="shared" si="2"/>
        <v>11</v>
      </c>
      <c r="F41">
        <f t="shared" si="3"/>
        <v>54</v>
      </c>
      <c r="G41" t="str">
        <f t="shared" si="5"/>
        <v/>
      </c>
      <c r="I41">
        <v>2008</v>
      </c>
      <c r="J41">
        <v>7</v>
      </c>
      <c r="K41">
        <v>194</v>
      </c>
      <c r="L41">
        <f t="shared" si="13"/>
        <v>0.71323529411764708</v>
      </c>
      <c r="Q41">
        <v>2008</v>
      </c>
      <c r="R41">
        <v>12</v>
      </c>
      <c r="S41">
        <v>157</v>
      </c>
      <c r="T41">
        <v>0.57720588235294112</v>
      </c>
    </row>
    <row r="42" spans="1:36" x14ac:dyDescent="0.25">
      <c r="A42">
        <v>2008.0088888888799</v>
      </c>
      <c r="B42">
        <v>36.319612590798897</v>
      </c>
      <c r="C42">
        <f t="shared" si="0"/>
        <v>8.8888888799374399E-3</v>
      </c>
      <c r="D42">
        <f t="shared" si="1"/>
        <v>2008</v>
      </c>
      <c r="E42">
        <f t="shared" si="2"/>
        <v>1</v>
      </c>
      <c r="F42">
        <f t="shared" si="3"/>
        <v>36</v>
      </c>
      <c r="G42">
        <f t="shared" si="5"/>
        <v>36</v>
      </c>
      <c r="I42">
        <v>2008</v>
      </c>
      <c r="J42">
        <v>8</v>
      </c>
      <c r="K42">
        <v>212</v>
      </c>
      <c r="L42">
        <f t="shared" si="13"/>
        <v>0.77941176470588236</v>
      </c>
      <c r="Q42">
        <v>2009</v>
      </c>
      <c r="R42">
        <v>1</v>
      </c>
      <c r="S42">
        <v>30</v>
      </c>
      <c r="T42">
        <v>0.08</v>
      </c>
    </row>
    <row r="43" spans="1:36" x14ac:dyDescent="0.25">
      <c r="A43">
        <v>2008.0871111111101</v>
      </c>
      <c r="B43">
        <v>60.532687651331798</v>
      </c>
      <c r="C43">
        <f t="shared" si="0"/>
        <v>8.7111111110061756E-2</v>
      </c>
      <c r="D43">
        <f t="shared" si="1"/>
        <v>2008</v>
      </c>
      <c r="E43">
        <f t="shared" si="2"/>
        <v>2</v>
      </c>
      <c r="F43">
        <f t="shared" si="3"/>
        <v>61</v>
      </c>
      <c r="G43">
        <f t="shared" si="5"/>
        <v>67</v>
      </c>
      <c r="I43">
        <v>2008</v>
      </c>
      <c r="J43">
        <v>10</v>
      </c>
      <c r="K43">
        <v>203</v>
      </c>
      <c r="L43">
        <f t="shared" si="13"/>
        <v>0.74632352941176472</v>
      </c>
      <c r="Q43">
        <v>2009</v>
      </c>
      <c r="R43">
        <v>2</v>
      </c>
      <c r="S43">
        <v>45</v>
      </c>
      <c r="T43">
        <v>0.12</v>
      </c>
    </row>
    <row r="44" spans="1:36" x14ac:dyDescent="0.25">
      <c r="A44">
        <v>2008.16533333333</v>
      </c>
      <c r="B44">
        <v>66.585956416464796</v>
      </c>
      <c r="C44">
        <f t="shared" si="0"/>
        <v>0.16533333332995426</v>
      </c>
      <c r="D44">
        <f t="shared" si="1"/>
        <v>2008</v>
      </c>
      <c r="E44">
        <f t="shared" si="2"/>
        <v>2</v>
      </c>
      <c r="F44">
        <f t="shared" si="3"/>
        <v>67</v>
      </c>
      <c r="G44" t="str">
        <f t="shared" si="5"/>
        <v/>
      </c>
      <c r="I44">
        <v>2008</v>
      </c>
      <c r="J44">
        <v>11</v>
      </c>
      <c r="K44">
        <v>272</v>
      </c>
      <c r="L44">
        <f t="shared" si="13"/>
        <v>1</v>
      </c>
      <c r="Q44">
        <v>2009</v>
      </c>
      <c r="R44">
        <v>3</v>
      </c>
      <c r="S44">
        <v>85</v>
      </c>
      <c r="T44">
        <v>0.22666666666666666</v>
      </c>
    </row>
    <row r="45" spans="1:36" x14ac:dyDescent="0.25">
      <c r="A45">
        <v>2008.2435555555501</v>
      </c>
      <c r="B45">
        <v>127.118644067796</v>
      </c>
      <c r="C45">
        <f t="shared" si="0"/>
        <v>0.24355555555007413</v>
      </c>
      <c r="D45">
        <f t="shared" si="1"/>
        <v>2008</v>
      </c>
      <c r="E45">
        <f t="shared" si="2"/>
        <v>3</v>
      </c>
      <c r="F45">
        <f t="shared" si="3"/>
        <v>127</v>
      </c>
      <c r="G45">
        <f t="shared" si="5"/>
        <v>127</v>
      </c>
      <c r="I45">
        <v>2008</v>
      </c>
      <c r="J45">
        <v>12</v>
      </c>
      <c r="K45">
        <v>157</v>
      </c>
      <c r="L45">
        <f t="shared" si="13"/>
        <v>0.57720588235294112</v>
      </c>
      <c r="Q45">
        <v>2009</v>
      </c>
      <c r="R45">
        <v>4</v>
      </c>
      <c r="S45">
        <v>121</v>
      </c>
      <c r="T45">
        <v>0.32266666666666666</v>
      </c>
    </row>
    <row r="46" spans="1:36" x14ac:dyDescent="0.25">
      <c r="A46">
        <v>2008.32177777777</v>
      </c>
      <c r="B46">
        <v>163.43825665859501</v>
      </c>
      <c r="C46">
        <f t="shared" si="0"/>
        <v>0.32177777776996663</v>
      </c>
      <c r="D46">
        <f t="shared" si="1"/>
        <v>2008</v>
      </c>
      <c r="E46">
        <f t="shared" si="2"/>
        <v>4</v>
      </c>
      <c r="F46">
        <f t="shared" si="3"/>
        <v>163</v>
      </c>
      <c r="G46">
        <f t="shared" si="5"/>
        <v>163</v>
      </c>
      <c r="I46">
        <v>2009</v>
      </c>
      <c r="J46">
        <v>1</v>
      </c>
      <c r="K46">
        <v>30</v>
      </c>
      <c r="L46">
        <f t="shared" si="13"/>
        <v>0.08</v>
      </c>
      <c r="Q46">
        <v>2009</v>
      </c>
      <c r="R46">
        <v>5</v>
      </c>
      <c r="S46">
        <v>176</v>
      </c>
      <c r="T46">
        <v>0.46933333333333332</v>
      </c>
    </row>
    <row r="47" spans="1:36" x14ac:dyDescent="0.25">
      <c r="A47">
        <v>2008.41955555555</v>
      </c>
      <c r="B47">
        <v>48.426150121065298</v>
      </c>
      <c r="C47">
        <f t="shared" si="0"/>
        <v>0.41955555555000501</v>
      </c>
      <c r="D47">
        <f t="shared" si="1"/>
        <v>2008</v>
      </c>
      <c r="E47">
        <f t="shared" si="2"/>
        <v>6</v>
      </c>
      <c r="F47">
        <f t="shared" si="3"/>
        <v>48</v>
      </c>
      <c r="G47">
        <f t="shared" si="5"/>
        <v>48</v>
      </c>
      <c r="I47">
        <v>2009</v>
      </c>
      <c r="J47">
        <v>2</v>
      </c>
      <c r="K47">
        <v>45</v>
      </c>
      <c r="L47">
        <f t="shared" si="13"/>
        <v>0.12</v>
      </c>
      <c r="Q47">
        <v>2009</v>
      </c>
      <c r="R47">
        <v>6</v>
      </c>
      <c r="S47">
        <v>48</v>
      </c>
      <c r="T47">
        <v>0.128</v>
      </c>
    </row>
    <row r="48" spans="1:36" x14ac:dyDescent="0.25">
      <c r="A48">
        <v>2008.4977777777699</v>
      </c>
      <c r="B48">
        <v>6.0532687651329899</v>
      </c>
      <c r="C48">
        <f t="shared" si="0"/>
        <v>0.49777777776989751</v>
      </c>
      <c r="D48">
        <f t="shared" si="1"/>
        <v>2008</v>
      </c>
      <c r="E48">
        <f t="shared" si="2"/>
        <v>6</v>
      </c>
      <c r="F48">
        <f t="shared" si="3"/>
        <v>6</v>
      </c>
      <c r="G48" t="str">
        <f t="shared" si="5"/>
        <v/>
      </c>
      <c r="I48">
        <v>2009</v>
      </c>
      <c r="J48">
        <v>3</v>
      </c>
      <c r="K48">
        <v>85</v>
      </c>
      <c r="L48">
        <f t="shared" si="13"/>
        <v>0.22666666666666666</v>
      </c>
      <c r="Q48">
        <v>2009</v>
      </c>
      <c r="R48">
        <v>8</v>
      </c>
      <c r="S48">
        <v>351</v>
      </c>
      <c r="T48">
        <v>0.93600000000000005</v>
      </c>
    </row>
    <row r="49" spans="1:20" x14ac:dyDescent="0.25">
      <c r="A49">
        <v>2008.576</v>
      </c>
      <c r="B49">
        <v>193.70460048426099</v>
      </c>
      <c r="C49">
        <f t="shared" si="0"/>
        <v>0.57600000000002183</v>
      </c>
      <c r="D49">
        <f t="shared" si="1"/>
        <v>2008</v>
      </c>
      <c r="E49">
        <f t="shared" si="2"/>
        <v>7</v>
      </c>
      <c r="F49">
        <f t="shared" si="3"/>
        <v>194</v>
      </c>
      <c r="G49">
        <f t="shared" si="5"/>
        <v>194</v>
      </c>
      <c r="I49">
        <v>2009</v>
      </c>
      <c r="J49">
        <v>4</v>
      </c>
      <c r="K49">
        <v>121</v>
      </c>
      <c r="L49">
        <f t="shared" si="13"/>
        <v>0.32266666666666666</v>
      </c>
      <c r="Q49">
        <v>2009</v>
      </c>
      <c r="R49">
        <v>9</v>
      </c>
      <c r="S49">
        <v>375</v>
      </c>
      <c r="T49">
        <v>1</v>
      </c>
    </row>
    <row r="50" spans="1:20" x14ac:dyDescent="0.25">
      <c r="A50">
        <v>2008.6542222222199</v>
      </c>
      <c r="B50">
        <v>211.86440677966101</v>
      </c>
      <c r="C50">
        <f t="shared" si="0"/>
        <v>0.65422222221991433</v>
      </c>
      <c r="D50">
        <f t="shared" si="1"/>
        <v>2008</v>
      </c>
      <c r="E50">
        <f t="shared" si="2"/>
        <v>8</v>
      </c>
      <c r="F50">
        <f t="shared" si="3"/>
        <v>212</v>
      </c>
      <c r="G50">
        <f t="shared" si="5"/>
        <v>212</v>
      </c>
      <c r="I50">
        <v>2009</v>
      </c>
      <c r="J50">
        <v>5</v>
      </c>
      <c r="K50">
        <v>176</v>
      </c>
      <c r="L50">
        <f t="shared" si="13"/>
        <v>0.46933333333333332</v>
      </c>
      <c r="Q50">
        <v>2009</v>
      </c>
      <c r="R50">
        <v>10</v>
      </c>
      <c r="S50">
        <v>91</v>
      </c>
      <c r="T50">
        <v>0.24266666666666667</v>
      </c>
    </row>
    <row r="51" spans="1:20" x14ac:dyDescent="0.25">
      <c r="A51">
        <v>2008.752</v>
      </c>
      <c r="B51">
        <v>202.78450363196001</v>
      </c>
      <c r="C51">
        <f t="shared" si="0"/>
        <v>0.75199999999995271</v>
      </c>
      <c r="D51">
        <f t="shared" si="1"/>
        <v>2008</v>
      </c>
      <c r="E51">
        <f t="shared" si="2"/>
        <v>10</v>
      </c>
      <c r="F51">
        <f t="shared" si="3"/>
        <v>203</v>
      </c>
      <c r="G51">
        <f t="shared" si="5"/>
        <v>203</v>
      </c>
      <c r="I51">
        <v>2009</v>
      </c>
      <c r="J51">
        <v>6</v>
      </c>
      <c r="K51">
        <v>48</v>
      </c>
      <c r="L51">
        <f t="shared" si="13"/>
        <v>0.128</v>
      </c>
      <c r="Q51">
        <v>2009</v>
      </c>
      <c r="R51">
        <v>12</v>
      </c>
      <c r="S51">
        <v>85</v>
      </c>
      <c r="T51">
        <v>0.22666666666666666</v>
      </c>
    </row>
    <row r="52" spans="1:20" x14ac:dyDescent="0.25">
      <c r="A52">
        <v>2008.84977777777</v>
      </c>
      <c r="B52">
        <v>272.39709443099201</v>
      </c>
      <c r="C52">
        <f t="shared" si="0"/>
        <v>0.84977777776998664</v>
      </c>
      <c r="D52">
        <f t="shared" si="1"/>
        <v>2008</v>
      </c>
      <c r="E52">
        <f t="shared" si="2"/>
        <v>11</v>
      </c>
      <c r="F52">
        <f t="shared" si="3"/>
        <v>272</v>
      </c>
      <c r="G52">
        <f t="shared" si="5"/>
        <v>272</v>
      </c>
      <c r="I52">
        <v>2009</v>
      </c>
      <c r="J52">
        <v>8</v>
      </c>
      <c r="K52">
        <v>351</v>
      </c>
      <c r="L52">
        <f t="shared" si="13"/>
        <v>0.93600000000000005</v>
      </c>
      <c r="Q52">
        <v>2010</v>
      </c>
      <c r="R52">
        <v>1</v>
      </c>
      <c r="S52">
        <v>61</v>
      </c>
      <c r="T52">
        <v>0.17086834733893558</v>
      </c>
    </row>
    <row r="53" spans="1:20" x14ac:dyDescent="0.25">
      <c r="A53">
        <v>2008.93777777777</v>
      </c>
      <c r="B53">
        <v>157.38498789346201</v>
      </c>
      <c r="C53">
        <f t="shared" si="0"/>
        <v>0.93777777776995208</v>
      </c>
      <c r="D53">
        <f t="shared" si="1"/>
        <v>2008</v>
      </c>
      <c r="E53">
        <f t="shared" si="2"/>
        <v>12</v>
      </c>
      <c r="F53">
        <f t="shared" si="3"/>
        <v>157</v>
      </c>
      <c r="G53">
        <f t="shared" si="5"/>
        <v>157</v>
      </c>
      <c r="I53">
        <v>2009</v>
      </c>
      <c r="J53">
        <v>9</v>
      </c>
      <c r="K53">
        <v>375</v>
      </c>
      <c r="L53">
        <f t="shared" si="13"/>
        <v>1</v>
      </c>
      <c r="Q53">
        <v>2010</v>
      </c>
      <c r="R53">
        <v>2</v>
      </c>
      <c r="S53">
        <v>91</v>
      </c>
      <c r="T53">
        <v>0.25490196078431371</v>
      </c>
    </row>
    <row r="54" spans="1:20" x14ac:dyDescent="0.25">
      <c r="A54">
        <v>2009.00622222222</v>
      </c>
      <c r="B54">
        <v>30.266343825665899</v>
      </c>
      <c r="C54">
        <f t="shared" si="0"/>
        <v>6.2222222200034594E-3</v>
      </c>
      <c r="D54">
        <f t="shared" si="1"/>
        <v>2009</v>
      </c>
      <c r="E54">
        <f t="shared" si="2"/>
        <v>1</v>
      </c>
      <c r="F54">
        <f t="shared" si="3"/>
        <v>30</v>
      </c>
      <c r="G54">
        <f t="shared" si="5"/>
        <v>30</v>
      </c>
      <c r="I54">
        <v>2009</v>
      </c>
      <c r="J54">
        <v>10</v>
      </c>
      <c r="K54">
        <v>91</v>
      </c>
      <c r="L54">
        <f t="shared" si="13"/>
        <v>0.24266666666666667</v>
      </c>
      <c r="Q54">
        <v>2010</v>
      </c>
      <c r="R54">
        <v>3</v>
      </c>
      <c r="S54">
        <v>227</v>
      </c>
      <c r="T54">
        <v>0.63585434173669464</v>
      </c>
    </row>
    <row r="55" spans="1:20" x14ac:dyDescent="0.25">
      <c r="A55">
        <v>2009.09422222222</v>
      </c>
      <c r="B55">
        <v>45.399515738498799</v>
      </c>
      <c r="C55">
        <f t="shared" si="0"/>
        <v>9.4222222219968899E-2</v>
      </c>
      <c r="D55">
        <f t="shared" si="1"/>
        <v>2009</v>
      </c>
      <c r="E55">
        <f t="shared" si="2"/>
        <v>2</v>
      </c>
      <c r="F55">
        <f t="shared" si="3"/>
        <v>45</v>
      </c>
      <c r="G55">
        <f t="shared" si="5"/>
        <v>45</v>
      </c>
      <c r="I55">
        <v>2009</v>
      </c>
      <c r="J55">
        <v>12</v>
      </c>
      <c r="K55">
        <v>85</v>
      </c>
      <c r="L55">
        <f t="shared" si="13"/>
        <v>0.22666666666666666</v>
      </c>
      <c r="Q55">
        <v>2010</v>
      </c>
      <c r="R55">
        <v>5</v>
      </c>
      <c r="S55">
        <v>215</v>
      </c>
      <c r="T55">
        <v>0.60224089635854339</v>
      </c>
    </row>
    <row r="56" spans="1:20" x14ac:dyDescent="0.25">
      <c r="A56">
        <v>2009.1822222222199</v>
      </c>
      <c r="B56">
        <v>84.7457627118647</v>
      </c>
      <c r="C56">
        <f t="shared" si="0"/>
        <v>0.18222222221993434</v>
      </c>
      <c r="D56">
        <f t="shared" si="1"/>
        <v>2009</v>
      </c>
      <c r="E56">
        <f t="shared" si="2"/>
        <v>3</v>
      </c>
      <c r="F56">
        <f t="shared" si="3"/>
        <v>85</v>
      </c>
      <c r="G56">
        <f t="shared" si="5"/>
        <v>85</v>
      </c>
      <c r="I56">
        <v>2010</v>
      </c>
      <c r="J56">
        <v>1</v>
      </c>
      <c r="K56">
        <v>61</v>
      </c>
      <c r="L56">
        <f t="shared" si="13"/>
        <v>0.17086834733893558</v>
      </c>
      <c r="Q56">
        <v>2010</v>
      </c>
      <c r="R56">
        <v>7</v>
      </c>
      <c r="S56">
        <v>33</v>
      </c>
      <c r="T56">
        <v>9.2436974789915971E-2</v>
      </c>
    </row>
    <row r="57" spans="1:20" x14ac:dyDescent="0.25">
      <c r="A57">
        <v>2009.2604444444401</v>
      </c>
      <c r="B57">
        <v>121.065375302663</v>
      </c>
      <c r="C57">
        <f t="shared" si="0"/>
        <v>0.26044444444005421</v>
      </c>
      <c r="D57">
        <f t="shared" si="1"/>
        <v>2009</v>
      </c>
      <c r="E57">
        <f t="shared" si="2"/>
        <v>4</v>
      </c>
      <c r="F57">
        <f t="shared" si="3"/>
        <v>121</v>
      </c>
      <c r="G57">
        <f t="shared" si="5"/>
        <v>121</v>
      </c>
      <c r="I57">
        <v>2010</v>
      </c>
      <c r="J57">
        <v>2</v>
      </c>
      <c r="K57">
        <v>91</v>
      </c>
      <c r="L57">
        <f t="shared" si="13"/>
        <v>0.25490196078431371</v>
      </c>
      <c r="Q57">
        <v>2010</v>
      </c>
      <c r="R57">
        <v>8</v>
      </c>
      <c r="S57">
        <v>321</v>
      </c>
      <c r="T57">
        <v>0.89915966386554624</v>
      </c>
    </row>
    <row r="58" spans="1:20" x14ac:dyDescent="0.25">
      <c r="A58">
        <v>2009.3386666666599</v>
      </c>
      <c r="B58">
        <v>175.544794188861</v>
      </c>
      <c r="C58">
        <f t="shared" si="0"/>
        <v>0.33866666665994671</v>
      </c>
      <c r="D58">
        <f t="shared" si="1"/>
        <v>2009</v>
      </c>
      <c r="E58">
        <f t="shared" si="2"/>
        <v>5</v>
      </c>
      <c r="F58">
        <f t="shared" si="3"/>
        <v>176</v>
      </c>
      <c r="G58">
        <f t="shared" si="5"/>
        <v>176</v>
      </c>
      <c r="I58">
        <v>2010</v>
      </c>
      <c r="J58">
        <v>3</v>
      </c>
      <c r="K58">
        <v>227</v>
      </c>
      <c r="L58">
        <f t="shared" si="13"/>
        <v>0.63585434173669464</v>
      </c>
      <c r="Q58">
        <v>2010</v>
      </c>
      <c r="R58">
        <v>9</v>
      </c>
      <c r="S58">
        <v>357</v>
      </c>
      <c r="T58">
        <v>1</v>
      </c>
    </row>
    <row r="59" spans="1:20" x14ac:dyDescent="0.25">
      <c r="A59">
        <v>2009.4168888888801</v>
      </c>
      <c r="B59">
        <v>48.426150121065298</v>
      </c>
      <c r="C59">
        <f t="shared" si="0"/>
        <v>0.41688888888006659</v>
      </c>
      <c r="D59">
        <f t="shared" si="1"/>
        <v>2009</v>
      </c>
      <c r="E59">
        <f t="shared" si="2"/>
        <v>6</v>
      </c>
      <c r="F59">
        <f t="shared" si="3"/>
        <v>48</v>
      </c>
      <c r="G59">
        <f t="shared" si="5"/>
        <v>48</v>
      </c>
      <c r="I59">
        <v>2010</v>
      </c>
      <c r="J59">
        <v>5</v>
      </c>
      <c r="K59">
        <v>215</v>
      </c>
      <c r="L59">
        <f t="shared" si="13"/>
        <v>0.60224089635854339</v>
      </c>
      <c r="Q59">
        <v>2010</v>
      </c>
      <c r="R59">
        <v>10</v>
      </c>
      <c r="S59">
        <v>269</v>
      </c>
      <c r="T59">
        <v>0.75350140056022408</v>
      </c>
    </row>
    <row r="60" spans="1:20" x14ac:dyDescent="0.25">
      <c r="A60">
        <v>2009.49511111111</v>
      </c>
      <c r="B60">
        <v>36.319612590798897</v>
      </c>
      <c r="C60">
        <f t="shared" si="0"/>
        <v>0.49511111110996353</v>
      </c>
      <c r="D60">
        <f t="shared" si="1"/>
        <v>2009</v>
      </c>
      <c r="E60">
        <f t="shared" si="2"/>
        <v>6</v>
      </c>
      <c r="F60">
        <f t="shared" si="3"/>
        <v>36</v>
      </c>
      <c r="G60" t="str">
        <f t="shared" si="5"/>
        <v/>
      </c>
      <c r="I60">
        <v>2010</v>
      </c>
      <c r="J60">
        <v>7</v>
      </c>
      <c r="K60">
        <v>33</v>
      </c>
      <c r="L60">
        <f t="shared" si="13"/>
        <v>9.2436974789915971E-2</v>
      </c>
      <c r="Q60">
        <v>2010</v>
      </c>
      <c r="R60">
        <v>11</v>
      </c>
      <c r="S60">
        <v>94</v>
      </c>
      <c r="T60">
        <v>0.26330532212885155</v>
      </c>
    </row>
    <row r="61" spans="1:20" x14ac:dyDescent="0.25">
      <c r="A61">
        <v>2009.59288888888</v>
      </c>
      <c r="B61">
        <v>351.08958837772298</v>
      </c>
      <c r="C61">
        <f t="shared" si="0"/>
        <v>0.59288888887999747</v>
      </c>
      <c r="D61">
        <f t="shared" si="1"/>
        <v>2009</v>
      </c>
      <c r="E61">
        <f t="shared" si="2"/>
        <v>8</v>
      </c>
      <c r="F61">
        <f t="shared" si="3"/>
        <v>351</v>
      </c>
      <c r="G61">
        <f t="shared" si="5"/>
        <v>351</v>
      </c>
      <c r="I61">
        <v>2010</v>
      </c>
      <c r="J61">
        <v>8</v>
      </c>
      <c r="K61">
        <v>321</v>
      </c>
      <c r="L61">
        <f t="shared" si="13"/>
        <v>0.89915966386554624</v>
      </c>
      <c r="Q61">
        <v>2010</v>
      </c>
      <c r="R61">
        <v>12</v>
      </c>
      <c r="S61">
        <v>58</v>
      </c>
      <c r="T61">
        <v>0.16246498599439776</v>
      </c>
    </row>
    <row r="62" spans="1:20" x14ac:dyDescent="0.25">
      <c r="A62">
        <v>2009.6711111111099</v>
      </c>
      <c r="B62">
        <v>375.30266343825599</v>
      </c>
      <c r="C62">
        <f t="shared" si="0"/>
        <v>0.67111111110989441</v>
      </c>
      <c r="D62">
        <f t="shared" si="1"/>
        <v>2009</v>
      </c>
      <c r="E62">
        <f t="shared" si="2"/>
        <v>9</v>
      </c>
      <c r="F62">
        <f t="shared" si="3"/>
        <v>375</v>
      </c>
      <c r="G62">
        <f t="shared" si="5"/>
        <v>375</v>
      </c>
      <c r="I62">
        <v>2010</v>
      </c>
      <c r="J62">
        <v>9</v>
      </c>
      <c r="K62">
        <v>357</v>
      </c>
      <c r="L62">
        <f t="shared" si="13"/>
        <v>1</v>
      </c>
      <c r="Q62">
        <v>2011</v>
      </c>
      <c r="R62">
        <v>1</v>
      </c>
      <c r="S62">
        <v>24</v>
      </c>
      <c r="T62">
        <v>7.9207920792079209E-2</v>
      </c>
    </row>
    <row r="63" spans="1:20" x14ac:dyDescent="0.25">
      <c r="A63">
        <v>2009.74933333333</v>
      </c>
      <c r="B63">
        <v>242.13075060532699</v>
      </c>
      <c r="C63">
        <f t="shared" si="0"/>
        <v>0.74933333333001428</v>
      </c>
      <c r="D63">
        <f t="shared" si="1"/>
        <v>2009</v>
      </c>
      <c r="E63">
        <f t="shared" si="2"/>
        <v>9</v>
      </c>
      <c r="F63">
        <f t="shared" si="3"/>
        <v>242</v>
      </c>
      <c r="G63" t="str">
        <f t="shared" si="5"/>
        <v/>
      </c>
      <c r="I63">
        <v>2010</v>
      </c>
      <c r="J63">
        <v>10</v>
      </c>
      <c r="K63">
        <v>269</v>
      </c>
      <c r="L63">
        <f t="shared" si="13"/>
        <v>0.75350140056022408</v>
      </c>
      <c r="Q63">
        <v>2011</v>
      </c>
      <c r="R63">
        <v>2</v>
      </c>
      <c r="S63">
        <v>42</v>
      </c>
      <c r="T63">
        <v>0.13861386138613863</v>
      </c>
    </row>
    <row r="64" spans="1:20" x14ac:dyDescent="0.25">
      <c r="A64">
        <v>2009.8275555555499</v>
      </c>
      <c r="B64">
        <v>90.7990314769972</v>
      </c>
      <c r="C64">
        <f t="shared" si="0"/>
        <v>0.82755555554990679</v>
      </c>
      <c r="D64">
        <f t="shared" si="1"/>
        <v>2009</v>
      </c>
      <c r="E64">
        <f t="shared" si="2"/>
        <v>10</v>
      </c>
      <c r="F64">
        <f t="shared" si="3"/>
        <v>91</v>
      </c>
      <c r="G64">
        <f t="shared" si="5"/>
        <v>91</v>
      </c>
      <c r="I64">
        <v>2010</v>
      </c>
      <c r="J64">
        <v>11</v>
      </c>
      <c r="K64">
        <v>94</v>
      </c>
      <c r="L64">
        <f t="shared" si="13"/>
        <v>0.26330532212885155</v>
      </c>
      <c r="Q64">
        <v>2011</v>
      </c>
      <c r="R64">
        <v>3</v>
      </c>
      <c r="S64">
        <v>82</v>
      </c>
      <c r="T64">
        <v>0.27062706270627063</v>
      </c>
    </row>
    <row r="65" spans="1:20" x14ac:dyDescent="0.25">
      <c r="A65">
        <v>2009.9253333333299</v>
      </c>
      <c r="B65">
        <v>84.745762711864202</v>
      </c>
      <c r="C65">
        <f t="shared" si="0"/>
        <v>0.92533333332994516</v>
      </c>
      <c r="D65">
        <f t="shared" si="1"/>
        <v>2009</v>
      </c>
      <c r="E65">
        <f t="shared" si="2"/>
        <v>12</v>
      </c>
      <c r="F65">
        <f t="shared" si="3"/>
        <v>85</v>
      </c>
      <c r="G65">
        <f t="shared" si="5"/>
        <v>85</v>
      </c>
      <c r="I65">
        <v>2010</v>
      </c>
      <c r="J65">
        <v>12</v>
      </c>
      <c r="K65">
        <v>58</v>
      </c>
      <c r="L65">
        <f t="shared" si="13"/>
        <v>0.16246498599439776</v>
      </c>
      <c r="Q65">
        <v>2011</v>
      </c>
      <c r="R65">
        <v>4</v>
      </c>
      <c r="S65">
        <v>154</v>
      </c>
      <c r="T65">
        <v>0.5082508250825083</v>
      </c>
    </row>
    <row r="66" spans="1:20" x14ac:dyDescent="0.25">
      <c r="A66">
        <v>2010.0035555555501</v>
      </c>
      <c r="B66">
        <v>60.532687651331301</v>
      </c>
      <c r="C66">
        <f t="shared" si="0"/>
        <v>3.5555555500650371E-3</v>
      </c>
      <c r="D66">
        <f t="shared" si="1"/>
        <v>2010</v>
      </c>
      <c r="E66">
        <f t="shared" si="2"/>
        <v>1</v>
      </c>
      <c r="F66">
        <f t="shared" si="3"/>
        <v>61</v>
      </c>
      <c r="G66">
        <f t="shared" si="5"/>
        <v>61</v>
      </c>
      <c r="I66">
        <v>2011</v>
      </c>
      <c r="J66">
        <v>1</v>
      </c>
      <c r="K66">
        <v>24</v>
      </c>
      <c r="L66">
        <f t="shared" si="13"/>
        <v>7.9207920792079209E-2</v>
      </c>
      <c r="Q66">
        <v>2011</v>
      </c>
      <c r="R66">
        <v>5</v>
      </c>
      <c r="S66">
        <v>127</v>
      </c>
      <c r="T66">
        <v>0.41914191419141916</v>
      </c>
    </row>
    <row r="67" spans="1:20" x14ac:dyDescent="0.25">
      <c r="A67">
        <v>2010.09155555555</v>
      </c>
      <c r="B67">
        <v>90.7990314769972</v>
      </c>
      <c r="C67">
        <f t="shared" si="0"/>
        <v>9.1555555550030476E-2</v>
      </c>
      <c r="D67">
        <f t="shared" si="1"/>
        <v>2010</v>
      </c>
      <c r="E67">
        <f t="shared" si="2"/>
        <v>2</v>
      </c>
      <c r="F67">
        <f t="shared" si="3"/>
        <v>91</v>
      </c>
      <c r="G67">
        <f t="shared" si="5"/>
        <v>139</v>
      </c>
      <c r="I67">
        <v>2011</v>
      </c>
      <c r="J67">
        <v>2</v>
      </c>
      <c r="K67">
        <v>42</v>
      </c>
      <c r="L67">
        <f t="shared" si="13"/>
        <v>0.13861386138613863</v>
      </c>
      <c r="Q67">
        <v>2011</v>
      </c>
      <c r="R67">
        <v>6</v>
      </c>
      <c r="S67">
        <v>12</v>
      </c>
      <c r="T67">
        <v>3.9603960396039604E-2</v>
      </c>
    </row>
    <row r="68" spans="1:20" x14ac:dyDescent="0.25">
      <c r="A68">
        <v>2010.1599999999901</v>
      </c>
      <c r="B68">
        <v>139.22518159806199</v>
      </c>
      <c r="C68">
        <f t="shared" si="0"/>
        <v>0.15999999999007741</v>
      </c>
      <c r="D68">
        <f t="shared" si="1"/>
        <v>2010</v>
      </c>
      <c r="E68">
        <f t="shared" si="2"/>
        <v>2</v>
      </c>
      <c r="F68">
        <f t="shared" si="3"/>
        <v>139</v>
      </c>
      <c r="G68" t="str">
        <f t="shared" si="5"/>
        <v/>
      </c>
      <c r="I68">
        <v>2011</v>
      </c>
      <c r="J68">
        <v>3</v>
      </c>
      <c r="K68">
        <v>82</v>
      </c>
      <c r="L68">
        <f t="shared" si="13"/>
        <v>0.27062706270627063</v>
      </c>
      <c r="Q68">
        <v>2011</v>
      </c>
      <c r="R68">
        <v>8</v>
      </c>
      <c r="S68">
        <v>303</v>
      </c>
      <c r="T68">
        <v>1</v>
      </c>
    </row>
    <row r="69" spans="1:20" x14ac:dyDescent="0.25">
      <c r="A69">
        <v>2010.23822222222</v>
      </c>
      <c r="B69">
        <v>226.99757869249299</v>
      </c>
      <c r="C69">
        <f t="shared" ref="C69:C132" si="14">MOD(A69,1)</f>
        <v>0.23822222221997436</v>
      </c>
      <c r="D69">
        <f t="shared" ref="D69:D132" si="15">FLOOR(A69,1)</f>
        <v>2010</v>
      </c>
      <c r="E69">
        <f t="shared" ref="E69:E132" si="16">CEILING(C69*12,1)</f>
        <v>3</v>
      </c>
      <c r="F69">
        <f t="shared" ref="F69:F132" si="17">ROUND(B69,0)</f>
        <v>227</v>
      </c>
      <c r="G69">
        <f t="shared" si="5"/>
        <v>227</v>
      </c>
      <c r="I69">
        <v>2011</v>
      </c>
      <c r="J69">
        <v>4</v>
      </c>
      <c r="K69">
        <v>154</v>
      </c>
      <c r="L69">
        <f t="shared" ref="L69:L100" si="18">K69/VLOOKUP(I69,year,2)</f>
        <v>0.5082508250825083</v>
      </c>
      <c r="Q69">
        <v>2011</v>
      </c>
      <c r="R69">
        <v>10</v>
      </c>
      <c r="S69">
        <v>88</v>
      </c>
      <c r="T69">
        <v>0.29042904290429045</v>
      </c>
    </row>
    <row r="70" spans="1:20" x14ac:dyDescent="0.25">
      <c r="A70">
        <v>2010.336</v>
      </c>
      <c r="B70">
        <v>214.891041162227</v>
      </c>
      <c r="C70">
        <f t="shared" si="14"/>
        <v>0.33600000000001273</v>
      </c>
      <c r="D70">
        <f t="shared" si="15"/>
        <v>2010</v>
      </c>
      <c r="E70">
        <f t="shared" si="16"/>
        <v>5</v>
      </c>
      <c r="F70">
        <f t="shared" si="17"/>
        <v>215</v>
      </c>
      <c r="G70">
        <f t="shared" ref="G70:G133" si="19">IF(E70=E71,MAX(F70:F71),IF(E70=E69,"",F70))</f>
        <v>215</v>
      </c>
      <c r="I70">
        <v>2011</v>
      </c>
      <c r="J70">
        <v>5</v>
      </c>
      <c r="K70">
        <v>127</v>
      </c>
      <c r="L70">
        <f t="shared" si="18"/>
        <v>0.41914191419141916</v>
      </c>
      <c r="Q70">
        <v>2011</v>
      </c>
      <c r="R70">
        <v>11</v>
      </c>
      <c r="S70">
        <v>157</v>
      </c>
      <c r="T70">
        <v>0.5181518151815182</v>
      </c>
    </row>
    <row r="71" spans="1:20" x14ac:dyDescent="0.25">
      <c r="A71">
        <v>2010.4142222222199</v>
      </c>
      <c r="B71">
        <v>160.41162227602899</v>
      </c>
      <c r="C71">
        <f t="shared" si="14"/>
        <v>0.41422222221990523</v>
      </c>
      <c r="D71">
        <f t="shared" si="15"/>
        <v>2010</v>
      </c>
      <c r="E71">
        <f t="shared" si="16"/>
        <v>5</v>
      </c>
      <c r="F71">
        <f t="shared" si="17"/>
        <v>160</v>
      </c>
      <c r="G71" t="str">
        <f t="shared" si="19"/>
        <v/>
      </c>
      <c r="I71">
        <v>2011</v>
      </c>
      <c r="J71">
        <v>6</v>
      </c>
      <c r="K71">
        <v>12</v>
      </c>
      <c r="L71">
        <f t="shared" si="18"/>
        <v>3.9603960396039604E-2</v>
      </c>
      <c r="Q71">
        <v>2011</v>
      </c>
      <c r="R71">
        <v>12</v>
      </c>
      <c r="S71">
        <v>109</v>
      </c>
      <c r="T71">
        <v>0.35973597359735976</v>
      </c>
    </row>
    <row r="72" spans="1:20" x14ac:dyDescent="0.25">
      <c r="A72">
        <v>2010.5022222222201</v>
      </c>
      <c r="B72">
        <v>33.292978208231901</v>
      </c>
      <c r="C72">
        <f t="shared" si="14"/>
        <v>0.50222222222009805</v>
      </c>
      <c r="D72">
        <f t="shared" si="15"/>
        <v>2010</v>
      </c>
      <c r="E72">
        <f t="shared" si="16"/>
        <v>7</v>
      </c>
      <c r="F72">
        <f t="shared" si="17"/>
        <v>33</v>
      </c>
      <c r="G72">
        <f t="shared" si="19"/>
        <v>33</v>
      </c>
      <c r="I72">
        <v>2011</v>
      </c>
      <c r="J72">
        <v>8</v>
      </c>
      <c r="K72">
        <v>303</v>
      </c>
      <c r="L72">
        <f t="shared" si="18"/>
        <v>1</v>
      </c>
      <c r="Q72">
        <v>2012</v>
      </c>
      <c r="R72">
        <v>2</v>
      </c>
      <c r="S72">
        <v>30</v>
      </c>
      <c r="T72">
        <v>0.12396694214876033</v>
      </c>
    </row>
    <row r="73" spans="1:20" x14ac:dyDescent="0.25">
      <c r="A73">
        <v>2010.5902222222201</v>
      </c>
      <c r="B73">
        <v>320.82324455205799</v>
      </c>
      <c r="C73">
        <f t="shared" si="14"/>
        <v>0.59022222222006349</v>
      </c>
      <c r="D73">
        <f t="shared" si="15"/>
        <v>2010</v>
      </c>
      <c r="E73">
        <f t="shared" si="16"/>
        <v>8</v>
      </c>
      <c r="F73">
        <f t="shared" si="17"/>
        <v>321</v>
      </c>
      <c r="G73">
        <f t="shared" si="19"/>
        <v>321</v>
      </c>
      <c r="I73">
        <v>2011</v>
      </c>
      <c r="J73">
        <v>10</v>
      </c>
      <c r="K73">
        <v>88</v>
      </c>
      <c r="L73">
        <f t="shared" si="18"/>
        <v>0.29042904290429045</v>
      </c>
      <c r="Q73">
        <v>2012</v>
      </c>
      <c r="R73">
        <v>4</v>
      </c>
      <c r="S73">
        <v>242</v>
      </c>
      <c r="T73">
        <v>1</v>
      </c>
    </row>
    <row r="74" spans="1:20" x14ac:dyDescent="0.25">
      <c r="A74">
        <v>2010.66844444444</v>
      </c>
      <c r="B74">
        <v>357.14285714285597</v>
      </c>
      <c r="C74">
        <f t="shared" si="14"/>
        <v>0.66844444443995599</v>
      </c>
      <c r="D74">
        <f t="shared" si="15"/>
        <v>2010</v>
      </c>
      <c r="E74">
        <f t="shared" si="16"/>
        <v>9</v>
      </c>
      <c r="F74">
        <f t="shared" si="17"/>
        <v>357</v>
      </c>
      <c r="G74">
        <f t="shared" si="19"/>
        <v>357</v>
      </c>
      <c r="I74">
        <v>2011</v>
      </c>
      <c r="J74">
        <v>11</v>
      </c>
      <c r="K74">
        <v>157</v>
      </c>
      <c r="L74">
        <f t="shared" si="18"/>
        <v>0.5181518151815182</v>
      </c>
      <c r="Q74">
        <v>2012</v>
      </c>
      <c r="R74">
        <v>5</v>
      </c>
      <c r="S74">
        <v>91</v>
      </c>
      <c r="T74">
        <v>0.37603305785123969</v>
      </c>
    </row>
    <row r="75" spans="1:20" x14ac:dyDescent="0.25">
      <c r="A75">
        <v>2010.7564444444399</v>
      </c>
      <c r="B75">
        <v>269.370460048425</v>
      </c>
      <c r="C75">
        <f t="shared" si="14"/>
        <v>0.75644444443992143</v>
      </c>
      <c r="D75">
        <f t="shared" si="15"/>
        <v>2010</v>
      </c>
      <c r="E75">
        <f t="shared" si="16"/>
        <v>10</v>
      </c>
      <c r="F75">
        <f t="shared" si="17"/>
        <v>269</v>
      </c>
      <c r="G75">
        <f t="shared" si="19"/>
        <v>269</v>
      </c>
      <c r="I75">
        <v>2011</v>
      </c>
      <c r="J75">
        <v>12</v>
      </c>
      <c r="K75">
        <v>109</v>
      </c>
      <c r="L75">
        <f t="shared" si="18"/>
        <v>0.35973597359735976</v>
      </c>
      <c r="Q75">
        <v>2012</v>
      </c>
      <c r="R75">
        <v>6</v>
      </c>
      <c r="S75">
        <v>18</v>
      </c>
      <c r="T75">
        <v>7.43801652892562E-2</v>
      </c>
    </row>
    <row r="76" spans="1:20" x14ac:dyDescent="0.25">
      <c r="A76">
        <v>2010.8444444444399</v>
      </c>
      <c r="B76">
        <v>93.825665859563699</v>
      </c>
      <c r="C76">
        <f t="shared" si="14"/>
        <v>0.84444444443988687</v>
      </c>
      <c r="D76">
        <f t="shared" si="15"/>
        <v>2010</v>
      </c>
      <c r="E76">
        <f t="shared" si="16"/>
        <v>11</v>
      </c>
      <c r="F76">
        <f t="shared" si="17"/>
        <v>94</v>
      </c>
      <c r="G76">
        <f t="shared" si="19"/>
        <v>94</v>
      </c>
      <c r="I76">
        <v>2012</v>
      </c>
      <c r="J76">
        <v>2</v>
      </c>
      <c r="K76">
        <v>30</v>
      </c>
      <c r="L76">
        <f t="shared" si="18"/>
        <v>0.12396694214876033</v>
      </c>
      <c r="Q76">
        <v>2012</v>
      </c>
      <c r="R76">
        <v>8</v>
      </c>
      <c r="S76">
        <v>215</v>
      </c>
      <c r="T76">
        <v>0.88842975206611574</v>
      </c>
    </row>
    <row r="77" spans="1:20" x14ac:dyDescent="0.25">
      <c r="A77">
        <v>2010.92266666666</v>
      </c>
      <c r="B77">
        <v>57.506053268764802</v>
      </c>
      <c r="C77">
        <f t="shared" si="14"/>
        <v>0.92266666666000674</v>
      </c>
      <c r="D77">
        <f t="shared" si="15"/>
        <v>2010</v>
      </c>
      <c r="E77">
        <f t="shared" si="16"/>
        <v>12</v>
      </c>
      <c r="F77">
        <f t="shared" si="17"/>
        <v>58</v>
      </c>
      <c r="G77">
        <f t="shared" si="19"/>
        <v>58</v>
      </c>
      <c r="I77">
        <v>2012</v>
      </c>
      <c r="J77">
        <v>4</v>
      </c>
      <c r="K77">
        <v>242</v>
      </c>
      <c r="L77">
        <f t="shared" si="18"/>
        <v>1</v>
      </c>
      <c r="Q77">
        <v>2012</v>
      </c>
      <c r="R77">
        <v>9</v>
      </c>
      <c r="S77">
        <v>188</v>
      </c>
      <c r="T77">
        <v>0.77685950413223137</v>
      </c>
    </row>
    <row r="78" spans="1:20" x14ac:dyDescent="0.25">
      <c r="A78">
        <v>2011.01066666666</v>
      </c>
      <c r="B78">
        <v>24.2130750605324</v>
      </c>
      <c r="C78">
        <f t="shared" si="14"/>
        <v>1.0666666659972179E-2</v>
      </c>
      <c r="D78">
        <f t="shared" si="15"/>
        <v>2011</v>
      </c>
      <c r="E78">
        <f t="shared" si="16"/>
        <v>1</v>
      </c>
      <c r="F78">
        <f t="shared" si="17"/>
        <v>24</v>
      </c>
      <c r="G78">
        <f t="shared" si="19"/>
        <v>24</v>
      </c>
      <c r="I78">
        <v>2012</v>
      </c>
      <c r="J78">
        <v>5</v>
      </c>
      <c r="K78">
        <v>91</v>
      </c>
      <c r="L78">
        <f t="shared" si="18"/>
        <v>0.37603305785123969</v>
      </c>
      <c r="Q78">
        <v>2012</v>
      </c>
      <c r="R78">
        <v>10</v>
      </c>
      <c r="S78">
        <v>145</v>
      </c>
      <c r="T78">
        <v>0.59917355371900827</v>
      </c>
    </row>
    <row r="79" spans="1:20" x14ac:dyDescent="0.25">
      <c r="A79">
        <v>2011.0986666666599</v>
      </c>
      <c r="B79">
        <v>42.372881355931398</v>
      </c>
      <c r="C79">
        <f t="shared" si="14"/>
        <v>9.8666666659937619E-2</v>
      </c>
      <c r="D79">
        <f t="shared" si="15"/>
        <v>2011</v>
      </c>
      <c r="E79">
        <f t="shared" si="16"/>
        <v>2</v>
      </c>
      <c r="F79">
        <f t="shared" si="17"/>
        <v>42</v>
      </c>
      <c r="G79">
        <f t="shared" si="19"/>
        <v>42</v>
      </c>
      <c r="I79">
        <v>2012</v>
      </c>
      <c r="J79">
        <v>6</v>
      </c>
      <c r="K79">
        <v>18</v>
      </c>
      <c r="L79">
        <f t="shared" si="18"/>
        <v>7.43801652892562E-2</v>
      </c>
      <c r="Q79">
        <v>2012</v>
      </c>
      <c r="R79">
        <v>11</v>
      </c>
      <c r="S79">
        <v>94</v>
      </c>
      <c r="T79">
        <v>0.38842975206611569</v>
      </c>
    </row>
    <row r="80" spans="1:20" x14ac:dyDescent="0.25">
      <c r="A80">
        <v>2011.1768888888801</v>
      </c>
      <c r="B80">
        <v>81.719128329297703</v>
      </c>
      <c r="C80">
        <f t="shared" si="14"/>
        <v>0.17688888888005749</v>
      </c>
      <c r="D80">
        <f t="shared" si="15"/>
        <v>2011</v>
      </c>
      <c r="E80">
        <f t="shared" si="16"/>
        <v>3</v>
      </c>
      <c r="F80">
        <f t="shared" si="17"/>
        <v>82</v>
      </c>
      <c r="G80">
        <f t="shared" si="19"/>
        <v>82</v>
      </c>
      <c r="I80">
        <v>2012</v>
      </c>
      <c r="J80">
        <v>8</v>
      </c>
      <c r="K80">
        <v>215</v>
      </c>
      <c r="L80">
        <f t="shared" si="18"/>
        <v>0.88842975206611574</v>
      </c>
      <c r="Q80">
        <v>2012</v>
      </c>
      <c r="R80">
        <v>12</v>
      </c>
      <c r="S80">
        <v>24</v>
      </c>
      <c r="T80">
        <v>9.9173553719008267E-2</v>
      </c>
    </row>
    <row r="81" spans="1:20" x14ac:dyDescent="0.25">
      <c r="A81">
        <v>2011.25511111111</v>
      </c>
      <c r="B81">
        <v>154.358353510895</v>
      </c>
      <c r="C81">
        <f t="shared" si="14"/>
        <v>0.25511111110995444</v>
      </c>
      <c r="D81">
        <f t="shared" si="15"/>
        <v>2011</v>
      </c>
      <c r="E81">
        <f t="shared" si="16"/>
        <v>4</v>
      </c>
      <c r="F81">
        <f t="shared" si="17"/>
        <v>154</v>
      </c>
      <c r="G81">
        <f t="shared" si="19"/>
        <v>242</v>
      </c>
      <c r="I81">
        <v>2012</v>
      </c>
      <c r="J81">
        <v>9</v>
      </c>
      <c r="K81">
        <v>188</v>
      </c>
      <c r="L81">
        <f t="shared" si="18"/>
        <v>0.77685950413223137</v>
      </c>
      <c r="Q81">
        <v>2013</v>
      </c>
      <c r="R81">
        <v>1</v>
      </c>
      <c r="S81">
        <v>42</v>
      </c>
      <c r="T81">
        <v>5.6910569105691054E-2</v>
      </c>
    </row>
    <row r="82" spans="1:20" x14ac:dyDescent="0.25">
      <c r="A82">
        <v>2011.3333333333301</v>
      </c>
      <c r="B82">
        <v>242.130750605326</v>
      </c>
      <c r="C82">
        <f t="shared" si="14"/>
        <v>0.33333333333007431</v>
      </c>
      <c r="D82">
        <f t="shared" si="15"/>
        <v>2011</v>
      </c>
      <c r="E82">
        <f t="shared" si="16"/>
        <v>4</v>
      </c>
      <c r="F82">
        <f t="shared" si="17"/>
        <v>242</v>
      </c>
      <c r="G82" t="str">
        <f t="shared" si="19"/>
        <v/>
      </c>
      <c r="I82">
        <v>2012</v>
      </c>
      <c r="J82">
        <v>10</v>
      </c>
      <c r="K82">
        <v>145</v>
      </c>
      <c r="L82">
        <f t="shared" si="18"/>
        <v>0.59917355371900827</v>
      </c>
      <c r="Q82">
        <v>2013</v>
      </c>
      <c r="R82">
        <v>2</v>
      </c>
      <c r="S82">
        <v>151</v>
      </c>
      <c r="T82">
        <v>0.20460704607046071</v>
      </c>
    </row>
    <row r="83" spans="1:20" x14ac:dyDescent="0.25">
      <c r="A83">
        <v>2011.41155555555</v>
      </c>
      <c r="B83">
        <v>127.118644067796</v>
      </c>
      <c r="C83">
        <f t="shared" si="14"/>
        <v>0.41155555554996681</v>
      </c>
      <c r="D83">
        <f t="shared" si="15"/>
        <v>2011</v>
      </c>
      <c r="E83">
        <f t="shared" si="16"/>
        <v>5</v>
      </c>
      <c r="F83">
        <f t="shared" si="17"/>
        <v>127</v>
      </c>
      <c r="G83">
        <f t="shared" si="19"/>
        <v>127</v>
      </c>
      <c r="I83">
        <v>2012</v>
      </c>
      <c r="J83">
        <v>11</v>
      </c>
      <c r="K83">
        <v>94</v>
      </c>
      <c r="L83">
        <f t="shared" si="18"/>
        <v>0.38842975206611569</v>
      </c>
      <c r="Q83">
        <v>2013</v>
      </c>
      <c r="R83">
        <v>3</v>
      </c>
      <c r="S83">
        <v>738</v>
      </c>
      <c r="T83">
        <v>1</v>
      </c>
    </row>
    <row r="84" spans="1:20" x14ac:dyDescent="0.25">
      <c r="A84">
        <v>2011.4897777777701</v>
      </c>
      <c r="B84">
        <v>12.1065375302659</v>
      </c>
      <c r="C84">
        <f t="shared" si="14"/>
        <v>0.48977777777008669</v>
      </c>
      <c r="D84">
        <f t="shared" si="15"/>
        <v>2011</v>
      </c>
      <c r="E84">
        <f t="shared" si="16"/>
        <v>6</v>
      </c>
      <c r="F84">
        <f t="shared" si="17"/>
        <v>12</v>
      </c>
      <c r="G84">
        <f t="shared" si="19"/>
        <v>12</v>
      </c>
      <c r="I84">
        <v>2012</v>
      </c>
      <c r="J84">
        <v>12</v>
      </c>
      <c r="K84">
        <v>24</v>
      </c>
      <c r="L84">
        <f t="shared" si="18"/>
        <v>9.9173553719008267E-2</v>
      </c>
      <c r="Q84">
        <v>2013</v>
      </c>
      <c r="R84">
        <v>4</v>
      </c>
      <c r="S84">
        <v>720</v>
      </c>
      <c r="T84">
        <v>0.97560975609756095</v>
      </c>
    </row>
    <row r="85" spans="1:20" x14ac:dyDescent="0.25">
      <c r="A85">
        <v>2011.59733333333</v>
      </c>
      <c r="B85">
        <v>302.66343825665803</v>
      </c>
      <c r="C85">
        <f t="shared" si="14"/>
        <v>0.59733333332997063</v>
      </c>
      <c r="D85">
        <f t="shared" si="15"/>
        <v>2011</v>
      </c>
      <c r="E85">
        <f t="shared" si="16"/>
        <v>8</v>
      </c>
      <c r="F85">
        <f t="shared" si="17"/>
        <v>303</v>
      </c>
      <c r="G85">
        <f t="shared" si="19"/>
        <v>303</v>
      </c>
      <c r="I85">
        <v>2013</v>
      </c>
      <c r="J85">
        <v>1</v>
      </c>
      <c r="K85">
        <v>42</v>
      </c>
      <c r="L85">
        <f t="shared" si="18"/>
        <v>5.6910569105691054E-2</v>
      </c>
      <c r="Q85">
        <v>2013</v>
      </c>
      <c r="R85">
        <v>5</v>
      </c>
      <c r="S85">
        <v>157</v>
      </c>
      <c r="T85">
        <v>0.2127371273712737</v>
      </c>
    </row>
    <row r="86" spans="1:20" x14ac:dyDescent="0.25">
      <c r="A86">
        <v>2011.66577777777</v>
      </c>
      <c r="B86">
        <v>245.15738498789301</v>
      </c>
      <c r="C86">
        <f t="shared" si="14"/>
        <v>0.66577777777001756</v>
      </c>
      <c r="D86">
        <f t="shared" si="15"/>
        <v>2011</v>
      </c>
      <c r="E86">
        <f t="shared" si="16"/>
        <v>8</v>
      </c>
      <c r="F86">
        <f t="shared" si="17"/>
        <v>245</v>
      </c>
      <c r="G86" t="str">
        <f t="shared" si="19"/>
        <v/>
      </c>
      <c r="I86">
        <v>2013</v>
      </c>
      <c r="J86">
        <v>2</v>
      </c>
      <c r="K86">
        <v>151</v>
      </c>
      <c r="L86">
        <f t="shared" si="18"/>
        <v>0.20460704607046071</v>
      </c>
      <c r="Q86">
        <v>2013</v>
      </c>
      <c r="R86">
        <v>7</v>
      </c>
      <c r="S86">
        <v>6</v>
      </c>
      <c r="T86">
        <v>8.130081300813009E-3</v>
      </c>
    </row>
    <row r="87" spans="1:20" x14ac:dyDescent="0.25">
      <c r="A87">
        <v>2011.75377777777</v>
      </c>
      <c r="B87">
        <v>87.772397094430701</v>
      </c>
      <c r="C87">
        <f t="shared" si="14"/>
        <v>0.753777777769983</v>
      </c>
      <c r="D87">
        <f t="shared" si="15"/>
        <v>2011</v>
      </c>
      <c r="E87">
        <f t="shared" si="16"/>
        <v>10</v>
      </c>
      <c r="F87">
        <f t="shared" si="17"/>
        <v>88</v>
      </c>
      <c r="G87">
        <f t="shared" si="19"/>
        <v>88</v>
      </c>
      <c r="I87">
        <v>2013</v>
      </c>
      <c r="J87">
        <v>3</v>
      </c>
      <c r="K87">
        <v>738</v>
      </c>
      <c r="L87">
        <f t="shared" si="18"/>
        <v>1</v>
      </c>
      <c r="Q87">
        <v>2013</v>
      </c>
      <c r="R87">
        <v>9</v>
      </c>
      <c r="S87">
        <v>375</v>
      </c>
      <c r="T87">
        <v>0.50813008130081305</v>
      </c>
    </row>
    <row r="88" spans="1:20" x14ac:dyDescent="0.25">
      <c r="A88">
        <v>2011.8417777777699</v>
      </c>
      <c r="B88">
        <v>157.38498789346201</v>
      </c>
      <c r="C88">
        <f t="shared" si="14"/>
        <v>0.84177777776994844</v>
      </c>
      <c r="D88">
        <f t="shared" si="15"/>
        <v>2011</v>
      </c>
      <c r="E88">
        <f t="shared" si="16"/>
        <v>11</v>
      </c>
      <c r="F88">
        <f t="shared" si="17"/>
        <v>157</v>
      </c>
      <c r="G88">
        <f t="shared" si="19"/>
        <v>157</v>
      </c>
      <c r="I88">
        <v>2013</v>
      </c>
      <c r="J88">
        <v>4</v>
      </c>
      <c r="K88">
        <v>720</v>
      </c>
      <c r="L88">
        <f t="shared" si="18"/>
        <v>0.97560975609756095</v>
      </c>
      <c r="Q88">
        <v>2013</v>
      </c>
      <c r="R88">
        <v>11</v>
      </c>
      <c r="S88">
        <v>188</v>
      </c>
      <c r="T88">
        <v>0.25474254742547425</v>
      </c>
    </row>
    <row r="89" spans="1:20" x14ac:dyDescent="0.25">
      <c r="A89">
        <v>2011.9199999999901</v>
      </c>
      <c r="B89">
        <v>108.958837772396</v>
      </c>
      <c r="C89">
        <f t="shared" si="14"/>
        <v>0.91999999999006832</v>
      </c>
      <c r="D89">
        <f t="shared" si="15"/>
        <v>2011</v>
      </c>
      <c r="E89">
        <f t="shared" si="16"/>
        <v>12</v>
      </c>
      <c r="F89">
        <f t="shared" si="17"/>
        <v>109</v>
      </c>
      <c r="G89">
        <f t="shared" si="19"/>
        <v>109</v>
      </c>
      <c r="I89">
        <v>2013</v>
      </c>
      <c r="J89">
        <v>5</v>
      </c>
      <c r="K89">
        <v>157</v>
      </c>
      <c r="L89">
        <f t="shared" si="18"/>
        <v>0.2127371273712737</v>
      </c>
      <c r="Q89">
        <v>2014</v>
      </c>
      <c r="R89">
        <v>1</v>
      </c>
      <c r="S89">
        <v>236</v>
      </c>
      <c r="T89">
        <v>0.16549789621318373</v>
      </c>
    </row>
    <row r="90" spans="1:20" x14ac:dyDescent="0.25">
      <c r="A90">
        <v>2011.97866666666</v>
      </c>
      <c r="B90">
        <v>21.1864406779654</v>
      </c>
      <c r="C90">
        <f t="shared" si="14"/>
        <v>0.97866666666004676</v>
      </c>
      <c r="D90">
        <f t="shared" si="15"/>
        <v>2011</v>
      </c>
      <c r="E90">
        <f t="shared" si="16"/>
        <v>12</v>
      </c>
      <c r="F90">
        <f t="shared" si="17"/>
        <v>21</v>
      </c>
      <c r="G90" t="str">
        <f t="shared" si="19"/>
        <v/>
      </c>
      <c r="I90">
        <v>2013</v>
      </c>
      <c r="J90">
        <v>7</v>
      </c>
      <c r="K90">
        <v>6</v>
      </c>
      <c r="L90">
        <f t="shared" si="18"/>
        <v>8.130081300813009E-3</v>
      </c>
      <c r="Q90">
        <v>2014</v>
      </c>
      <c r="R90">
        <v>2</v>
      </c>
      <c r="S90">
        <v>584</v>
      </c>
      <c r="T90">
        <v>0.40953716690042075</v>
      </c>
    </row>
    <row r="91" spans="1:20" x14ac:dyDescent="0.25">
      <c r="A91">
        <v>2012.096</v>
      </c>
      <c r="B91">
        <v>30.266343825665398</v>
      </c>
      <c r="C91">
        <f t="shared" si="14"/>
        <v>9.6000000000003638E-2</v>
      </c>
      <c r="D91">
        <f t="shared" si="15"/>
        <v>2012</v>
      </c>
      <c r="E91">
        <f t="shared" si="16"/>
        <v>2</v>
      </c>
      <c r="F91">
        <f t="shared" si="17"/>
        <v>30</v>
      </c>
      <c r="G91">
        <f t="shared" si="19"/>
        <v>85</v>
      </c>
      <c r="I91">
        <v>2013</v>
      </c>
      <c r="J91">
        <v>9</v>
      </c>
      <c r="K91">
        <v>375</v>
      </c>
      <c r="L91">
        <f t="shared" si="18"/>
        <v>0.50813008130081305</v>
      </c>
      <c r="Q91">
        <v>2014</v>
      </c>
      <c r="R91">
        <v>3</v>
      </c>
      <c r="S91">
        <v>1426</v>
      </c>
      <c r="T91">
        <v>1</v>
      </c>
    </row>
    <row r="92" spans="1:20" x14ac:dyDescent="0.25">
      <c r="A92">
        <v>2012.15466666666</v>
      </c>
      <c r="B92">
        <v>84.745762711864202</v>
      </c>
      <c r="C92">
        <f t="shared" si="14"/>
        <v>0.15466666665997764</v>
      </c>
      <c r="D92">
        <f t="shared" si="15"/>
        <v>2012</v>
      </c>
      <c r="E92">
        <f t="shared" si="16"/>
        <v>2</v>
      </c>
      <c r="F92">
        <f t="shared" si="17"/>
        <v>85</v>
      </c>
      <c r="G92" t="str">
        <f t="shared" si="19"/>
        <v/>
      </c>
      <c r="I92">
        <v>2013</v>
      </c>
      <c r="J92">
        <v>11</v>
      </c>
      <c r="K92">
        <v>188</v>
      </c>
      <c r="L92">
        <f t="shared" si="18"/>
        <v>0.25474254742547425</v>
      </c>
      <c r="Q92">
        <v>2014</v>
      </c>
      <c r="R92">
        <v>4</v>
      </c>
      <c r="S92">
        <v>1301</v>
      </c>
      <c r="T92">
        <v>0.91234221598877985</v>
      </c>
    </row>
    <row r="93" spans="1:20" x14ac:dyDescent="0.25">
      <c r="A93">
        <v>2012.25244444444</v>
      </c>
      <c r="B93">
        <v>242.130750605326</v>
      </c>
      <c r="C93">
        <f t="shared" si="14"/>
        <v>0.25244444444001601</v>
      </c>
      <c r="D93">
        <f t="shared" si="15"/>
        <v>2012</v>
      </c>
      <c r="E93">
        <f t="shared" si="16"/>
        <v>4</v>
      </c>
      <c r="F93">
        <f t="shared" si="17"/>
        <v>242</v>
      </c>
      <c r="G93">
        <f t="shared" si="19"/>
        <v>242</v>
      </c>
      <c r="I93">
        <v>2014</v>
      </c>
      <c r="J93">
        <v>1</v>
      </c>
      <c r="K93">
        <v>236</v>
      </c>
      <c r="L93">
        <f t="shared" si="18"/>
        <v>0.16549789621318373</v>
      </c>
      <c r="Q93">
        <v>2014</v>
      </c>
      <c r="R93">
        <v>5</v>
      </c>
      <c r="S93">
        <v>85</v>
      </c>
      <c r="T93">
        <v>5.9607293127629732E-2</v>
      </c>
    </row>
    <row r="94" spans="1:20" x14ac:dyDescent="0.25">
      <c r="A94">
        <v>2012.3306666666599</v>
      </c>
      <c r="B94">
        <v>199.75786924939399</v>
      </c>
      <c r="C94">
        <f t="shared" si="14"/>
        <v>0.33066666665990851</v>
      </c>
      <c r="D94">
        <f t="shared" si="15"/>
        <v>2012</v>
      </c>
      <c r="E94">
        <f t="shared" si="16"/>
        <v>4</v>
      </c>
      <c r="F94">
        <f t="shared" si="17"/>
        <v>200</v>
      </c>
      <c r="G94" t="str">
        <f t="shared" si="19"/>
        <v/>
      </c>
      <c r="I94">
        <v>2014</v>
      </c>
      <c r="J94">
        <v>2</v>
      </c>
      <c r="K94">
        <v>584</v>
      </c>
      <c r="L94">
        <f t="shared" si="18"/>
        <v>0.40953716690042075</v>
      </c>
      <c r="Q94">
        <v>2014</v>
      </c>
      <c r="R94">
        <v>7</v>
      </c>
      <c r="S94">
        <v>30</v>
      </c>
      <c r="T94">
        <v>2.1037868162692847E-2</v>
      </c>
    </row>
    <row r="95" spans="1:20" x14ac:dyDescent="0.25">
      <c r="A95">
        <v>2012.40888888888</v>
      </c>
      <c r="B95">
        <v>90.7990314769972</v>
      </c>
      <c r="C95">
        <f t="shared" si="14"/>
        <v>0.40888888888002839</v>
      </c>
      <c r="D95">
        <f t="shared" si="15"/>
        <v>2012</v>
      </c>
      <c r="E95">
        <f t="shared" si="16"/>
        <v>5</v>
      </c>
      <c r="F95">
        <f t="shared" si="17"/>
        <v>91</v>
      </c>
      <c r="G95">
        <f t="shared" si="19"/>
        <v>91</v>
      </c>
      <c r="I95">
        <v>2014</v>
      </c>
      <c r="J95">
        <v>3</v>
      </c>
      <c r="K95">
        <v>1426</v>
      </c>
      <c r="L95">
        <f t="shared" si="18"/>
        <v>1</v>
      </c>
      <c r="Q95">
        <v>2014</v>
      </c>
      <c r="R95">
        <v>9</v>
      </c>
      <c r="S95">
        <v>496</v>
      </c>
      <c r="T95">
        <v>0.34782608695652173</v>
      </c>
    </row>
    <row r="96" spans="1:20" x14ac:dyDescent="0.25">
      <c r="A96">
        <v>2012.4871111111099</v>
      </c>
      <c r="B96">
        <v>18.159806295398901</v>
      </c>
      <c r="C96">
        <f t="shared" si="14"/>
        <v>0.48711111110992533</v>
      </c>
      <c r="D96">
        <f t="shared" si="15"/>
        <v>2012</v>
      </c>
      <c r="E96">
        <f t="shared" si="16"/>
        <v>6</v>
      </c>
      <c r="F96">
        <f t="shared" si="17"/>
        <v>18</v>
      </c>
      <c r="G96">
        <f t="shared" si="19"/>
        <v>18</v>
      </c>
      <c r="I96">
        <v>2014</v>
      </c>
      <c r="J96">
        <v>4</v>
      </c>
      <c r="K96">
        <v>1301</v>
      </c>
      <c r="L96">
        <f t="shared" si="18"/>
        <v>0.91234221598877985</v>
      </c>
      <c r="Q96">
        <v>2014</v>
      </c>
      <c r="R96">
        <v>10</v>
      </c>
      <c r="S96">
        <v>369</v>
      </c>
      <c r="T96">
        <v>0.25876577840112203</v>
      </c>
    </row>
    <row r="97" spans="1:20" x14ac:dyDescent="0.25">
      <c r="A97">
        <v>2012.58488888888</v>
      </c>
      <c r="B97">
        <v>214.891041162227</v>
      </c>
      <c r="C97">
        <f t="shared" si="14"/>
        <v>0.58488888887995927</v>
      </c>
      <c r="D97">
        <f t="shared" si="15"/>
        <v>2012</v>
      </c>
      <c r="E97">
        <f t="shared" si="16"/>
        <v>8</v>
      </c>
      <c r="F97">
        <f t="shared" si="17"/>
        <v>215</v>
      </c>
      <c r="G97">
        <f t="shared" si="19"/>
        <v>215</v>
      </c>
      <c r="I97">
        <v>2014</v>
      </c>
      <c r="J97">
        <v>5</v>
      </c>
      <c r="K97">
        <v>85</v>
      </c>
      <c r="L97">
        <f t="shared" si="18"/>
        <v>5.9607293127629732E-2</v>
      </c>
      <c r="Q97">
        <v>2014</v>
      </c>
      <c r="R97">
        <v>11</v>
      </c>
      <c r="S97">
        <v>97</v>
      </c>
      <c r="T97">
        <v>6.802244039270687E-2</v>
      </c>
    </row>
    <row r="98" spans="1:20" x14ac:dyDescent="0.25">
      <c r="A98">
        <v>2012.68266666666</v>
      </c>
      <c r="B98">
        <v>187.651331719127</v>
      </c>
      <c r="C98">
        <f t="shared" si="14"/>
        <v>0.68266666665999765</v>
      </c>
      <c r="D98">
        <f t="shared" si="15"/>
        <v>2012</v>
      </c>
      <c r="E98">
        <f t="shared" si="16"/>
        <v>9</v>
      </c>
      <c r="F98">
        <f t="shared" si="17"/>
        <v>188</v>
      </c>
      <c r="G98">
        <f t="shared" si="19"/>
        <v>188</v>
      </c>
      <c r="I98">
        <v>2014</v>
      </c>
      <c r="J98">
        <v>7</v>
      </c>
      <c r="K98">
        <v>30</v>
      </c>
      <c r="L98">
        <f t="shared" si="18"/>
        <v>2.1037868162692847E-2</v>
      </c>
      <c r="Q98">
        <v>2014</v>
      </c>
      <c r="R98">
        <v>12</v>
      </c>
      <c r="S98">
        <v>130</v>
      </c>
      <c r="T98">
        <v>9.1164095371669002E-2</v>
      </c>
    </row>
    <row r="99" spans="1:20" x14ac:dyDescent="0.25">
      <c r="A99">
        <v>2012.7608888888799</v>
      </c>
      <c r="B99">
        <v>145.27845036319499</v>
      </c>
      <c r="C99">
        <f t="shared" si="14"/>
        <v>0.76088888887989015</v>
      </c>
      <c r="D99">
        <f t="shared" si="15"/>
        <v>2012</v>
      </c>
      <c r="E99">
        <f t="shared" si="16"/>
        <v>10</v>
      </c>
      <c r="F99">
        <f t="shared" si="17"/>
        <v>145</v>
      </c>
      <c r="G99">
        <f t="shared" si="19"/>
        <v>145</v>
      </c>
      <c r="I99">
        <v>2014</v>
      </c>
      <c r="J99">
        <v>9</v>
      </c>
      <c r="K99">
        <v>496</v>
      </c>
      <c r="L99">
        <f t="shared" si="18"/>
        <v>0.34782608695652173</v>
      </c>
      <c r="Q99">
        <v>2015</v>
      </c>
      <c r="R99">
        <v>1</v>
      </c>
      <c r="S99">
        <v>260</v>
      </c>
      <c r="T99">
        <v>0.12633624878522837</v>
      </c>
    </row>
    <row r="100" spans="1:20" x14ac:dyDescent="0.25">
      <c r="A100">
        <v>2012.83911111111</v>
      </c>
      <c r="B100">
        <v>93.825665859563699</v>
      </c>
      <c r="C100">
        <f t="shared" si="14"/>
        <v>0.83911111111001446</v>
      </c>
      <c r="D100">
        <f t="shared" si="15"/>
        <v>2012</v>
      </c>
      <c r="E100">
        <f t="shared" si="16"/>
        <v>11</v>
      </c>
      <c r="F100">
        <f t="shared" si="17"/>
        <v>94</v>
      </c>
      <c r="G100">
        <f t="shared" si="19"/>
        <v>94</v>
      </c>
      <c r="I100">
        <v>2014</v>
      </c>
      <c r="J100">
        <v>10</v>
      </c>
      <c r="K100">
        <v>369</v>
      </c>
      <c r="L100">
        <f t="shared" si="18"/>
        <v>0.25876577840112203</v>
      </c>
      <c r="Q100">
        <v>2015</v>
      </c>
      <c r="R100">
        <v>2</v>
      </c>
      <c r="S100">
        <v>1562</v>
      </c>
      <c r="T100">
        <v>0.75898931000971814</v>
      </c>
    </row>
    <row r="101" spans="1:20" x14ac:dyDescent="0.25">
      <c r="A101">
        <v>2012.9173333333299</v>
      </c>
      <c r="B101">
        <v>24.2130750605324</v>
      </c>
      <c r="C101">
        <f t="shared" si="14"/>
        <v>0.91733333332990696</v>
      </c>
      <c r="D101">
        <f t="shared" si="15"/>
        <v>2012</v>
      </c>
      <c r="E101">
        <f t="shared" si="16"/>
        <v>12</v>
      </c>
      <c r="F101">
        <f t="shared" si="17"/>
        <v>24</v>
      </c>
      <c r="G101">
        <f t="shared" si="19"/>
        <v>24</v>
      </c>
      <c r="I101">
        <v>2014</v>
      </c>
      <c r="J101">
        <v>11</v>
      </c>
      <c r="K101">
        <v>97</v>
      </c>
      <c r="L101">
        <f t="shared" ref="L101:L107" si="20">K101/VLOOKUP(I101,year,2)</f>
        <v>6.802244039270687E-2</v>
      </c>
      <c r="Q101">
        <v>2015</v>
      </c>
      <c r="R101">
        <v>4</v>
      </c>
      <c r="S101">
        <v>2058</v>
      </c>
      <c r="T101">
        <v>1</v>
      </c>
    </row>
    <row r="102" spans="1:20" x14ac:dyDescent="0.25">
      <c r="A102">
        <v>2013.0151111111099</v>
      </c>
      <c r="B102">
        <v>42.372881355931398</v>
      </c>
      <c r="C102">
        <f t="shared" si="14"/>
        <v>1.5111111109945341E-2</v>
      </c>
      <c r="D102">
        <f t="shared" si="15"/>
        <v>2013</v>
      </c>
      <c r="E102">
        <f t="shared" si="16"/>
        <v>1</v>
      </c>
      <c r="F102">
        <f t="shared" si="17"/>
        <v>42</v>
      </c>
      <c r="G102">
        <f t="shared" si="19"/>
        <v>42</v>
      </c>
      <c r="I102">
        <v>2014</v>
      </c>
      <c r="J102">
        <v>12</v>
      </c>
      <c r="K102">
        <v>130</v>
      </c>
      <c r="L102">
        <f t="shared" si="20"/>
        <v>9.1164095371669002E-2</v>
      </c>
      <c r="Q102">
        <v>2015</v>
      </c>
      <c r="R102">
        <v>6</v>
      </c>
      <c r="S102">
        <v>623</v>
      </c>
      <c r="T102">
        <v>0.30272108843537415</v>
      </c>
    </row>
    <row r="103" spans="1:20" x14ac:dyDescent="0.25">
      <c r="A103">
        <v>2013.0933333333301</v>
      </c>
      <c r="B103">
        <v>151.33171912832799</v>
      </c>
      <c r="C103">
        <f t="shared" si="14"/>
        <v>9.3333333330065216E-2</v>
      </c>
      <c r="D103">
        <f t="shared" si="15"/>
        <v>2013</v>
      </c>
      <c r="E103">
        <f t="shared" si="16"/>
        <v>2</v>
      </c>
      <c r="F103">
        <f t="shared" si="17"/>
        <v>151</v>
      </c>
      <c r="G103">
        <f t="shared" si="19"/>
        <v>599</v>
      </c>
      <c r="I103">
        <v>2015</v>
      </c>
      <c r="J103">
        <v>1</v>
      </c>
      <c r="K103">
        <v>260</v>
      </c>
      <c r="L103">
        <f t="shared" si="20"/>
        <v>0.12633624878522837</v>
      </c>
      <c r="Q103">
        <v>2015</v>
      </c>
      <c r="R103">
        <v>8</v>
      </c>
      <c r="S103">
        <v>387</v>
      </c>
      <c r="T103">
        <v>0.18804664723032069</v>
      </c>
    </row>
    <row r="104" spans="1:20" x14ac:dyDescent="0.25">
      <c r="A104">
        <v>2013.1617777777701</v>
      </c>
      <c r="B104">
        <v>599.27360774818305</v>
      </c>
      <c r="C104">
        <f t="shared" si="14"/>
        <v>0.16177777777011215</v>
      </c>
      <c r="D104">
        <f t="shared" si="15"/>
        <v>2013</v>
      </c>
      <c r="E104">
        <f t="shared" si="16"/>
        <v>2</v>
      </c>
      <c r="F104">
        <f t="shared" si="17"/>
        <v>599</v>
      </c>
      <c r="G104" t="str">
        <f t="shared" si="19"/>
        <v/>
      </c>
      <c r="I104">
        <v>2015</v>
      </c>
      <c r="J104">
        <v>2</v>
      </c>
      <c r="K104">
        <v>1562</v>
      </c>
      <c r="L104">
        <f t="shared" si="20"/>
        <v>0.75898931000971814</v>
      </c>
    </row>
    <row r="105" spans="1:20" x14ac:dyDescent="0.25">
      <c r="A105">
        <v>2013.24</v>
      </c>
      <c r="B105">
        <v>738.49878934624599</v>
      </c>
      <c r="C105">
        <f t="shared" si="14"/>
        <v>0.24000000000000909</v>
      </c>
      <c r="D105">
        <f t="shared" si="15"/>
        <v>2013</v>
      </c>
      <c r="E105">
        <f t="shared" si="16"/>
        <v>3</v>
      </c>
      <c r="F105">
        <f t="shared" si="17"/>
        <v>738</v>
      </c>
      <c r="G105">
        <f t="shared" si="19"/>
        <v>738</v>
      </c>
      <c r="I105">
        <v>2015</v>
      </c>
      <c r="J105">
        <v>4</v>
      </c>
      <c r="K105">
        <v>2058</v>
      </c>
      <c r="L105">
        <f t="shared" si="20"/>
        <v>1</v>
      </c>
    </row>
    <row r="106" spans="1:20" x14ac:dyDescent="0.25">
      <c r="A106">
        <v>2013.328</v>
      </c>
      <c r="B106">
        <v>720.33898305084699</v>
      </c>
      <c r="C106">
        <f t="shared" si="14"/>
        <v>0.32799999999997453</v>
      </c>
      <c r="D106">
        <f t="shared" si="15"/>
        <v>2013</v>
      </c>
      <c r="E106">
        <f t="shared" si="16"/>
        <v>4</v>
      </c>
      <c r="F106">
        <f t="shared" si="17"/>
        <v>720</v>
      </c>
      <c r="G106">
        <f t="shared" si="19"/>
        <v>720</v>
      </c>
      <c r="I106">
        <v>2015</v>
      </c>
      <c r="J106">
        <v>6</v>
      </c>
      <c r="K106">
        <v>623</v>
      </c>
      <c r="L106">
        <f t="shared" si="20"/>
        <v>0.30272108843537415</v>
      </c>
    </row>
    <row r="107" spans="1:20" x14ac:dyDescent="0.25">
      <c r="A107">
        <v>2013.4159999999999</v>
      </c>
      <c r="B107">
        <v>157.38498789346201</v>
      </c>
      <c r="C107">
        <f t="shared" si="14"/>
        <v>0.41599999999993997</v>
      </c>
      <c r="D107">
        <f t="shared" si="15"/>
        <v>2013</v>
      </c>
      <c r="E107">
        <f t="shared" si="16"/>
        <v>5</v>
      </c>
      <c r="F107">
        <f t="shared" si="17"/>
        <v>157</v>
      </c>
      <c r="G107">
        <f t="shared" si="19"/>
        <v>157</v>
      </c>
      <c r="I107">
        <v>2015</v>
      </c>
      <c r="J107">
        <v>8</v>
      </c>
      <c r="K107">
        <v>387</v>
      </c>
      <c r="L107">
        <f t="shared" si="20"/>
        <v>0.18804664723032069</v>
      </c>
    </row>
    <row r="108" spans="1:20" x14ac:dyDescent="0.25">
      <c r="A108">
        <v>2013.5039999999999</v>
      </c>
      <c r="B108">
        <v>6.0532687651325396</v>
      </c>
      <c r="C108">
        <f t="shared" si="14"/>
        <v>0.50399999999990541</v>
      </c>
      <c r="D108">
        <f t="shared" si="15"/>
        <v>2013</v>
      </c>
      <c r="E108">
        <f t="shared" si="16"/>
        <v>7</v>
      </c>
      <c r="F108">
        <f t="shared" si="17"/>
        <v>6</v>
      </c>
      <c r="G108">
        <f t="shared" si="19"/>
        <v>369</v>
      </c>
    </row>
    <row r="109" spans="1:20" x14ac:dyDescent="0.25">
      <c r="A109">
        <v>2013.58222222222</v>
      </c>
      <c r="B109">
        <v>369.24939467312203</v>
      </c>
      <c r="C109">
        <f t="shared" si="14"/>
        <v>0.58222222222002529</v>
      </c>
      <c r="D109">
        <f t="shared" si="15"/>
        <v>2013</v>
      </c>
      <c r="E109">
        <f t="shared" si="16"/>
        <v>7</v>
      </c>
      <c r="F109">
        <f t="shared" si="17"/>
        <v>369</v>
      </c>
      <c r="G109" t="str">
        <f t="shared" si="19"/>
        <v/>
      </c>
    </row>
    <row r="110" spans="1:20" x14ac:dyDescent="0.25">
      <c r="A110">
        <v>2013.6799999999901</v>
      </c>
      <c r="B110">
        <v>375.30266343825599</v>
      </c>
      <c r="C110">
        <f t="shared" si="14"/>
        <v>0.67999999999005922</v>
      </c>
      <c r="D110">
        <f t="shared" si="15"/>
        <v>2013</v>
      </c>
      <c r="E110">
        <f t="shared" si="16"/>
        <v>9</v>
      </c>
      <c r="F110">
        <f t="shared" si="17"/>
        <v>375</v>
      </c>
      <c r="G110">
        <f t="shared" si="19"/>
        <v>375</v>
      </c>
    </row>
    <row r="111" spans="1:20" x14ac:dyDescent="0.25">
      <c r="A111">
        <v>2013.73866666666</v>
      </c>
      <c r="B111">
        <v>211.86440677965999</v>
      </c>
      <c r="C111">
        <f t="shared" si="14"/>
        <v>0.73866666666003766</v>
      </c>
      <c r="D111">
        <f t="shared" si="15"/>
        <v>2013</v>
      </c>
      <c r="E111">
        <f t="shared" si="16"/>
        <v>9</v>
      </c>
      <c r="F111">
        <f t="shared" si="17"/>
        <v>212</v>
      </c>
      <c r="G111" t="str">
        <f t="shared" si="19"/>
        <v/>
      </c>
    </row>
    <row r="112" spans="1:20" x14ac:dyDescent="0.25">
      <c r="A112">
        <v>2013.8364444444401</v>
      </c>
      <c r="B112">
        <v>187.651331719127</v>
      </c>
      <c r="C112">
        <f t="shared" si="14"/>
        <v>0.83644444444007604</v>
      </c>
      <c r="D112">
        <f t="shared" si="15"/>
        <v>2013</v>
      </c>
      <c r="E112">
        <f t="shared" si="16"/>
        <v>11</v>
      </c>
      <c r="F112">
        <f t="shared" si="17"/>
        <v>188</v>
      </c>
      <c r="G112">
        <f t="shared" si="19"/>
        <v>188</v>
      </c>
    </row>
    <row r="113" spans="1:7" x14ac:dyDescent="0.25">
      <c r="A113">
        <v>2013.91466666666</v>
      </c>
      <c r="B113">
        <v>99.878934624696697</v>
      </c>
      <c r="C113">
        <f t="shared" si="14"/>
        <v>0.91466666665996854</v>
      </c>
      <c r="D113">
        <f t="shared" si="15"/>
        <v>2013</v>
      </c>
      <c r="E113">
        <f t="shared" si="16"/>
        <v>11</v>
      </c>
      <c r="F113">
        <f t="shared" si="17"/>
        <v>100</v>
      </c>
      <c r="G113" t="str">
        <f t="shared" si="19"/>
        <v/>
      </c>
    </row>
    <row r="114" spans="1:7" x14ac:dyDescent="0.25">
      <c r="A114">
        <v>2014.01244444444</v>
      </c>
      <c r="B114">
        <v>236.077481840193</v>
      </c>
      <c r="C114">
        <f t="shared" si="14"/>
        <v>1.2444444440006919E-2</v>
      </c>
      <c r="D114">
        <f t="shared" si="15"/>
        <v>2014</v>
      </c>
      <c r="E114">
        <f t="shared" si="16"/>
        <v>1</v>
      </c>
      <c r="F114">
        <f t="shared" si="17"/>
        <v>236</v>
      </c>
      <c r="G114">
        <f t="shared" si="19"/>
        <v>236</v>
      </c>
    </row>
    <row r="115" spans="1:7" x14ac:dyDescent="0.25">
      <c r="A115">
        <v>2014.0906666666599</v>
      </c>
      <c r="B115">
        <v>584.14043583534999</v>
      </c>
      <c r="C115">
        <f t="shared" si="14"/>
        <v>9.066666665989942E-2</v>
      </c>
      <c r="D115">
        <f t="shared" si="15"/>
        <v>2014</v>
      </c>
      <c r="E115">
        <f t="shared" si="16"/>
        <v>2</v>
      </c>
      <c r="F115">
        <f t="shared" si="17"/>
        <v>584</v>
      </c>
      <c r="G115">
        <f t="shared" si="19"/>
        <v>584</v>
      </c>
    </row>
    <row r="116" spans="1:7" x14ac:dyDescent="0.25">
      <c r="A116">
        <v>2014.16888888888</v>
      </c>
      <c r="B116">
        <v>1425.5447941888599</v>
      </c>
      <c r="C116">
        <f t="shared" si="14"/>
        <v>0.16888888888001929</v>
      </c>
      <c r="D116">
        <f t="shared" si="15"/>
        <v>2014</v>
      </c>
      <c r="E116">
        <f t="shared" si="16"/>
        <v>3</v>
      </c>
      <c r="F116">
        <f t="shared" si="17"/>
        <v>1426</v>
      </c>
      <c r="G116">
        <f t="shared" si="19"/>
        <v>1426</v>
      </c>
    </row>
    <row r="117" spans="1:7" x14ac:dyDescent="0.25">
      <c r="A117">
        <v>2014.2666666666601</v>
      </c>
      <c r="B117">
        <v>1301.45278450363</v>
      </c>
      <c r="C117">
        <f t="shared" si="14"/>
        <v>0.26666666666005767</v>
      </c>
      <c r="D117">
        <f t="shared" si="15"/>
        <v>2014</v>
      </c>
      <c r="E117">
        <f t="shared" si="16"/>
        <v>4</v>
      </c>
      <c r="F117">
        <f t="shared" si="17"/>
        <v>1301</v>
      </c>
      <c r="G117">
        <f t="shared" si="19"/>
        <v>1301</v>
      </c>
    </row>
    <row r="118" spans="1:7" x14ac:dyDescent="0.25">
      <c r="A118">
        <v>2014.32533333333</v>
      </c>
      <c r="B118">
        <v>792.97820823244501</v>
      </c>
      <c r="C118">
        <f t="shared" si="14"/>
        <v>0.32533333333003611</v>
      </c>
      <c r="D118">
        <f t="shared" si="15"/>
        <v>2014</v>
      </c>
      <c r="E118">
        <f t="shared" si="16"/>
        <v>4</v>
      </c>
      <c r="F118">
        <f t="shared" si="17"/>
        <v>793</v>
      </c>
      <c r="G118" t="str">
        <f t="shared" si="19"/>
        <v/>
      </c>
    </row>
    <row r="119" spans="1:7" x14ac:dyDescent="0.25">
      <c r="A119">
        <v>2014.41333333333</v>
      </c>
      <c r="B119">
        <v>84.745762711863705</v>
      </c>
      <c r="C119">
        <f t="shared" si="14"/>
        <v>0.41333333333000155</v>
      </c>
      <c r="D119">
        <f t="shared" si="15"/>
        <v>2014</v>
      </c>
      <c r="E119">
        <f t="shared" si="16"/>
        <v>5</v>
      </c>
      <c r="F119">
        <f t="shared" si="17"/>
        <v>85</v>
      </c>
      <c r="G119">
        <f t="shared" si="19"/>
        <v>85</v>
      </c>
    </row>
    <row r="120" spans="1:7" x14ac:dyDescent="0.25">
      <c r="A120">
        <v>2014.50133333333</v>
      </c>
      <c r="B120">
        <v>30.266343825665398</v>
      </c>
      <c r="C120">
        <f t="shared" si="14"/>
        <v>0.50133333332996699</v>
      </c>
      <c r="D120">
        <f t="shared" si="15"/>
        <v>2014</v>
      </c>
      <c r="E120">
        <f t="shared" si="16"/>
        <v>7</v>
      </c>
      <c r="F120">
        <f t="shared" si="17"/>
        <v>30</v>
      </c>
      <c r="G120">
        <f t="shared" si="19"/>
        <v>421</v>
      </c>
    </row>
    <row r="121" spans="1:7" x14ac:dyDescent="0.25">
      <c r="A121">
        <v>2014.5795555555501</v>
      </c>
      <c r="B121">
        <v>420.70217917675501</v>
      </c>
      <c r="C121">
        <f t="shared" si="14"/>
        <v>0.57955555555008686</v>
      </c>
      <c r="D121">
        <f t="shared" si="15"/>
        <v>2014</v>
      </c>
      <c r="E121">
        <f t="shared" si="16"/>
        <v>7</v>
      </c>
      <c r="F121">
        <f t="shared" si="17"/>
        <v>421</v>
      </c>
      <c r="G121" t="str">
        <f t="shared" si="19"/>
        <v/>
      </c>
    </row>
    <row r="122" spans="1:7" x14ac:dyDescent="0.25">
      <c r="A122">
        <v>2014.6773333333299</v>
      </c>
      <c r="B122">
        <v>496.36803874091902</v>
      </c>
      <c r="C122">
        <f t="shared" si="14"/>
        <v>0.67733333332989787</v>
      </c>
      <c r="D122">
        <f t="shared" si="15"/>
        <v>2014</v>
      </c>
      <c r="E122">
        <f t="shared" si="16"/>
        <v>9</v>
      </c>
      <c r="F122">
        <f t="shared" si="17"/>
        <v>496</v>
      </c>
      <c r="G122">
        <f t="shared" si="19"/>
        <v>496</v>
      </c>
    </row>
    <row r="123" spans="1:7" x14ac:dyDescent="0.25">
      <c r="A123">
        <v>2014.75555555555</v>
      </c>
      <c r="B123">
        <v>369.24939467312203</v>
      </c>
      <c r="C123">
        <f t="shared" si="14"/>
        <v>0.75555555555001774</v>
      </c>
      <c r="D123">
        <f t="shared" si="15"/>
        <v>2014</v>
      </c>
      <c r="E123">
        <f t="shared" si="16"/>
        <v>10</v>
      </c>
      <c r="F123">
        <f t="shared" si="17"/>
        <v>369</v>
      </c>
      <c r="G123">
        <f t="shared" si="19"/>
        <v>369</v>
      </c>
    </row>
    <row r="124" spans="1:7" x14ac:dyDescent="0.25">
      <c r="A124">
        <v>2014.8337777777699</v>
      </c>
      <c r="B124">
        <v>96.852300242130198</v>
      </c>
      <c r="C124">
        <f t="shared" si="14"/>
        <v>0.83377777776991024</v>
      </c>
      <c r="D124">
        <f t="shared" si="15"/>
        <v>2014</v>
      </c>
      <c r="E124">
        <f t="shared" si="16"/>
        <v>11</v>
      </c>
      <c r="F124">
        <f t="shared" si="17"/>
        <v>97</v>
      </c>
      <c r="G124">
        <f t="shared" si="19"/>
        <v>97</v>
      </c>
    </row>
    <row r="125" spans="1:7" x14ac:dyDescent="0.25">
      <c r="A125">
        <v>2014.9315555555499</v>
      </c>
      <c r="B125">
        <v>130.14527845036201</v>
      </c>
      <c r="C125">
        <f t="shared" si="14"/>
        <v>0.93155555554994862</v>
      </c>
      <c r="D125">
        <f t="shared" si="15"/>
        <v>2014</v>
      </c>
      <c r="E125">
        <f t="shared" si="16"/>
        <v>12</v>
      </c>
      <c r="F125">
        <f t="shared" si="17"/>
        <v>130</v>
      </c>
      <c r="G125">
        <f t="shared" si="19"/>
        <v>130</v>
      </c>
    </row>
    <row r="126" spans="1:7" x14ac:dyDescent="0.25">
      <c r="A126">
        <v>2015.0097777777701</v>
      </c>
      <c r="B126">
        <v>260.29055690072499</v>
      </c>
      <c r="C126">
        <f t="shared" si="14"/>
        <v>9.7777777700684965E-3</v>
      </c>
      <c r="D126">
        <f t="shared" si="15"/>
        <v>2015</v>
      </c>
      <c r="E126">
        <f t="shared" si="16"/>
        <v>1</v>
      </c>
      <c r="F126">
        <f t="shared" si="17"/>
        <v>260</v>
      </c>
      <c r="G126">
        <f t="shared" si="19"/>
        <v>260</v>
      </c>
    </row>
    <row r="127" spans="1:7" x14ac:dyDescent="0.25">
      <c r="A127">
        <v>2015.088</v>
      </c>
      <c r="B127">
        <v>1561.7433414043501</v>
      </c>
      <c r="C127">
        <f t="shared" si="14"/>
        <v>8.7999999999965439E-2</v>
      </c>
      <c r="D127">
        <f t="shared" si="15"/>
        <v>2015</v>
      </c>
      <c r="E127">
        <f t="shared" si="16"/>
        <v>2</v>
      </c>
      <c r="F127">
        <f t="shared" si="17"/>
        <v>1562</v>
      </c>
      <c r="G127">
        <f t="shared" si="19"/>
        <v>2340</v>
      </c>
    </row>
    <row r="128" spans="1:7" x14ac:dyDescent="0.25">
      <c r="A128">
        <v>2015.1662222222201</v>
      </c>
      <c r="B128">
        <v>2339.5883777239701</v>
      </c>
      <c r="C128">
        <f t="shared" si="14"/>
        <v>0.16622222222008531</v>
      </c>
      <c r="D128">
        <f t="shared" si="15"/>
        <v>2015</v>
      </c>
      <c r="E128">
        <f t="shared" si="16"/>
        <v>2</v>
      </c>
      <c r="F128">
        <f t="shared" si="17"/>
        <v>2340</v>
      </c>
      <c r="G128" t="str">
        <f t="shared" si="19"/>
        <v/>
      </c>
    </row>
    <row r="129" spans="1:7" x14ac:dyDescent="0.25">
      <c r="A129">
        <v>2015.2542222222201</v>
      </c>
      <c r="B129">
        <v>2058.1113801452698</v>
      </c>
      <c r="C129">
        <f t="shared" si="14"/>
        <v>0.25422222222005075</v>
      </c>
      <c r="D129">
        <f t="shared" si="15"/>
        <v>2015</v>
      </c>
      <c r="E129">
        <f t="shared" si="16"/>
        <v>4</v>
      </c>
      <c r="F129">
        <f t="shared" si="17"/>
        <v>2058</v>
      </c>
      <c r="G129">
        <f t="shared" si="19"/>
        <v>2058</v>
      </c>
    </row>
    <row r="130" spans="1:7" x14ac:dyDescent="0.25">
      <c r="A130">
        <v>2015.3226666666601</v>
      </c>
      <c r="B130">
        <v>1234.86682808716</v>
      </c>
      <c r="C130">
        <f t="shared" si="14"/>
        <v>0.32266666666009769</v>
      </c>
      <c r="D130">
        <f t="shared" si="15"/>
        <v>2015</v>
      </c>
      <c r="E130">
        <f t="shared" si="16"/>
        <v>4</v>
      </c>
      <c r="F130">
        <f t="shared" si="17"/>
        <v>1235</v>
      </c>
      <c r="G130" t="str">
        <f t="shared" si="19"/>
        <v/>
      </c>
    </row>
    <row r="131" spans="1:7" x14ac:dyDescent="0.25">
      <c r="A131">
        <v>2015.4204444444399</v>
      </c>
      <c r="B131">
        <v>623.48668280871595</v>
      </c>
      <c r="C131">
        <f t="shared" si="14"/>
        <v>0.42044444443990869</v>
      </c>
      <c r="D131">
        <f t="shared" si="15"/>
        <v>2015</v>
      </c>
      <c r="E131">
        <f t="shared" si="16"/>
        <v>6</v>
      </c>
      <c r="F131">
        <f t="shared" si="17"/>
        <v>623</v>
      </c>
      <c r="G131">
        <f t="shared" si="19"/>
        <v>623</v>
      </c>
    </row>
    <row r="132" spans="1:7" x14ac:dyDescent="0.25">
      <c r="A132">
        <v>2015.49866666666</v>
      </c>
      <c r="B132">
        <v>36.3196125907984</v>
      </c>
      <c r="C132">
        <f t="shared" si="14"/>
        <v>0.49866666666002857</v>
      </c>
      <c r="D132">
        <f t="shared" si="15"/>
        <v>2015</v>
      </c>
      <c r="E132">
        <f t="shared" si="16"/>
        <v>6</v>
      </c>
      <c r="F132">
        <f t="shared" si="17"/>
        <v>36</v>
      </c>
      <c r="G132" t="str">
        <f t="shared" si="19"/>
        <v/>
      </c>
    </row>
    <row r="133" spans="1:7" x14ac:dyDescent="0.25">
      <c r="A133">
        <v>2015.5964444444401</v>
      </c>
      <c r="B133">
        <v>387.40920096852199</v>
      </c>
      <c r="C133">
        <f t="shared" ref="C133:C134" si="21">MOD(A133,1)</f>
        <v>0.59644444444006695</v>
      </c>
      <c r="D133">
        <f t="shared" ref="D133:D134" si="22">FLOOR(A133,1)</f>
        <v>2015</v>
      </c>
      <c r="E133">
        <f t="shared" ref="E133:E134" si="23">CEILING(C133*12,1)</f>
        <v>8</v>
      </c>
      <c r="F133">
        <f t="shared" ref="F133:F134" si="24">ROUND(B133,0)</f>
        <v>387</v>
      </c>
      <c r="G133">
        <f t="shared" si="19"/>
        <v>1320</v>
      </c>
    </row>
    <row r="134" spans="1:7" x14ac:dyDescent="0.25">
      <c r="A134">
        <v>2015.6648888888799</v>
      </c>
      <c r="B134">
        <v>1319.6125907990299</v>
      </c>
      <c r="C134">
        <f t="shared" si="21"/>
        <v>0.66488888887988651</v>
      </c>
      <c r="D134">
        <f t="shared" si="22"/>
        <v>2015</v>
      </c>
      <c r="E134">
        <f t="shared" si="23"/>
        <v>8</v>
      </c>
      <c r="F134">
        <f t="shared" si="24"/>
        <v>1320</v>
      </c>
      <c r="G134" t="str">
        <f t="shared" ref="G134" si="25">IF(E134=E135,MAX(F134:F135),IF(E134=E133,"",F134))</f>
        <v/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CSL_interpolated</vt:lpstr>
      <vt:lpstr>KW_interpolated</vt:lpstr>
      <vt:lpstr>HS_interpolated</vt:lpstr>
      <vt:lpstr>SSL_interpolated</vt:lpstr>
      <vt:lpstr>SSL_EGULF</vt:lpstr>
      <vt:lpstr>CSL_ColumbiaRiver</vt:lpstr>
      <vt:lpstr>hs_col_lam</vt:lpstr>
      <vt:lpstr>hs_Col_n0</vt:lpstr>
      <vt:lpstr>hs_counts</vt:lpstr>
      <vt:lpstr>K</vt:lpstr>
      <vt:lpstr>K_2</vt:lpstr>
      <vt:lpstr>k_3</vt:lpstr>
      <vt:lpstr>N0</vt:lpstr>
      <vt:lpstr>N0_2</vt:lpstr>
      <vt:lpstr>N0_3</vt:lpstr>
      <vt:lpstr>r_</vt:lpstr>
      <vt:lpstr>r_2</vt:lpstr>
      <vt:lpstr>r_3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</dc:creator>
  <cp:lastModifiedBy>Client Services</cp:lastModifiedBy>
  <cp:lastPrinted>2016-12-18T15:20:56Z</cp:lastPrinted>
  <dcterms:created xsi:type="dcterms:W3CDTF">2016-05-16T15:36:58Z</dcterms:created>
  <dcterms:modified xsi:type="dcterms:W3CDTF">2017-07-20T16:39:54Z</dcterms:modified>
</cp:coreProperties>
</file>