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SCO\PROJECTS\COAST_WIDE\"/>
    </mc:Choice>
  </mc:AlternateContent>
  <bookViews>
    <workbookView xWindow="0" yWindow="0" windowWidth="20490" windowHeight="9045" activeTab="1"/>
  </bookViews>
  <sheets>
    <sheet name="BioenergeticsModel" sheetId="1" r:id="rId1"/>
    <sheet name="SalmonEnergyWeightLeng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E5" i="2"/>
  <c r="F5" i="2"/>
  <c r="G5" i="2"/>
  <c r="H5" i="2"/>
  <c r="C5" i="2"/>
  <c r="D4" i="2"/>
  <c r="E4" i="2"/>
  <c r="F4" i="2"/>
  <c r="G4" i="2"/>
  <c r="H4" i="2"/>
  <c r="C4" i="2"/>
  <c r="R29" i="1" l="1"/>
  <c r="L29" i="1"/>
  <c r="S29" i="1" s="1"/>
  <c r="K29" i="1"/>
  <c r="J29" i="1"/>
  <c r="G29" i="1"/>
  <c r="L28" i="1"/>
  <c r="S28" i="1" s="1"/>
  <c r="K28" i="1"/>
  <c r="O28" i="1" s="1"/>
  <c r="J28" i="1"/>
  <c r="G28" i="1"/>
  <c r="M28" i="1" s="1"/>
  <c r="G16" i="1"/>
  <c r="G15" i="1"/>
  <c r="G14" i="1"/>
  <c r="G13" i="1"/>
  <c r="G8" i="1"/>
  <c r="G9" i="1"/>
  <c r="G10" i="1"/>
  <c r="G7" i="1"/>
  <c r="R28" i="1" l="1"/>
  <c r="U28" i="1" s="1"/>
  <c r="P28" i="1"/>
  <c r="V28" i="1" s="1"/>
  <c r="P29" i="1"/>
  <c r="V29" i="1" s="1"/>
  <c r="N28" i="1"/>
  <c r="M29" i="1"/>
  <c r="N29" i="1"/>
  <c r="O29" i="1"/>
  <c r="L16" i="1"/>
  <c r="S16" i="1" s="1"/>
  <c r="L15" i="1"/>
  <c r="S15" i="1" s="1"/>
  <c r="L14" i="1"/>
  <c r="S14" i="1" s="1"/>
  <c r="L13" i="1"/>
  <c r="S13" i="1" s="1"/>
  <c r="L8" i="1"/>
  <c r="S8" i="1" s="1"/>
  <c r="L9" i="1"/>
  <c r="S9" i="1" s="1"/>
  <c r="L10" i="1"/>
  <c r="S10" i="1" s="1"/>
  <c r="L7" i="1"/>
  <c r="S7" i="1" s="1"/>
  <c r="M16" i="1"/>
  <c r="M9" i="1"/>
  <c r="K16" i="1"/>
  <c r="R16" i="1" s="1"/>
  <c r="K15" i="1"/>
  <c r="R15" i="1" s="1"/>
  <c r="K14" i="1"/>
  <c r="R14" i="1" s="1"/>
  <c r="K13" i="1"/>
  <c r="R13" i="1" s="1"/>
  <c r="K8" i="1"/>
  <c r="R8" i="1" s="1"/>
  <c r="K9" i="1"/>
  <c r="R9" i="1" s="1"/>
  <c r="K10" i="1"/>
  <c r="R10" i="1" s="1"/>
  <c r="K7" i="1"/>
  <c r="R7" i="1" s="1"/>
  <c r="O16" i="1"/>
  <c r="O15" i="1"/>
  <c r="M8" i="1"/>
  <c r="O8" i="1" s="1"/>
  <c r="J16" i="1"/>
  <c r="J15" i="1"/>
  <c r="J14" i="1"/>
  <c r="N14" i="1" s="1"/>
  <c r="J13" i="1"/>
  <c r="J8" i="1"/>
  <c r="J9" i="1"/>
  <c r="N9" i="1" s="1"/>
  <c r="J10" i="1"/>
  <c r="J7" i="1"/>
  <c r="P9" i="1" l="1"/>
  <c r="V9" i="1" s="1"/>
  <c r="Q28" i="1"/>
  <c r="U29" i="1"/>
  <c r="W29" i="1" s="1"/>
  <c r="Q29" i="1"/>
  <c r="W28" i="1"/>
  <c r="N10" i="1"/>
  <c r="P10" i="1" s="1"/>
  <c r="V10" i="1" s="1"/>
  <c r="M14" i="1"/>
  <c r="N7" i="1"/>
  <c r="P7" i="1" s="1"/>
  <c r="V7" i="1" s="1"/>
  <c r="N13" i="1"/>
  <c r="M10" i="1"/>
  <c r="U15" i="1"/>
  <c r="O9" i="1"/>
  <c r="U9" i="1" s="1"/>
  <c r="U16" i="1"/>
  <c r="O10" i="1"/>
  <c r="U10" i="1" s="1"/>
  <c r="U8" i="1"/>
  <c r="N8" i="1"/>
  <c r="P8" i="1" s="1"/>
  <c r="V8" i="1" s="1"/>
  <c r="G17" i="1"/>
  <c r="M13" i="1"/>
  <c r="M15" i="1"/>
  <c r="O14" i="1"/>
  <c r="N16" i="1"/>
  <c r="M7" i="1"/>
  <c r="O7" i="1" s="1"/>
  <c r="N15" i="1"/>
  <c r="O13" i="1"/>
  <c r="P13" i="1"/>
  <c r="P16" i="1"/>
  <c r="P15" i="1"/>
  <c r="P14" i="1"/>
  <c r="V16" i="1" l="1"/>
  <c r="W16" i="1" s="1"/>
  <c r="Q15" i="1"/>
  <c r="V14" i="1"/>
  <c r="U14" i="1"/>
  <c r="W14" i="1" s="1"/>
  <c r="V13" i="1"/>
  <c r="Q7" i="1"/>
  <c r="U7" i="1"/>
  <c r="O17" i="1"/>
  <c r="V15" i="1"/>
  <c r="W15" i="1" s="1"/>
  <c r="U13" i="1"/>
  <c r="Q13" i="1"/>
  <c r="Q16" i="1"/>
  <c r="P17" i="1"/>
  <c r="Q14" i="1"/>
  <c r="G11" i="1"/>
  <c r="O11" i="1"/>
  <c r="W13" i="1" l="1"/>
  <c r="U17" i="1"/>
  <c r="V17" i="1"/>
  <c r="Q17" i="1"/>
  <c r="W17" i="1"/>
  <c r="Q8" i="1"/>
  <c r="Q10" i="1"/>
  <c r="W9" i="1"/>
  <c r="W10" i="1"/>
  <c r="Q9" i="1"/>
  <c r="P11" i="1"/>
  <c r="W8" i="1" l="1"/>
  <c r="Q11" i="1"/>
  <c r="V11" i="1"/>
  <c r="W7" i="1" l="1"/>
  <c r="W11" i="1" s="1"/>
  <c r="U11" i="1"/>
</calcChain>
</file>

<file path=xl/comments1.xml><?xml version="1.0" encoding="utf-8"?>
<comments xmlns="http://schemas.openxmlformats.org/spreadsheetml/2006/main">
  <authors>
    <author>Chasco, Brandon</author>
    <author>Client Services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energy in kcal for an average Chinook of this size.  Of course this will vary across seasons, run, and release type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This is roughly the energetic content of a Chinook that spends between 2 and 3 years in the ocean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In Sandie O'Neill's paper she has energy as a function of weight, and energy as a function of length.  Our model of Chinook salmon is based on length because there is a lot more length than weight data.  To transform number of Chinook consumed into biomass of Chinook consume we derived the length to weight relationship by combining her two equations
Mass = exp[(ln(0.000011*Len^3.12)-7.56)/0.94)]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This is the estimated total number of predator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This is the average weight across all age classes
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This is the average fraction of Chinook energy across all months and all populations
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Rough estimate of the fraction of the diet that is juvenile vs adults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energy in kcal for an average Chinook of this size.  Of course this will vary across seasons, run, and release type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Chasco, Brandon:</t>
        </r>
        <r>
          <rPr>
            <sz val="9"/>
            <color indexed="81"/>
            <rFont val="Tahoma"/>
            <family val="2"/>
          </rPr>
          <t xml:space="preserve">
This is roughly the energetic content of a Chinook that spends between 2 and 3 years in the ocean</t>
        </r>
      </text>
    </comment>
    <comment ref="V7" authorId="1" shapeId="0">
      <text>
        <r>
          <rPr>
            <b/>
            <sz val="9"/>
            <color indexed="81"/>
            <rFont val="Tahoma"/>
            <family val="2"/>
          </rPr>
          <t>Client Services:</t>
        </r>
        <r>
          <rPr>
            <sz val="9"/>
            <color indexed="81"/>
            <rFont val="Tahoma"/>
            <family val="2"/>
          </rPr>
          <t xml:space="preserve">
Directly convert weight of a fish to energy of fish
for high lipid fish in Figure 5b.
</t>
        </r>
      </text>
    </comment>
  </commentList>
</comments>
</file>

<file path=xl/sharedStrings.xml><?xml version="1.0" encoding="utf-8"?>
<sst xmlns="http://schemas.openxmlformats.org/spreadsheetml/2006/main" count="51" uniqueCount="31">
  <si>
    <t>adult</t>
  </si>
  <si>
    <t>Numbers</t>
  </si>
  <si>
    <t>Species</t>
  </si>
  <si>
    <t>Year</t>
  </si>
  <si>
    <t>Kleiber_alpha</t>
  </si>
  <si>
    <t>Chinook fraction</t>
  </si>
  <si>
    <t>Chinook selectivity</t>
  </si>
  <si>
    <t>smolt</t>
  </si>
  <si>
    <t>Chinook energy</t>
  </si>
  <si>
    <t>Biomass Total</t>
  </si>
  <si>
    <t>Numbers total</t>
  </si>
  <si>
    <t>Killer whale</t>
  </si>
  <si>
    <t>Annual Energy demand</t>
  </si>
  <si>
    <t>Chinook wt (kg)</t>
  </si>
  <si>
    <t>Harbor seal</t>
  </si>
  <si>
    <t>Weight (kg)</t>
  </si>
  <si>
    <t>California sea lion</t>
  </si>
  <si>
    <t>Steller sea lion</t>
  </si>
  <si>
    <t>Total</t>
  </si>
  <si>
    <t>Ave Length (mm)</t>
  </si>
  <si>
    <t>predatorDays</t>
  </si>
  <si>
    <t>Chinook biomass consumed (metric tons)</t>
  </si>
  <si>
    <t>Energy derived from Chinook by size (kcal)</t>
  </si>
  <si>
    <t>Chinook numbers consumed</t>
  </si>
  <si>
    <t xml:space="preserve">Columbia River - specifically </t>
  </si>
  <si>
    <t>Age</t>
  </si>
  <si>
    <t>Energy (kcal)</t>
  </si>
  <si>
    <t>Length (mm)</t>
  </si>
  <si>
    <t>Equation 7</t>
  </si>
  <si>
    <t>Figure 6</t>
  </si>
  <si>
    <t>These weights seem reasonable if you look at Sandy's figure 3, but they seem light based on my intuition.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</si>
</sst>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1" xfId="0" applyFill="1" applyBorder="1"/>
    <xf numFmtId="3" fontId="0" fillId="2" borderId="1" xfId="0" applyNumberFormat="1" applyFill="1" applyBorder="1"/>
    <xf numFmtId="0" fontId="0" fillId="3" borderId="0" xfId="0" applyFill="1" applyBorder="1"/>
    <xf numFmtId="3" fontId="0" fillId="3" borderId="0" xfId="0" applyNumberFormat="1" applyFill="1" applyBorder="1"/>
    <xf numFmtId="0" fontId="0" fillId="3" borderId="0" xfId="0" applyFill="1"/>
    <xf numFmtId="0" fontId="0" fillId="4" borderId="0" xfId="0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13</xdr:row>
      <xdr:rowOff>161925</xdr:rowOff>
    </xdr:from>
    <xdr:to>
      <xdr:col>9</xdr:col>
      <xdr:colOff>57151</xdr:colOff>
      <xdr:row>21</xdr:row>
      <xdr:rowOff>66675</xdr:rowOff>
    </xdr:to>
    <xdr:cxnSp macro="">
      <xdr:nvCxnSpPr>
        <xdr:cNvPr id="3" name="Straight Arrow Connector 2"/>
        <xdr:cNvCxnSpPr/>
      </xdr:nvCxnSpPr>
      <xdr:spPr>
        <a:xfrm flipH="1" flipV="1">
          <a:off x="6372225" y="2638425"/>
          <a:ext cx="1247776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7</xdr:row>
      <xdr:rowOff>152400</xdr:rowOff>
    </xdr:from>
    <xdr:to>
      <xdr:col>9</xdr:col>
      <xdr:colOff>114300</xdr:colOff>
      <xdr:row>21</xdr:row>
      <xdr:rowOff>38100</xdr:rowOff>
    </xdr:to>
    <xdr:cxnSp macro="">
      <xdr:nvCxnSpPr>
        <xdr:cNvPr id="5" name="Straight Arrow Connector 4"/>
        <xdr:cNvCxnSpPr/>
      </xdr:nvCxnSpPr>
      <xdr:spPr>
        <a:xfrm flipH="1" flipV="1">
          <a:off x="5467350" y="1485900"/>
          <a:ext cx="130492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47625</xdr:colOff>
      <xdr:row>20</xdr:row>
      <xdr:rowOff>180974</xdr:rowOff>
    </xdr:from>
    <xdr:ext cx="3648075" cy="968983"/>
    <xdr:sp macro="" textlink="">
      <xdr:nvSpPr>
        <xdr:cNvPr id="6" name="TextBox 5"/>
        <xdr:cNvSpPr txBox="1"/>
      </xdr:nvSpPr>
      <xdr:spPr>
        <a:xfrm>
          <a:off x="6705600" y="3990974"/>
          <a:ext cx="3648075" cy="96898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These fractions are different because most of the</a:t>
          </a:r>
          <a:r>
            <a:rPr lang="en-US" sz="1400" baseline="0"/>
            <a:t> harbor seal increases comes from the Salish Sea where they have been foudn to have higher rates of Chinook predation than in other areas</a:t>
          </a:r>
          <a:endParaRPr 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"/>
  <sheetViews>
    <sheetView topLeftCell="A24" workbookViewId="0">
      <selection activeCell="A31" sqref="A31"/>
    </sheetView>
  </sheetViews>
  <sheetFormatPr defaultRowHeight="15" x14ac:dyDescent="0.25"/>
  <cols>
    <col min="1" max="1" width="5" bestFit="1" customWidth="1"/>
    <col min="2" max="2" width="17" bestFit="1" customWidth="1"/>
    <col min="3" max="3" width="9.28515625" bestFit="1" customWidth="1"/>
    <col min="4" max="4" width="11.28515625" bestFit="1" customWidth="1"/>
    <col min="5" max="5" width="13.5703125" bestFit="1" customWidth="1"/>
    <col min="6" max="6" width="13.5703125" customWidth="1"/>
    <col min="7" max="7" width="21.85546875" bestFit="1" customWidth="1"/>
    <col min="8" max="8" width="15.85546875" bestFit="1" customWidth="1"/>
    <col min="9" max="9" width="18.28515625" bestFit="1" customWidth="1"/>
    <col min="10" max="10" width="5.7109375" bestFit="1" customWidth="1"/>
    <col min="11" max="11" width="15.140625" bestFit="1" customWidth="1"/>
    <col min="12" max="12" width="6.5703125" bestFit="1" customWidth="1"/>
    <col min="13" max="13" width="20.5703125" customWidth="1"/>
    <col min="14" max="14" width="20.140625" bestFit="1" customWidth="1"/>
    <col min="15" max="15" width="26.85546875" bestFit="1" customWidth="1"/>
    <col min="16" max="16" width="12.140625" bestFit="1" customWidth="1"/>
    <col min="17" max="17" width="14" bestFit="1" customWidth="1"/>
    <col min="18" max="18" width="14.7109375" bestFit="1" customWidth="1"/>
    <col min="19" max="19" width="5.7109375" bestFit="1" customWidth="1"/>
    <col min="20" max="20" width="5.7109375" customWidth="1"/>
    <col min="21" max="21" width="26.28515625" bestFit="1" customWidth="1"/>
    <col min="22" max="22" width="12.140625" bestFit="1" customWidth="1"/>
    <col min="23" max="23" width="13.42578125" bestFit="1" customWidth="1"/>
    <col min="24" max="24" width="12" bestFit="1" customWidth="1"/>
  </cols>
  <sheetData>
    <row r="1" spans="1:25" x14ac:dyDescent="0.25">
      <c r="K1" t="s">
        <v>19</v>
      </c>
    </row>
    <row r="2" spans="1:25" x14ac:dyDescent="0.25">
      <c r="K2" t="s">
        <v>7</v>
      </c>
      <c r="L2" t="s">
        <v>0</v>
      </c>
    </row>
    <row r="3" spans="1:25" x14ac:dyDescent="0.25">
      <c r="K3">
        <v>160</v>
      </c>
      <c r="L3">
        <v>725</v>
      </c>
    </row>
    <row r="5" spans="1:25" x14ac:dyDescent="0.25">
      <c r="I5" t="s">
        <v>6</v>
      </c>
      <c r="K5" t="s">
        <v>8</v>
      </c>
      <c r="M5" t="s">
        <v>22</v>
      </c>
      <c r="O5" t="s">
        <v>23</v>
      </c>
      <c r="R5" t="s">
        <v>13</v>
      </c>
      <c r="U5" t="s">
        <v>21</v>
      </c>
    </row>
    <row r="6" spans="1:25" x14ac:dyDescent="0.25">
      <c r="A6" t="s">
        <v>3</v>
      </c>
      <c r="B6" t="s">
        <v>2</v>
      </c>
      <c r="C6" t="s">
        <v>1</v>
      </c>
      <c r="D6" t="s">
        <v>15</v>
      </c>
      <c r="E6" t="s">
        <v>4</v>
      </c>
      <c r="F6" t="s">
        <v>20</v>
      </c>
      <c r="G6" t="s">
        <v>12</v>
      </c>
      <c r="H6" t="s">
        <v>5</v>
      </c>
      <c r="I6" t="s">
        <v>7</v>
      </c>
      <c r="J6" t="s">
        <v>0</v>
      </c>
      <c r="K6" t="s">
        <v>7</v>
      </c>
      <c r="L6" t="s">
        <v>0</v>
      </c>
      <c r="M6" t="s">
        <v>7</v>
      </c>
      <c r="N6" t="s">
        <v>0</v>
      </c>
      <c r="O6" t="s">
        <v>7</v>
      </c>
      <c r="P6" t="s">
        <v>0</v>
      </c>
      <c r="Q6" t="s">
        <v>10</v>
      </c>
      <c r="R6" t="s">
        <v>7</v>
      </c>
      <c r="S6" t="s">
        <v>0</v>
      </c>
      <c r="U6" t="s">
        <v>7</v>
      </c>
      <c r="V6" t="s">
        <v>0</v>
      </c>
      <c r="W6" t="s">
        <v>9</v>
      </c>
    </row>
    <row r="7" spans="1:25" x14ac:dyDescent="0.25">
      <c r="A7">
        <v>1975</v>
      </c>
      <c r="B7" t="s">
        <v>11</v>
      </c>
      <c r="C7" s="1">
        <v>291</v>
      </c>
      <c r="D7" s="1">
        <v>2800</v>
      </c>
      <c r="E7" s="1">
        <v>385</v>
      </c>
      <c r="F7" s="1">
        <v>365</v>
      </c>
      <c r="G7" s="1">
        <f>C7*E7*D7^0.75*F7</f>
        <v>15740376146.872124</v>
      </c>
      <c r="H7" s="2">
        <v>0.5</v>
      </c>
      <c r="I7" s="2">
        <v>0</v>
      </c>
      <c r="J7" s="2">
        <f>1-I7</f>
        <v>1</v>
      </c>
      <c r="K7" s="1">
        <f>0.000011*K$3^3.12</f>
        <v>82.841323945894729</v>
      </c>
      <c r="L7" s="1">
        <f>0.000011*L$3^3.122</f>
        <v>9361.9850154791548</v>
      </c>
      <c r="M7" s="1">
        <f t="shared" ref="M7:N10" si="0">$G7*$H7*I7</f>
        <v>0</v>
      </c>
      <c r="N7" s="1">
        <f t="shared" si="0"/>
        <v>7870188073.4360619</v>
      </c>
      <c r="O7" s="1">
        <f>M7/K7</f>
        <v>0</v>
      </c>
      <c r="P7" s="1">
        <f>N7/L7</f>
        <v>840653.77806346107</v>
      </c>
      <c r="Q7" s="1">
        <f>SUM(O7:P7)</f>
        <v>840653.77806346107</v>
      </c>
      <c r="R7" s="2">
        <f>(K7+166.1)/1923.5</f>
        <v>0.12942101582838303</v>
      </c>
      <c r="S7" s="2">
        <f>(L7+166.1)/1923.5</f>
        <v>4.9535144348734885</v>
      </c>
      <c r="T7" s="2"/>
      <c r="U7" s="1">
        <f t="shared" ref="U7:V10" si="1">R7*O7/1000</f>
        <v>0</v>
      </c>
      <c r="V7" s="1">
        <f t="shared" si="1"/>
        <v>4164.1906243682888</v>
      </c>
      <c r="W7" s="1">
        <f>V7+U7</f>
        <v>4164.1906243682888</v>
      </c>
      <c r="X7" s="9"/>
      <c r="Y7" s="1"/>
    </row>
    <row r="8" spans="1:25" x14ac:dyDescent="0.25">
      <c r="A8">
        <v>1975</v>
      </c>
      <c r="B8" t="s">
        <v>14</v>
      </c>
      <c r="C8" s="1">
        <v>214000</v>
      </c>
      <c r="D8">
        <v>53</v>
      </c>
      <c r="E8">
        <v>103</v>
      </c>
      <c r="F8" s="1">
        <v>365</v>
      </c>
      <c r="G8" s="1">
        <f t="shared" ref="G8:G10" si="2">C8*E8*D8^0.75*F8</f>
        <v>158034084434.97034</v>
      </c>
      <c r="H8" s="8">
        <v>0.01</v>
      </c>
      <c r="I8">
        <v>0.2</v>
      </c>
      <c r="J8" s="2">
        <f t="shared" ref="J8:J10" si="3">1-I8</f>
        <v>0.8</v>
      </c>
      <c r="K8" s="1">
        <f>0.000011*K$3^3.12</f>
        <v>82.841323945894729</v>
      </c>
      <c r="L8" s="1">
        <f t="shared" ref="L8:L10" si="4">0.000011*L$3^3.122</f>
        <v>9361.9850154791548</v>
      </c>
      <c r="M8" s="1">
        <f t="shared" si="0"/>
        <v>316068168.8699407</v>
      </c>
      <c r="N8" s="1">
        <f t="shared" si="0"/>
        <v>1264272675.4797628</v>
      </c>
      <c r="O8" s="1">
        <f t="shared" ref="O8:P10" si="5">M8/K8</f>
        <v>3815344.248679209</v>
      </c>
      <c r="P8" s="1">
        <f t="shared" si="5"/>
        <v>135043.22783997279</v>
      </c>
      <c r="Q8" s="1">
        <f>SUM(O8:P8)</f>
        <v>3950387.4765191819</v>
      </c>
      <c r="R8" s="2">
        <f t="shared" ref="R8:R10" si="6">(K8+166.1)/1923.5</f>
        <v>0.12942101582838303</v>
      </c>
      <c r="S8" s="2">
        <f t="shared" ref="S8:S10" si="7">(L8+166.1)/1923.5</f>
        <v>4.9535144348734885</v>
      </c>
      <c r="T8" s="2"/>
      <c r="U8" s="1">
        <f t="shared" si="1"/>
        <v>493.78572839904206</v>
      </c>
      <c r="V8" s="1">
        <f t="shared" si="1"/>
        <v>668.93857843721457</v>
      </c>
      <c r="W8" s="1">
        <f>V8+U8</f>
        <v>1162.7243068362566</v>
      </c>
      <c r="X8" s="9"/>
      <c r="Y8" s="1"/>
    </row>
    <row r="9" spans="1:25" x14ac:dyDescent="0.25">
      <c r="A9">
        <v>1975</v>
      </c>
      <c r="B9" t="s">
        <v>16</v>
      </c>
      <c r="C9" s="1">
        <v>8300</v>
      </c>
      <c r="D9">
        <v>147</v>
      </c>
      <c r="E9">
        <v>213</v>
      </c>
      <c r="F9" s="1">
        <v>365</v>
      </c>
      <c r="G9" s="1">
        <f t="shared" si="2"/>
        <v>27241973199.036556</v>
      </c>
      <c r="H9">
        <v>0.01</v>
      </c>
      <c r="I9">
        <v>0.2</v>
      </c>
      <c r="J9" s="2">
        <f t="shared" si="3"/>
        <v>0.8</v>
      </c>
      <c r="K9" s="1">
        <f>0.000011*K$3^3.12</f>
        <v>82.841323945894729</v>
      </c>
      <c r="L9" s="1">
        <f t="shared" si="4"/>
        <v>9361.9850154791548</v>
      </c>
      <c r="M9" s="1">
        <f t="shared" si="0"/>
        <v>54483946.398073114</v>
      </c>
      <c r="N9" s="1">
        <f t="shared" si="0"/>
        <v>217935785.59229246</v>
      </c>
      <c r="O9" s="1">
        <f t="shared" si="5"/>
        <v>657690.43519460934</v>
      </c>
      <c r="P9" s="1">
        <f t="shared" si="5"/>
        <v>23278.800941462338</v>
      </c>
      <c r="Q9" s="1">
        <f>SUM(O9:P9)</f>
        <v>680969.23613607162</v>
      </c>
      <c r="R9" s="2">
        <f t="shared" si="6"/>
        <v>0.12942101582838303</v>
      </c>
      <c r="S9" s="2">
        <f t="shared" si="7"/>
        <v>4.9535144348734885</v>
      </c>
      <c r="T9" s="2"/>
      <c r="U9" s="1">
        <f t="shared" si="1"/>
        <v>85.11896422349767</v>
      </c>
      <c r="V9" s="1">
        <f t="shared" si="1"/>
        <v>115.31187649008025</v>
      </c>
      <c r="W9" s="1">
        <f>V9+U9</f>
        <v>200.43084071357794</v>
      </c>
      <c r="X9" s="9"/>
      <c r="Y9" s="1"/>
    </row>
    <row r="10" spans="1:25" x14ac:dyDescent="0.25">
      <c r="A10">
        <v>1975</v>
      </c>
      <c r="B10" t="s">
        <v>17</v>
      </c>
      <c r="C10" s="1">
        <v>84000</v>
      </c>
      <c r="D10">
        <v>188</v>
      </c>
      <c r="E10">
        <v>257</v>
      </c>
      <c r="F10" s="1">
        <v>365</v>
      </c>
      <c r="G10" s="1">
        <f t="shared" si="2"/>
        <v>400058646047.27063</v>
      </c>
      <c r="H10">
        <v>1E-3</v>
      </c>
      <c r="I10">
        <v>0.2</v>
      </c>
      <c r="J10" s="2">
        <f t="shared" si="3"/>
        <v>0.8</v>
      </c>
      <c r="K10" s="1">
        <f>0.000011*K$3^3.12</f>
        <v>82.841323945894729</v>
      </c>
      <c r="L10" s="1">
        <f t="shared" si="4"/>
        <v>9361.9850154791548</v>
      </c>
      <c r="M10" s="1">
        <f t="shared" si="0"/>
        <v>80011729.209454134</v>
      </c>
      <c r="N10" s="1">
        <f t="shared" si="0"/>
        <v>320046916.83781654</v>
      </c>
      <c r="O10" s="1">
        <f t="shared" si="5"/>
        <v>965843.19755332905</v>
      </c>
      <c r="P10" s="1">
        <f t="shared" si="5"/>
        <v>34185.796741679173</v>
      </c>
      <c r="Q10" s="1">
        <f>SUM(O10:P10)</f>
        <v>1000028.9942950082</v>
      </c>
      <c r="R10" s="2">
        <f t="shared" si="6"/>
        <v>0.12942101582838303</v>
      </c>
      <c r="S10" s="2">
        <f t="shared" si="7"/>
        <v>4.9535144348734885</v>
      </c>
      <c r="T10" s="2"/>
      <c r="U10" s="1">
        <f t="shared" si="1"/>
        <v>125.00040775828548</v>
      </c>
      <c r="V10" s="1">
        <f t="shared" si="1"/>
        <v>169.33983762755886</v>
      </c>
      <c r="W10" s="1">
        <f>V10+U10</f>
        <v>294.34024538584436</v>
      </c>
      <c r="X10" s="9"/>
      <c r="Y10" s="1"/>
    </row>
    <row r="11" spans="1:25" x14ac:dyDescent="0.25">
      <c r="A11" s="3">
        <v>1975</v>
      </c>
      <c r="B11" s="3" t="s">
        <v>18</v>
      </c>
      <c r="C11" s="3"/>
      <c r="D11" s="3"/>
      <c r="E11" s="3"/>
      <c r="F11" s="3"/>
      <c r="G11" s="4">
        <f>SUM(G7:G10)</f>
        <v>601075079828.14966</v>
      </c>
      <c r="H11" s="4"/>
      <c r="I11" s="4"/>
      <c r="J11" s="4"/>
      <c r="K11" s="4"/>
      <c r="L11" s="4"/>
      <c r="M11" s="4"/>
      <c r="N11" s="4"/>
      <c r="O11" s="4">
        <f t="shared" ref="O11:W11" si="8">SUM(O7:O10)</f>
        <v>5438877.8814271474</v>
      </c>
      <c r="P11" s="4">
        <f t="shared" si="8"/>
        <v>1033161.6035865754</v>
      </c>
      <c r="Q11" s="4">
        <f t="shared" si="8"/>
        <v>6472039.4850137224</v>
      </c>
      <c r="R11" s="4"/>
      <c r="S11" s="4"/>
      <c r="T11" s="4"/>
      <c r="U11" s="4">
        <f t="shared" si="8"/>
        <v>703.90510038082527</v>
      </c>
      <c r="V11" s="4">
        <f t="shared" si="8"/>
        <v>5117.7809169231423</v>
      </c>
      <c r="W11" s="4">
        <f t="shared" si="8"/>
        <v>5821.6860173039677</v>
      </c>
    </row>
    <row r="12" spans="1:25" s="7" customFormat="1" x14ac:dyDescent="0.25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5" x14ac:dyDescent="0.25">
      <c r="A13">
        <v>2015</v>
      </c>
      <c r="B13" t="s">
        <v>11</v>
      </c>
      <c r="C13" s="1">
        <v>681</v>
      </c>
      <c r="D13" s="1">
        <v>2800</v>
      </c>
      <c r="E13" s="1">
        <v>385</v>
      </c>
      <c r="F13" s="1">
        <v>365</v>
      </c>
      <c r="G13" s="1">
        <f>C13*E13*D13^0.75*F13</f>
        <v>36835725622.061569</v>
      </c>
      <c r="H13" s="2">
        <v>0.5</v>
      </c>
      <c r="I13">
        <v>0</v>
      </c>
      <c r="J13">
        <f>1-I13</f>
        <v>1</v>
      </c>
      <c r="K13" s="1">
        <f>0.000011*K$3^3.12</f>
        <v>82.841323945894729</v>
      </c>
      <c r="L13" s="1">
        <f>0.000011*L$3^3.122</f>
        <v>9361.9850154791548</v>
      </c>
      <c r="M13" s="1">
        <f t="shared" ref="M13:N16" si="9">$G13*$H13*I13</f>
        <v>0</v>
      </c>
      <c r="N13" s="1">
        <f t="shared" si="9"/>
        <v>18417862811.030785</v>
      </c>
      <c r="O13" s="1">
        <f>$G$7*$H$7*I13/K13</f>
        <v>0</v>
      </c>
      <c r="P13" s="1">
        <f>G13*H13*J13/L13</f>
        <v>1967303.1713443885</v>
      </c>
      <c r="Q13" s="1">
        <f>SUM(O13:P13)</f>
        <v>1967303.1713443885</v>
      </c>
      <c r="R13" s="2">
        <f>(K13+166.1)/1923.5</f>
        <v>0.12942101582838303</v>
      </c>
      <c r="S13" s="2">
        <f>(L13+166.1)/1923.5</f>
        <v>4.9535144348734885</v>
      </c>
      <c r="T13" s="2"/>
      <c r="U13" s="1">
        <f>R13*O13/1000</f>
        <v>0</v>
      </c>
      <c r="V13" s="1">
        <f>S13*P13/1000</f>
        <v>9745.06465702682</v>
      </c>
      <c r="W13" s="1">
        <f>V13+U13</f>
        <v>9745.06465702682</v>
      </c>
      <c r="X13" s="9"/>
    </row>
    <row r="14" spans="1:25" x14ac:dyDescent="0.25">
      <c r="A14">
        <v>2015</v>
      </c>
      <c r="B14" t="s">
        <v>14</v>
      </c>
      <c r="C14" s="1">
        <v>390000</v>
      </c>
      <c r="D14" s="1">
        <v>53</v>
      </c>
      <c r="E14" s="1">
        <v>103</v>
      </c>
      <c r="F14" s="1">
        <v>365</v>
      </c>
      <c r="G14" s="1">
        <f t="shared" ref="G14:G16" si="10">C14*E14*D14^0.75*F14</f>
        <v>288006041727.28241</v>
      </c>
      <c r="H14" s="8">
        <v>1.4999999999999999E-2</v>
      </c>
      <c r="I14">
        <v>0.5</v>
      </c>
      <c r="J14">
        <f t="shared" ref="J14:J16" si="11">1-I14</f>
        <v>0.5</v>
      </c>
      <c r="K14" s="1">
        <f>0.000011*K$3^3.12</f>
        <v>82.841323945894729</v>
      </c>
      <c r="L14" s="1">
        <f t="shared" ref="L14:L16" si="12">0.000011*L$3^3.122</f>
        <v>9361.9850154791548</v>
      </c>
      <c r="M14" s="1">
        <f t="shared" si="9"/>
        <v>2160045312.954618</v>
      </c>
      <c r="N14" s="1">
        <f t="shared" si="9"/>
        <v>2160045312.954618</v>
      </c>
      <c r="O14" s="1">
        <f>G14*H14*I14/K14</f>
        <v>26074490.48454833</v>
      </c>
      <c r="P14" s="1">
        <f>G14*H14*J14/L14</f>
        <v>230725.14102331799</v>
      </c>
      <c r="Q14" s="1">
        <f>SUM(O14:P14)</f>
        <v>26305215.62557165</v>
      </c>
      <c r="R14" s="2">
        <f t="shared" ref="R14:R16" si="13">(K14+166.1)/1923.5</f>
        <v>0.12942101582838303</v>
      </c>
      <c r="S14" s="2">
        <f t="shared" ref="S14:S16" si="14">(L14+166.1)/1923.5</f>
        <v>4.9535144348734885</v>
      </c>
      <c r="T14" s="2"/>
      <c r="U14" s="1">
        <f t="shared" ref="U14:U16" si="15">R14*O14/1000</f>
        <v>3374.5870457177521</v>
      </c>
      <c r="V14" s="1">
        <f t="shared" ref="V14:V15" si="16">S14*P14/1000</f>
        <v>1142.9003165472268</v>
      </c>
      <c r="W14" s="1">
        <f>V14+U14</f>
        <v>4517.4873622649793</v>
      </c>
      <c r="X14" s="9"/>
    </row>
    <row r="15" spans="1:25" x14ac:dyDescent="0.25">
      <c r="A15">
        <v>2015</v>
      </c>
      <c r="B15" t="s">
        <v>16</v>
      </c>
      <c r="C15" s="1">
        <v>46900</v>
      </c>
      <c r="D15" s="1">
        <v>350</v>
      </c>
      <c r="E15" s="1">
        <v>213</v>
      </c>
      <c r="F15" s="1">
        <v>365</v>
      </c>
      <c r="G15" s="1">
        <f t="shared" si="10"/>
        <v>295050492479.95935</v>
      </c>
      <c r="H15">
        <v>5.0000000000000001E-3</v>
      </c>
      <c r="I15">
        <v>5.0000000000000001E-3</v>
      </c>
      <c r="J15">
        <f t="shared" si="11"/>
        <v>0.995</v>
      </c>
      <c r="K15" s="1">
        <f>0.000011*K$3^3.12</f>
        <v>82.841323945894729</v>
      </c>
      <c r="L15" s="1">
        <f t="shared" si="12"/>
        <v>9361.9850154791548</v>
      </c>
      <c r="M15" s="1">
        <f t="shared" si="9"/>
        <v>7376262.3119989838</v>
      </c>
      <c r="N15" s="1">
        <f t="shared" si="9"/>
        <v>1467876200.0877976</v>
      </c>
      <c r="O15" s="1">
        <f>G15*H15*I15/K15</f>
        <v>89040.854982189368</v>
      </c>
      <c r="P15" s="1">
        <f>G15*H15*J15/L15</f>
        <v>156791.12898181353</v>
      </c>
      <c r="Q15" s="1">
        <f>SUM(O15:P15)</f>
        <v>245831.98396400289</v>
      </c>
      <c r="R15" s="2">
        <f t="shared" si="13"/>
        <v>0.12942101582838303</v>
      </c>
      <c r="S15" s="2">
        <f t="shared" si="14"/>
        <v>4.9535144348734885</v>
      </c>
      <c r="T15" s="2"/>
      <c r="U15" s="1">
        <f t="shared" si="15"/>
        <v>11.523757902022687</v>
      </c>
      <c r="V15" s="1">
        <f t="shared" si="16"/>
        <v>776.66712067152434</v>
      </c>
      <c r="W15" s="1">
        <f>V15+U15</f>
        <v>788.19087857354702</v>
      </c>
      <c r="X15" s="9"/>
    </row>
    <row r="16" spans="1:25" x14ac:dyDescent="0.25">
      <c r="A16">
        <v>2015</v>
      </c>
      <c r="B16" t="s">
        <v>17</v>
      </c>
      <c r="C16" s="1">
        <v>78500</v>
      </c>
      <c r="D16" s="1">
        <v>700</v>
      </c>
      <c r="E16" s="1">
        <v>257</v>
      </c>
      <c r="F16" s="1">
        <v>365</v>
      </c>
      <c r="G16" s="1">
        <f t="shared" si="10"/>
        <v>1002118718921.8915</v>
      </c>
      <c r="H16">
        <v>5.0000000000000001E-3</v>
      </c>
      <c r="I16">
        <v>5.0000000000000001E-3</v>
      </c>
      <c r="J16">
        <f t="shared" si="11"/>
        <v>0.995</v>
      </c>
      <c r="K16" s="1">
        <f>0.000011*K$3^3.12</f>
        <v>82.841323945894729</v>
      </c>
      <c r="L16" s="1">
        <f t="shared" si="12"/>
        <v>9361.9850154791548</v>
      </c>
      <c r="M16" s="1">
        <f t="shared" si="9"/>
        <v>25052967.97304729</v>
      </c>
      <c r="N16" s="1">
        <f t="shared" si="9"/>
        <v>4985540626.6364107</v>
      </c>
      <c r="O16" s="1">
        <f>G16*H16*I16/K16</f>
        <v>302421.1441793213</v>
      </c>
      <c r="P16" s="1">
        <f>G16*H16*J16/L16</f>
        <v>532530.29335053323</v>
      </c>
      <c r="Q16" s="1">
        <f>SUM(O16:P16)</f>
        <v>834951.43752985448</v>
      </c>
      <c r="R16" s="2">
        <f t="shared" si="13"/>
        <v>0.12942101582838303</v>
      </c>
      <c r="S16" s="2">
        <f t="shared" si="14"/>
        <v>4.9535144348734885</v>
      </c>
      <c r="T16" s="2"/>
      <c r="U16" s="1">
        <f t="shared" si="15"/>
        <v>39.139651687669648</v>
      </c>
      <c r="V16" s="1">
        <f>S16*P16/1000</f>
        <v>2637.8964951192797</v>
      </c>
      <c r="W16" s="1">
        <f>V16+U16</f>
        <v>2677.0361468069495</v>
      </c>
      <c r="X16" s="9"/>
    </row>
    <row r="17" spans="1:23" x14ac:dyDescent="0.25">
      <c r="A17" s="3">
        <v>2015</v>
      </c>
      <c r="B17" s="3" t="s">
        <v>18</v>
      </c>
      <c r="C17" s="4"/>
      <c r="D17" s="4"/>
      <c r="E17" s="4"/>
      <c r="F17" s="4"/>
      <c r="G17" s="4">
        <f>SUM(G13:G16)</f>
        <v>1622010978751.1948</v>
      </c>
      <c r="H17" s="3"/>
      <c r="I17" s="3"/>
      <c r="J17" s="3"/>
      <c r="K17" s="3"/>
      <c r="L17" s="3"/>
      <c r="M17" s="3"/>
      <c r="N17" s="3"/>
      <c r="O17" s="4">
        <f t="shared" ref="O17:Q17" si="17">SUM(O13:O16)</f>
        <v>26465952.483709842</v>
      </c>
      <c r="P17" s="4">
        <f t="shared" si="17"/>
        <v>2887349.734700053</v>
      </c>
      <c r="Q17" s="4">
        <f t="shared" si="17"/>
        <v>29353302.218409896</v>
      </c>
      <c r="R17" s="4"/>
      <c r="S17" s="4"/>
      <c r="T17" s="4"/>
      <c r="U17" s="4">
        <f t="shared" ref="U17:W17" si="18">SUM(U13:U16)</f>
        <v>3425.2504553074446</v>
      </c>
      <c r="V17" s="4">
        <f t="shared" si="18"/>
        <v>14302.528589364849</v>
      </c>
      <c r="W17" s="4">
        <f t="shared" si="18"/>
        <v>17727.779044672294</v>
      </c>
    </row>
    <row r="27" spans="1:23" x14ac:dyDescent="0.25">
      <c r="A27" t="s">
        <v>24</v>
      </c>
    </row>
    <row r="28" spans="1:23" x14ac:dyDescent="0.25">
      <c r="A28">
        <v>2015</v>
      </c>
      <c r="B28" t="s">
        <v>16</v>
      </c>
      <c r="C28" s="1">
        <v>2000</v>
      </c>
      <c r="D28" s="1">
        <v>350</v>
      </c>
      <c r="E28" s="1">
        <v>213</v>
      </c>
      <c r="F28" s="1">
        <v>180</v>
      </c>
      <c r="G28" s="1">
        <f t="shared" ref="G28:G29" si="19">C28*E28*D28^0.75*F28</f>
        <v>6204876437.3505487</v>
      </c>
      <c r="H28">
        <v>0.05</v>
      </c>
      <c r="I28">
        <v>0</v>
      </c>
      <c r="J28">
        <f t="shared" ref="J28:J29" si="20">1-I28</f>
        <v>1</v>
      </c>
      <c r="K28" s="1">
        <f>0.000011*K$3^3.12</f>
        <v>82.841323945894729</v>
      </c>
      <c r="L28" s="1">
        <f t="shared" ref="L28:L29" si="21">0.000011*L$3^3.122</f>
        <v>9361.9850154791548</v>
      </c>
      <c r="M28" s="1">
        <f>$G28*$H28*I28</f>
        <v>0</v>
      </c>
      <c r="N28" s="1">
        <f>$G28*$H28*J28</f>
        <v>310243821.86752743</v>
      </c>
      <c r="O28" s="1">
        <f>G28*H28*I28/K28</f>
        <v>0</v>
      </c>
      <c r="P28" s="1">
        <f>G28*H28*J28/L28</f>
        <v>33138.679602089585</v>
      </c>
      <c r="Q28" s="1">
        <f>SUM(O28:P28)</f>
        <v>33138.679602089585</v>
      </c>
      <c r="R28" s="2">
        <f t="shared" ref="R28:R29" si="22">(K28+166.1)/1923.5</f>
        <v>0.12942101582838303</v>
      </c>
      <c r="S28" s="2">
        <f t="shared" ref="S28:S29" si="23">(L28+166.1)/1923.5</f>
        <v>4.9535144348734885</v>
      </c>
      <c r="T28" s="2"/>
      <c r="U28" s="1">
        <f t="shared" ref="U28:U29" si="24">R28*O28/1000</f>
        <v>0</v>
      </c>
      <c r="V28" s="1">
        <f t="shared" ref="V28" si="25">S28*P28/1000</f>
        <v>164.15292776159839</v>
      </c>
      <c r="W28" s="1">
        <f>V28+U28</f>
        <v>164.15292776159839</v>
      </c>
    </row>
    <row r="29" spans="1:23" x14ac:dyDescent="0.25">
      <c r="A29">
        <v>2015</v>
      </c>
      <c r="B29" t="s">
        <v>17</v>
      </c>
      <c r="C29" s="1">
        <v>2000</v>
      </c>
      <c r="D29" s="1">
        <v>700</v>
      </c>
      <c r="E29" s="1">
        <v>257</v>
      </c>
      <c r="F29" s="1">
        <v>180</v>
      </c>
      <c r="G29" s="1">
        <f t="shared" si="19"/>
        <v>12590968983.92395</v>
      </c>
      <c r="H29">
        <v>0.05</v>
      </c>
      <c r="I29">
        <v>0</v>
      </c>
      <c r="J29">
        <f t="shared" si="20"/>
        <v>1</v>
      </c>
      <c r="K29" s="1">
        <f>0.000011*K$3^3.12</f>
        <v>82.841323945894729</v>
      </c>
      <c r="L29" s="1">
        <f t="shared" si="21"/>
        <v>9361.9850154791548</v>
      </c>
      <c r="M29" s="1">
        <f>$G29*$H29*I29</f>
        <v>0</v>
      </c>
      <c r="N29" s="1">
        <f>$G29*$H29*J29</f>
        <v>629548449.19619751</v>
      </c>
      <c r="O29" s="1">
        <f>G29*H29*I29/K29</f>
        <v>0</v>
      </c>
      <c r="P29" s="1">
        <f>G29*H29*J29/L29</f>
        <v>67245.188723897634</v>
      </c>
      <c r="Q29" s="1">
        <f>SUM(O29:P29)</f>
        <v>67245.188723897634</v>
      </c>
      <c r="R29" s="2">
        <f t="shared" si="22"/>
        <v>0.12942101582838303</v>
      </c>
      <c r="S29" s="2">
        <f t="shared" si="23"/>
        <v>4.9535144348734885</v>
      </c>
      <c r="T29" s="2"/>
      <c r="U29" s="1">
        <f t="shared" si="24"/>
        <v>0</v>
      </c>
      <c r="V29" s="1">
        <f>S29*P29/1000</f>
        <v>333.10001301961887</v>
      </c>
      <c r="W29" s="1">
        <f>V29+U29</f>
        <v>333.10001301961887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A8" sqref="A8"/>
    </sheetView>
  </sheetViews>
  <sheetFormatPr defaultRowHeight="15" x14ac:dyDescent="0.25"/>
  <cols>
    <col min="1" max="1" width="12.28515625" bestFit="1" customWidth="1"/>
    <col min="2" max="2" width="12.28515625" customWidth="1"/>
  </cols>
  <sheetData>
    <row r="2" spans="1:8" x14ac:dyDescent="0.25">
      <c r="A2" t="s">
        <v>25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</row>
    <row r="3" spans="1:8" x14ac:dyDescent="0.25">
      <c r="A3" t="s">
        <v>27</v>
      </c>
      <c r="C3" s="1">
        <v>160.46279999999999</v>
      </c>
      <c r="D3" s="1">
        <v>386.60050000000001</v>
      </c>
      <c r="E3" s="1">
        <v>584.19920000000002</v>
      </c>
      <c r="F3" s="1">
        <v>725.76760000000002</v>
      </c>
      <c r="G3" s="1">
        <v>823.17499999999995</v>
      </c>
      <c r="H3" s="1">
        <v>900</v>
      </c>
    </row>
    <row r="4" spans="1:8" x14ac:dyDescent="0.25">
      <c r="A4" t="s">
        <v>26</v>
      </c>
      <c r="B4" t="s">
        <v>29</v>
      </c>
      <c r="C4" s="1">
        <f>0.000011*C3^3.122</f>
        <v>84.444517065476717</v>
      </c>
      <c r="D4" s="1">
        <f t="shared" ref="D4:H4" si="0">0.000011*D3^3.122</f>
        <v>1314.6977917833597</v>
      </c>
      <c r="E4" s="1">
        <f t="shared" si="0"/>
        <v>4770.8525664606868</v>
      </c>
      <c r="F4" s="1">
        <f t="shared" si="0"/>
        <v>9392.9653127474103</v>
      </c>
      <c r="G4" s="1">
        <f t="shared" si="0"/>
        <v>13917.436459554887</v>
      </c>
      <c r="H4" s="1">
        <f t="shared" si="0"/>
        <v>18388.1399149434</v>
      </c>
    </row>
    <row r="5" spans="1:8" x14ac:dyDescent="0.25">
      <c r="A5" t="s">
        <v>15</v>
      </c>
      <c r="B5" t="s">
        <v>28</v>
      </c>
      <c r="C5" s="10">
        <f>EXP((LN(C4)-7.56)/0.94)</f>
        <v>3.6033598154561336E-2</v>
      </c>
      <c r="D5" s="10">
        <f t="shared" ref="D5:H5" si="1">EXP((LN(D4)-7.56)/0.94)</f>
        <v>0.66844158102879836</v>
      </c>
      <c r="E5" s="10">
        <f t="shared" si="1"/>
        <v>2.6336831429651597</v>
      </c>
      <c r="F5" s="10">
        <f t="shared" si="1"/>
        <v>5.4143883093674043</v>
      </c>
      <c r="G5" s="10">
        <f t="shared" si="1"/>
        <v>8.2263139672119845</v>
      </c>
      <c r="H5" s="10">
        <f t="shared" si="1"/>
        <v>11.06383954058229</v>
      </c>
    </row>
    <row r="7" spans="1:8" x14ac:dyDescent="0.25">
      <c r="A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BioenergeticsModel</vt:lpstr>
      <vt:lpstr>SalmonEnergyWeightLength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</dc:creator>
  <cp:lastModifiedBy>Client Services</cp:lastModifiedBy>
  <dcterms:created xsi:type="dcterms:W3CDTF">2017-01-20T13:44:04Z</dcterms:created>
  <dcterms:modified xsi:type="dcterms:W3CDTF">2017-03-24T07:07:30Z</dcterms:modified>
</cp:coreProperties>
</file>