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brian\Downloads\"/>
    </mc:Choice>
  </mc:AlternateContent>
  <xr:revisionPtr revIDLastSave="0" documentId="13_ncr:1_{D74A7BB1-8B65-4DC9-8124-AD43F4D4F7AD}" xr6:coauthVersionLast="47" xr6:coauthVersionMax="47" xr10:uidLastSave="{00000000-0000-0000-0000-000000000000}"/>
  <bookViews>
    <workbookView xWindow="-108" yWindow="-108" windowWidth="23256" windowHeight="12576" firstSheet="5" activeTab="9" xr2:uid="{FB50E942-C196-4226-8161-31CE6E9016B2}"/>
  </bookViews>
  <sheets>
    <sheet name="EnterStudentNameAbove" sheetId="22" r:id="rId1"/>
    <sheet name="Rubric" sheetId="23" r:id="rId2"/>
    <sheet name="CoList" sheetId="1" r:id="rId3"/>
    <sheet name="Assgnmt" sheetId="2" r:id="rId4"/>
    <sheet name="Tips and FAQs" sheetId="26" r:id="rId5"/>
    <sheet name="RatioFormulas" sheetId="24" r:id="rId6"/>
    <sheet name="BSCo1" sheetId="3" r:id="rId7"/>
    <sheet name="ISCo1" sheetId="4" r:id="rId8"/>
    <sheet name="CFCo1" sheetId="7" r:id="rId9"/>
    <sheet name="RatioCo1" sheetId="20" r:id="rId10"/>
    <sheet name="10kInsights" sheetId="12" r:id="rId11"/>
    <sheet name="SusGro" sheetId="11" r:id="rId12"/>
    <sheet name="CoRatio" sheetId="25" r:id="rId13"/>
  </sheets>
  <definedNames>
    <definedName name="_xlnm.Print_Area" localSheetId="10">'10kInsights'!$A$1:$R$21</definedName>
    <definedName name="_xlnm.Print_Area" localSheetId="3">Assgnmt!$A$1:$Q$24</definedName>
    <definedName name="_xlnm.Print_Area" localSheetId="6">BSCo1!$A$1:$L$45</definedName>
    <definedName name="_xlnm.Print_Area" localSheetId="8">CFCo1!$A$1:$M$50</definedName>
    <definedName name="_xlnm.Print_Area" localSheetId="2">CoList!$A$13:$L$49</definedName>
    <definedName name="_xlnm.Print_Area" localSheetId="0">EnterStudentNameAbove!$A$1:$M$39</definedName>
    <definedName name="_xlnm.Print_Area" localSheetId="7">ISCo1!$A$1:$O$43</definedName>
    <definedName name="_xlnm.Print_Area" localSheetId="9">RatioCo1!$A$1:$N$45</definedName>
    <definedName name="_xlnm.Print_Area" localSheetId="5">RatioFormulas!$A$3:$P$59</definedName>
    <definedName name="_xlnm.Print_Area" localSheetId="1">Rubric!$A$1:$F$24</definedName>
    <definedName name="_xlnm.Print_Area" localSheetId="11">SusGro!$A$1:$S$20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11" l="1"/>
  <c r="C38" i="11"/>
  <c r="E27" i="11"/>
  <c r="E21" i="11"/>
  <c r="D31" i="20"/>
  <c r="E20" i="11"/>
  <c r="D22" i="3"/>
  <c r="D40" i="20"/>
  <c r="E19" i="11"/>
  <c r="D53" i="20"/>
  <c r="E18" i="11"/>
  <c r="D38" i="20"/>
  <c r="D36" i="20"/>
  <c r="D51" i="20"/>
  <c r="E51" i="20"/>
  <c r="G40" i="25"/>
  <c r="G38" i="25"/>
  <c r="G36" i="25"/>
  <c r="G34" i="25"/>
  <c r="G32" i="25"/>
  <c r="G30" i="25"/>
  <c r="G28" i="25"/>
  <c r="G26" i="25"/>
  <c r="G24" i="25"/>
  <c r="G22" i="25"/>
  <c r="I14" i="7"/>
  <c r="I15" i="7"/>
  <c r="I16" i="7"/>
  <c r="I17" i="7"/>
  <c r="I20" i="7"/>
  <c r="I21" i="7"/>
  <c r="I22" i="7"/>
  <c r="I23" i="7"/>
  <c r="I25" i="7"/>
  <c r="I26" i="7"/>
  <c r="I30" i="7"/>
  <c r="I31" i="7"/>
  <c r="I32" i="7"/>
  <c r="I33" i="7"/>
  <c r="I34" i="7"/>
  <c r="I35" i="7"/>
  <c r="I37" i="7"/>
  <c r="I39" i="7"/>
  <c r="I13" i="7"/>
  <c r="H14" i="7"/>
  <c r="H15" i="7"/>
  <c r="H16" i="7"/>
  <c r="H17" i="7"/>
  <c r="H20" i="7"/>
  <c r="H21" i="7"/>
  <c r="H22" i="7"/>
  <c r="H23" i="7"/>
  <c r="H25" i="7"/>
  <c r="H26" i="7"/>
  <c r="H30" i="7"/>
  <c r="H31" i="7"/>
  <c r="H32" i="7"/>
  <c r="H33" i="7"/>
  <c r="H34" i="7"/>
  <c r="H35" i="7"/>
  <c r="H37" i="7"/>
  <c r="H39" i="7"/>
  <c r="H13" i="7"/>
  <c r="M16" i="4"/>
  <c r="M17" i="4"/>
  <c r="M18" i="4"/>
  <c r="M19" i="4"/>
  <c r="M21" i="4"/>
  <c r="M22" i="4"/>
  <c r="M24" i="4"/>
  <c r="M26" i="4"/>
  <c r="M27" i="4"/>
  <c r="M28" i="4"/>
  <c r="M30" i="4"/>
  <c r="M31" i="4"/>
  <c r="M34" i="4"/>
  <c r="M37" i="4"/>
  <c r="M13" i="4"/>
  <c r="L16" i="4"/>
  <c r="L17" i="4"/>
  <c r="L18" i="4"/>
  <c r="L19" i="4"/>
  <c r="L24" i="4"/>
  <c r="L26" i="4"/>
  <c r="L27" i="4"/>
  <c r="L28" i="4"/>
  <c r="L30" i="4"/>
  <c r="L31" i="4"/>
  <c r="L34" i="4"/>
  <c r="L37" i="4"/>
  <c r="L13" i="4"/>
  <c r="L18" i="3"/>
  <c r="L19" i="3"/>
  <c r="L20" i="3"/>
  <c r="L21" i="3"/>
  <c r="L22" i="3"/>
  <c r="L24" i="3"/>
  <c r="L26" i="3"/>
  <c r="L29" i="3"/>
  <c r="L31" i="3"/>
  <c r="L32" i="3"/>
  <c r="L35" i="3"/>
  <c r="L36" i="3"/>
  <c r="L37" i="3"/>
  <c r="L38" i="3"/>
  <c r="L39" i="3"/>
  <c r="L40" i="3"/>
  <c r="L11" i="3"/>
  <c r="L12" i="3"/>
  <c r="L13" i="3"/>
  <c r="L14" i="3"/>
  <c r="L15" i="3"/>
  <c r="L16" i="3"/>
  <c r="L10" i="3"/>
  <c r="I42" i="3"/>
  <c r="I40" i="3"/>
  <c r="I39" i="3"/>
  <c r="I38" i="3"/>
  <c r="I37" i="3"/>
  <c r="I36" i="3"/>
  <c r="I35" i="3"/>
  <c r="I33" i="3"/>
  <c r="I32" i="3"/>
  <c r="I31" i="3"/>
  <c r="I30" i="3"/>
  <c r="I29" i="3"/>
  <c r="I27" i="3"/>
  <c r="I26" i="3"/>
  <c r="I25" i="3"/>
  <c r="I24" i="3"/>
  <c r="J37" i="4"/>
  <c r="J36" i="4"/>
  <c r="J33" i="4"/>
  <c r="J31" i="4"/>
  <c r="J30" i="4"/>
  <c r="J28" i="4"/>
  <c r="J27" i="4"/>
  <c r="J26" i="4"/>
  <c r="J24" i="4"/>
  <c r="J22" i="4"/>
  <c r="J21" i="4"/>
  <c r="J20" i="4"/>
  <c r="J19" i="4"/>
  <c r="J18" i="4"/>
  <c r="J17" i="4"/>
  <c r="J16" i="4"/>
  <c r="J13" i="4"/>
  <c r="I37" i="4"/>
  <c r="I36" i="4"/>
  <c r="H36" i="4"/>
  <c r="H33" i="4"/>
  <c r="H31" i="4"/>
  <c r="H30" i="4"/>
  <c r="H28" i="4"/>
  <c r="H26" i="4"/>
  <c r="H24" i="4"/>
  <c r="I26" i="4"/>
  <c r="I27" i="4"/>
  <c r="H27" i="4"/>
  <c r="I28" i="4"/>
  <c r="I30" i="4"/>
  <c r="I31" i="4"/>
  <c r="I33" i="4"/>
  <c r="H37" i="4"/>
  <c r="I24" i="4"/>
  <c r="I22" i="4"/>
  <c r="I21" i="4"/>
  <c r="I20" i="4"/>
  <c r="I19" i="4"/>
  <c r="I18" i="4"/>
  <c r="I17" i="4"/>
  <c r="I16" i="4"/>
  <c r="I13" i="4"/>
  <c r="H21" i="4"/>
  <c r="H22" i="4"/>
  <c r="H20" i="4"/>
  <c r="H19" i="4"/>
  <c r="H18" i="4"/>
  <c r="H17" i="4"/>
  <c r="H16" i="4"/>
  <c r="H13" i="4"/>
  <c r="I22" i="3"/>
  <c r="I21" i="3"/>
  <c r="I20" i="3"/>
  <c r="I19" i="3"/>
  <c r="I18" i="3"/>
  <c r="I16" i="3"/>
  <c r="I15" i="3"/>
  <c r="I14" i="3"/>
  <c r="I13" i="3"/>
  <c r="I12" i="3"/>
  <c r="I11" i="3"/>
  <c r="I10" i="3"/>
  <c r="H22" i="3"/>
  <c r="H21" i="3"/>
  <c r="H20" i="3"/>
  <c r="H19" i="3"/>
  <c r="H18" i="3"/>
  <c r="H16" i="3"/>
  <c r="H15" i="3"/>
  <c r="H14" i="3"/>
  <c r="H13" i="3"/>
  <c r="H10" i="3"/>
  <c r="H11" i="3"/>
  <c r="H12" i="3"/>
  <c r="E53" i="20"/>
  <c r="D49" i="20"/>
  <c r="E49" i="20"/>
  <c r="E46" i="20"/>
  <c r="E43" i="20"/>
  <c r="D43" i="20"/>
  <c r="E40" i="20"/>
  <c r="E29" i="20"/>
  <c r="D29" i="20"/>
  <c r="E36" i="20"/>
  <c r="E38" i="20"/>
  <c r="E33" i="20"/>
  <c r="D33" i="20"/>
  <c r="E31" i="20"/>
  <c r="E25" i="20"/>
  <c r="D25" i="20"/>
  <c r="E21" i="20"/>
  <c r="D21" i="20"/>
  <c r="E27" i="20"/>
  <c r="D27" i="20"/>
  <c r="E23" i="20"/>
  <c r="D23" i="20" l="1"/>
  <c r="E19" i="20"/>
  <c r="D19" i="20"/>
  <c r="E17" i="20"/>
  <c r="D17" i="20"/>
  <c r="E14" i="20"/>
  <c r="E12" i="20"/>
  <c r="F26" i="4" l="1"/>
  <c r="D26" i="4"/>
  <c r="E21" i="3" l="1"/>
  <c r="D21" i="3"/>
  <c r="E28" i="25"/>
  <c r="E20" i="25"/>
  <c r="E19" i="25"/>
  <c r="E40" i="25"/>
  <c r="E38" i="25"/>
  <c r="E36" i="25"/>
  <c r="E34" i="25"/>
  <c r="E32" i="25"/>
  <c r="E30" i="25"/>
  <c r="E26" i="25"/>
  <c r="F45" i="12"/>
  <c r="B26" i="22" s="1"/>
  <c r="O13" i="25"/>
  <c r="B22" i="22" s="1"/>
  <c r="E17" i="11"/>
  <c r="G47" i="1"/>
  <c r="K46" i="1"/>
  <c r="G44" i="1"/>
  <c r="K43" i="1"/>
  <c r="E24" i="11"/>
  <c r="E30" i="11" s="1"/>
  <c r="V16" i="11"/>
  <c r="B24" i="22" s="1"/>
  <c r="D70" i="20" l="1"/>
  <c r="D69" i="20"/>
  <c r="D72" i="20" s="1"/>
  <c r="F54" i="3"/>
  <c r="E54" i="3"/>
  <c r="D54" i="3"/>
  <c r="D56" i="3" l="1"/>
  <c r="D60" i="3" s="1"/>
  <c r="D77" i="20" l="1"/>
  <c r="B19" i="22" s="1"/>
  <c r="B17" i="22"/>
  <c r="K25" i="1" l="1"/>
  <c r="K29" i="1"/>
  <c r="K36" i="1"/>
  <c r="K39" i="1"/>
  <c r="K18" i="1"/>
  <c r="K15" i="1"/>
  <c r="G40" i="1"/>
  <c r="G37" i="1"/>
  <c r="G33" i="1"/>
  <c r="G30" i="1"/>
  <c r="G23" i="1"/>
  <c r="G26" i="1"/>
  <c r="G19" i="1"/>
  <c r="G16" i="1"/>
  <c r="E11" i="4"/>
  <c r="E10" i="7" s="1"/>
  <c r="D11" i="4"/>
  <c r="H11" i="4" s="1"/>
  <c r="L9" i="4" s="1"/>
  <c r="B30" i="22"/>
  <c r="C30" i="22"/>
  <c r="C2" i="20"/>
  <c r="E35" i="7"/>
  <c r="F35" i="7"/>
  <c r="D35" i="7"/>
  <c r="E26" i="7"/>
  <c r="F26" i="7"/>
  <c r="D26" i="7"/>
  <c r="E9" i="7"/>
  <c r="C2" i="7"/>
  <c r="E22" i="4"/>
  <c r="E24" i="4" s="1"/>
  <c r="E28" i="4" s="1"/>
  <c r="F22" i="4"/>
  <c r="F24" i="4" s="1"/>
  <c r="F28" i="4" s="1"/>
  <c r="D22" i="4"/>
  <c r="D24" i="4" s="1"/>
  <c r="D28" i="4" s="1"/>
  <c r="E10" i="4"/>
  <c r="I10" i="4" s="1"/>
  <c r="H10" i="4"/>
  <c r="C2" i="4"/>
  <c r="E40" i="3"/>
  <c r="D40" i="3"/>
  <c r="E27" i="3"/>
  <c r="E33" i="3" s="1"/>
  <c r="D27" i="3"/>
  <c r="E16" i="3"/>
  <c r="E22" i="3" s="1"/>
  <c r="D16" i="3"/>
  <c r="I9" i="3"/>
  <c r="L9" i="3" s="1"/>
  <c r="H9" i="3"/>
  <c r="L8" i="3" s="1"/>
  <c r="I8" i="3"/>
  <c r="H8" i="3"/>
  <c r="D33" i="3" l="1"/>
  <c r="L27" i="3"/>
  <c r="D46" i="20"/>
  <c r="E24" i="25" s="1"/>
  <c r="D14" i="20"/>
  <c r="D12" i="20"/>
  <c r="E22" i="25" s="1"/>
  <c r="D42" i="3"/>
  <c r="H27" i="3" s="1"/>
  <c r="E42" i="3"/>
  <c r="H10" i="7"/>
  <c r="I9" i="7"/>
  <c r="E11" i="20"/>
  <c r="J11" i="4"/>
  <c r="M11" i="4" s="1"/>
  <c r="I11" i="4"/>
  <c r="D10" i="7"/>
  <c r="H9" i="7" s="1"/>
  <c r="F9" i="7"/>
  <c r="D44" i="3"/>
  <c r="E44" i="3"/>
  <c r="F31" i="4"/>
  <c r="E31" i="4"/>
  <c r="D31" i="4"/>
  <c r="F10" i="4"/>
  <c r="J10" i="4" s="1"/>
  <c r="H25" i="3" l="1"/>
  <c r="H31" i="3"/>
  <c r="H36" i="3"/>
  <c r="H40" i="3"/>
  <c r="H24" i="3"/>
  <c r="H32" i="3"/>
  <c r="H37" i="3"/>
  <c r="H42" i="3"/>
  <c r="H29" i="3"/>
  <c r="H38" i="3"/>
  <c r="L42" i="3"/>
  <c r="H26" i="3"/>
  <c r="H30" i="3"/>
  <c r="H35" i="3"/>
  <c r="H39" i="3"/>
  <c r="L33" i="3"/>
  <c r="H33" i="3"/>
  <c r="D11" i="20"/>
  <c r="M9" i="4"/>
  <c r="L11" i="4"/>
  <c r="F10" i="7"/>
  <c r="I10" i="7" s="1"/>
  <c r="D34" i="4"/>
  <c r="E34" i="4"/>
  <c r="E37" i="4" s="1"/>
  <c r="F34" i="4"/>
  <c r="D13" i="7" l="1"/>
  <c r="D17" i="7" s="1"/>
  <c r="D39" i="7" s="1"/>
  <c r="F37" i="4"/>
  <c r="F13" i="7"/>
  <c r="F17" i="7" s="1"/>
  <c r="F39" i="7" s="1"/>
  <c r="E13" i="7"/>
  <c r="D37" i="4"/>
  <c r="D45" i="7" l="1"/>
  <c r="F45" i="7"/>
  <c r="E17" i="7"/>
  <c r="E39" i="7" s="1"/>
  <c r="E45" i="7"/>
  <c r="F42" i="7"/>
  <c r="E41" i="7" s="1"/>
  <c r="E42" i="7" l="1"/>
  <c r="D41" i="7" s="1"/>
  <c r="D42" i="7" s="1"/>
  <c r="D46" i="7" s="1"/>
  <c r="E46" i="7" l="1"/>
</calcChain>
</file>

<file path=xl/sharedStrings.xml><?xml version="1.0" encoding="utf-8"?>
<sst xmlns="http://schemas.openxmlformats.org/spreadsheetml/2006/main" count="604" uniqueCount="502">
  <si>
    <t>This list is the complete list of options to choose from, there are no exceptions allowed.</t>
  </si>
  <si>
    <t>Company 1</t>
  </si>
  <si>
    <t>Industry</t>
  </si>
  <si>
    <t>Company 2</t>
  </si>
  <si>
    <t>Fast Food</t>
  </si>
  <si>
    <t>Starbucks</t>
  </si>
  <si>
    <t>McDonald's</t>
  </si>
  <si>
    <t>Beverages</t>
  </si>
  <si>
    <t>Coca Cola</t>
  </si>
  <si>
    <t>PepsiCo</t>
  </si>
  <si>
    <t>Social Media</t>
  </si>
  <si>
    <t>Alphabet</t>
  </si>
  <si>
    <t>Home Improvement</t>
  </si>
  <si>
    <t>Home Depot</t>
  </si>
  <si>
    <t>Lowe's</t>
  </si>
  <si>
    <t>Assignment Requirements</t>
  </si>
  <si>
    <t>2.  At a minimum, read the financial statements, footnotes to those statements, and the Management, Discussion &amp; Analysis section of those 10-K reports.*</t>
  </si>
  <si>
    <t>Balance Sheet Tab</t>
  </si>
  <si>
    <t>Year Ended</t>
  </si>
  <si>
    <t>Enter Required Formulas</t>
  </si>
  <si>
    <t>Inventory</t>
  </si>
  <si>
    <t>Other Current Assets</t>
  </si>
  <si>
    <t>Total Current Assets</t>
  </si>
  <si>
    <t>Other Long-Term Assets</t>
  </si>
  <si>
    <t>Total Assets</t>
  </si>
  <si>
    <t>Property, Plant, Equipment, net</t>
  </si>
  <si>
    <t>Accounts Receivable</t>
  </si>
  <si>
    <t>Other Receivables, current</t>
  </si>
  <si>
    <t>Accounts Payable</t>
  </si>
  <si>
    <t>Short term portion of Long-Term Debt</t>
  </si>
  <si>
    <t>Other Current Liabilities</t>
  </si>
  <si>
    <t>Long-Term Debt</t>
  </si>
  <si>
    <t>Pensions &amp; Other Retirement Oblig.</t>
  </si>
  <si>
    <t>Deferred Tax Liabilities</t>
  </si>
  <si>
    <t>Deferred Tax Assets</t>
  </si>
  <si>
    <t>Other Long-Term Liabilities</t>
  </si>
  <si>
    <t>Total Current Liabilities</t>
  </si>
  <si>
    <t>Total Liabilities</t>
  </si>
  <si>
    <t>Common Stock at Par</t>
  </si>
  <si>
    <t>Additional Paid-In Capital</t>
  </si>
  <si>
    <t>Retained Earnings</t>
  </si>
  <si>
    <t>Other Equity Items</t>
  </si>
  <si>
    <t>Total Stockholder's Equity</t>
  </si>
  <si>
    <t>Check total (Assets = Liab + St Equity), s/be 0</t>
  </si>
  <si>
    <t>Cash &amp; Cash Equivalents</t>
  </si>
  <si>
    <t xml:space="preserve">Enter data for both years in yellow cells (Assignment Step 3) - do not add rows or change formulas! </t>
  </si>
  <si>
    <t>input as of date=&gt;</t>
  </si>
  <si>
    <t>&lt;= input company name</t>
  </si>
  <si>
    <t>Balances as of</t>
  </si>
  <si>
    <t>Income Statement Tab</t>
  </si>
  <si>
    <t>Draws from BSCo1 Tab</t>
  </si>
  <si>
    <t>Revenues</t>
  </si>
  <si>
    <t>Costs and Expenses</t>
  </si>
  <si>
    <t>Cost of Revenues</t>
  </si>
  <si>
    <t>Sales &amp; Marketing</t>
  </si>
  <si>
    <t>Research &amp; Development</t>
  </si>
  <si>
    <t>Depreciation/Amortization*</t>
  </si>
  <si>
    <t>Other</t>
  </si>
  <si>
    <t xml:space="preserve">     Total Costs and Expenses</t>
  </si>
  <si>
    <t>Earnings before Taxes</t>
  </si>
  <si>
    <t>Tax Provision</t>
  </si>
  <si>
    <t>Operating Income</t>
  </si>
  <si>
    <t>Other expense (income), net</t>
  </si>
  <si>
    <t>Net Income</t>
  </si>
  <si>
    <t>Net Income (Loss) Attributable to Company</t>
  </si>
  <si>
    <t>*Only show this separately on the income statement here if it is shown separately on the company's reported income statement</t>
  </si>
  <si>
    <t>Intangible Assets (including Goodwill)</t>
  </si>
  <si>
    <t>General &amp; Administrative**</t>
  </si>
  <si>
    <t>**Sometimes Sales &amp; Marketing is combined with General and Admin (called SG&amp;A).  If so, do not worry about splitting these out.</t>
  </si>
  <si>
    <t>Addback: Depreciation and Amortization</t>
  </si>
  <si>
    <t>Cash Flow Tab (condensed)</t>
  </si>
  <si>
    <t xml:space="preserve">    Change in cash from operating activities</t>
  </si>
  <si>
    <t>Purchases of investments</t>
  </si>
  <si>
    <t>Maturities/Sales of investments</t>
  </si>
  <si>
    <t>Divestitures of businesses/assets, net</t>
  </si>
  <si>
    <t>Acquisition of businesses/assets, net</t>
  </si>
  <si>
    <t>Other changes</t>
  </si>
  <si>
    <t xml:space="preserve">    Change in cash from investing activities</t>
  </si>
  <si>
    <t>Cash flows from financing activities:</t>
  </si>
  <si>
    <t>Cash flows from investing activities:</t>
  </si>
  <si>
    <t>Cash flows from operating activities:</t>
  </si>
  <si>
    <t>Proceeds from issuing stock</t>
  </si>
  <si>
    <t>Repurchases of stock</t>
  </si>
  <si>
    <t>Proceeds from debt</t>
  </si>
  <si>
    <t>Repayments of debt</t>
  </si>
  <si>
    <t xml:space="preserve">   Change in cash from financing activities</t>
  </si>
  <si>
    <t>Effect of exchange rates changes, etc….</t>
  </si>
  <si>
    <t>Change in cash, cash equivalents and restricted cash</t>
  </si>
  <si>
    <t>Cash, cash equivalents, and restricted cash, beginning of period</t>
  </si>
  <si>
    <t>Cash, cash equivalents, and restricted cash, end of period</t>
  </si>
  <si>
    <t>Check total net income (compares with income statement), s/be 0</t>
  </si>
  <si>
    <t>Check total cash end of period, s/be 0</t>
  </si>
  <si>
    <t>Addback: Stock-based compensation expense</t>
  </si>
  <si>
    <t xml:space="preserve">Ratio Analysis </t>
  </si>
  <si>
    <t>Liquidity</t>
  </si>
  <si>
    <t>1.  Current Ratio</t>
  </si>
  <si>
    <t>2.  Acid Test</t>
  </si>
  <si>
    <t xml:space="preserve">Most Recent </t>
  </si>
  <si>
    <t>Year</t>
  </si>
  <si>
    <t>Year Before</t>
  </si>
  <si>
    <t>That</t>
  </si>
  <si>
    <t>from BS tab</t>
  </si>
  <si>
    <t>Asset Turnover</t>
  </si>
  <si>
    <t>Profitability Ratios</t>
  </si>
  <si>
    <t>Leverage Ratios</t>
  </si>
  <si>
    <t>University of Santa Barbara</t>
  </si>
  <si>
    <t>Principles of Business Finance</t>
  </si>
  <si>
    <t>Student:</t>
  </si>
  <si>
    <t>Grading Rubric</t>
  </si>
  <si>
    <t>Poor</t>
  </si>
  <si>
    <t>Financial Statement Input</t>
  </si>
  <si>
    <t>Calculations are mostly accurate and complete between 80-90%.</t>
  </si>
  <si>
    <t>Fair to Good</t>
  </si>
  <si>
    <t>Good to Very Good</t>
  </si>
  <si>
    <t>Very Good to Excellent</t>
  </si>
  <si>
    <t>Calculations are somewhat accurate and complete between 70-80%.</t>
  </si>
  <si>
    <t>Calculations are not very accurate and complete, 0-70%.</t>
  </si>
  <si>
    <t>Calculations are accurate and complete @ 90% or greater.</t>
  </si>
  <si>
    <t>Most</t>
  </si>
  <si>
    <t>Recent</t>
  </si>
  <si>
    <t>Recent -1</t>
  </si>
  <si>
    <t>Recent -2</t>
  </si>
  <si>
    <t>Most Recent</t>
  </si>
  <si>
    <t>Most Recent - 1</t>
  </si>
  <si>
    <t>Other Operating Expenses</t>
  </si>
  <si>
    <t>This is Assignment Step 8</t>
  </si>
  <si>
    <t>Instructions:</t>
  </si>
  <si>
    <t>This is Assignment Step 9</t>
  </si>
  <si>
    <t>Calculations and Ratios</t>
  </si>
  <si>
    <t>Point allocations are indicative of issues that could cause deductions.  Descriptions are not meant to always be literal but they are  directional in nature.</t>
  </si>
  <si>
    <t>Achieved</t>
  </si>
  <si>
    <t>Maximum</t>
  </si>
  <si>
    <t>Grade Breakdown (see Rubric on next tab)</t>
  </si>
  <si>
    <t>Category Comments by Professor</t>
  </si>
  <si>
    <t>Total</t>
  </si>
  <si>
    <t>Liab + Stockholder's Equity</t>
  </si>
  <si>
    <t xml:space="preserve">Interest expense </t>
  </si>
  <si>
    <t>Cash Dividends Paid</t>
  </si>
  <si>
    <t>Net Income (Loss) before misc items</t>
  </si>
  <si>
    <t>Net Income (loss)  re: misc items</t>
  </si>
  <si>
    <t>From IS tab</t>
  </si>
  <si>
    <t>From BS tab</t>
  </si>
  <si>
    <t>Tickers</t>
  </si>
  <si>
    <t>COKE</t>
  </si>
  <si>
    <t>PEP</t>
  </si>
  <si>
    <t>SBUX</t>
  </si>
  <si>
    <t>MCD</t>
  </si>
  <si>
    <t>HD</t>
  </si>
  <si>
    <t>LOW</t>
  </si>
  <si>
    <t>Ensure the Ticker symbol on the first page of the 10K matches the one below</t>
  </si>
  <si>
    <t xml:space="preserve">NOTE - This is an individual project.  Students should not work or communicate with each other about the specifics of their projects.  </t>
  </si>
  <si>
    <t>By the nature of this assignment, some students will be reviewing the same companies.  Students who are found to have shared information</t>
  </si>
  <si>
    <t>will receive zero credit for the project.  There are a number of ways to tell that information has been shared, so best not to go down that path.</t>
  </si>
  <si>
    <t>Group 10k reported accounts into Other as appropriate when there are more accounts than what you see below</t>
  </si>
  <si>
    <t>Financial Statement Vertical Analyses</t>
  </si>
  <si>
    <t>Vertical Analysis Below (Assignment Step 5)</t>
  </si>
  <si>
    <t>Vertical Analysis Below (Assignment Step 6)</t>
  </si>
  <si>
    <t>10-K to Use</t>
  </si>
  <si>
    <t>Students may choose from the following pairs of US publicly traded companies.</t>
  </si>
  <si>
    <t>By typing in your name above, you are attesting that you have completed this project without help including help from other students in the course.</t>
  </si>
  <si>
    <t>Project Presentation</t>
  </si>
  <si>
    <t>•Go to SEC website https://www.sec.gov/edgar/searchedgar/companysearch.html</t>
  </si>
  <si>
    <r>
      <t>•</t>
    </r>
    <r>
      <rPr>
        <sz val="11"/>
        <color rgb="FF000000"/>
        <rFont val="Arial"/>
        <family val="2"/>
      </rPr>
      <t>Enter the ticker symbol in the workbook for your company</t>
    </r>
  </si>
  <si>
    <r>
      <t>•</t>
    </r>
    <r>
      <rPr>
        <sz val="11"/>
        <color rgb="FF000000"/>
        <rFont val="Arial"/>
        <family val="2"/>
      </rPr>
      <t>Scroll through list of documents for the 10K with the date I note on the CoList tab in the workbook for each of your 2 companies.</t>
    </r>
  </si>
  <si>
    <r>
      <t>•</t>
    </r>
    <r>
      <rPr>
        <sz val="11"/>
        <color rgb="FF000000"/>
        <rFont val="Arial"/>
        <family val="2"/>
      </rPr>
      <t>Open the 10K document – scan through all of it but for sure read the financial statements, footnotes, and management discussion &amp; analysis.</t>
    </r>
  </si>
  <si>
    <r>
      <rPr>
        <b/>
        <u/>
        <sz val="11"/>
        <color theme="1"/>
        <rFont val="Calibri"/>
        <family val="2"/>
        <scheme val="minor"/>
      </rPr>
      <t>How  to find 10-K reports:</t>
    </r>
    <r>
      <rPr>
        <sz val="11"/>
        <color theme="1"/>
        <rFont val="Calibri"/>
        <family val="2"/>
        <scheme val="minor"/>
      </rPr>
      <t xml:space="preserve">          </t>
    </r>
  </si>
  <si>
    <t xml:space="preserve">GOOGL </t>
  </si>
  <si>
    <t>1.  Obtain the 10K reports for your two companies per the instructions on the CoList tab and bottom of this tab.</t>
  </si>
  <si>
    <t>Financial Statement Vertical and Horizontal  Analyses</t>
  </si>
  <si>
    <t>Horizontal Analysis Below (Assignment Step 5)</t>
  </si>
  <si>
    <t>vs.</t>
  </si>
  <si>
    <t>Horizontal Analysis Below (Assignment Step 6)</t>
  </si>
  <si>
    <t>Additional Professor Comments:</t>
  </si>
  <si>
    <t>&lt;=s/b 100%</t>
  </si>
  <si>
    <t>&lt;= Enter your first and last name here</t>
  </si>
  <si>
    <t>Ticker</t>
  </si>
  <si>
    <t>Filing Date to Use</t>
  </si>
  <si>
    <t>See the CoList tab for instructions</t>
  </si>
  <si>
    <t>Input Tabs</t>
  </si>
  <si>
    <t>KO</t>
  </si>
  <si>
    <t>9.  Cash Cycle (days)</t>
  </si>
  <si>
    <t>12.  Gross margin (%)</t>
  </si>
  <si>
    <t>13.  Profit margin (%)</t>
  </si>
  <si>
    <t>17.  Times interest earned</t>
  </si>
  <si>
    <t>18.  Times burden covered</t>
  </si>
  <si>
    <t>Capital Expenditures/Property Plant and Equipment</t>
  </si>
  <si>
    <r>
      <t xml:space="preserve">(note - </t>
    </r>
    <r>
      <rPr>
        <sz val="11"/>
        <color rgb="FFFF0000"/>
        <rFont val="Calibri"/>
        <family val="2"/>
        <scheme val="minor"/>
      </rPr>
      <t>DO NOT</t>
    </r>
    <r>
      <rPr>
        <sz val="11"/>
        <color theme="1"/>
        <rFont val="Calibri"/>
        <family val="2"/>
        <scheme val="minor"/>
      </rPr>
      <t xml:space="preserve"> use theCOKE ticker 10k  as this is not global Coca Cola, this is just the separate US based bottling company)</t>
    </r>
  </si>
  <si>
    <t>4.5-5</t>
  </si>
  <si>
    <t>3.5-3.9</t>
  </si>
  <si>
    <t>0-3.4</t>
  </si>
  <si>
    <r>
      <t xml:space="preserve">Calculate the following ratios for the two most recent years, </t>
    </r>
    <r>
      <rPr>
        <sz val="11"/>
        <color rgb="FFFF0000"/>
        <rFont val="Calibri"/>
        <family val="2"/>
        <scheme val="minor"/>
      </rPr>
      <t xml:space="preserve">use formulas </t>
    </r>
    <r>
      <rPr>
        <sz val="11"/>
        <color theme="1"/>
        <rFont val="Calibri"/>
        <family val="2"/>
        <scheme val="minor"/>
      </rPr>
      <t>to link back to the appropriate financial statement(s) where possible (Assignment 4)</t>
    </r>
  </si>
  <si>
    <t>Horizontal Analysis Below (Assignment Step 7)</t>
  </si>
  <si>
    <t xml:space="preserve">Financial </t>
  </si>
  <si>
    <t>Statement Input</t>
  </si>
  <si>
    <t>Grade</t>
  </si>
  <si>
    <t>Bal Sheet</t>
  </si>
  <si>
    <t>Income State</t>
  </si>
  <si>
    <t>Cash Flow</t>
  </si>
  <si>
    <t>Co1</t>
  </si>
  <si>
    <t xml:space="preserve">Correct </t>
  </si>
  <si>
    <t>Possible including chk totals</t>
  </si>
  <si>
    <t>% Correct</t>
  </si>
  <si>
    <t>Avg Co 1</t>
  </si>
  <si>
    <t>Maximum per Rubric</t>
  </si>
  <si>
    <t>maximum points</t>
  </si>
  <si>
    <t>points achieved</t>
  </si>
  <si>
    <t>INSTRUCTOR USE ONLY</t>
  </si>
  <si>
    <t>Short-Term Investments</t>
  </si>
  <si>
    <t>Treasury Stock</t>
  </si>
  <si>
    <t>Net Income (Loss)  before non-controlling interests</t>
  </si>
  <si>
    <t>Net Income (Loss) non-controlling interests</t>
  </si>
  <si>
    <t>50% wgt</t>
  </si>
  <si>
    <t>Ratios Co 1</t>
  </si>
  <si>
    <t>correct</t>
  </si>
  <si>
    <t>possible</t>
  </si>
  <si>
    <t>Co 1</t>
  </si>
  <si>
    <t>Vert and Horiz Analyses</t>
  </si>
  <si>
    <t>Total Co1</t>
  </si>
  <si>
    <t>Co 2</t>
  </si>
  <si>
    <t>% Achieved</t>
  </si>
  <si>
    <t>Points Possible</t>
  </si>
  <si>
    <t>Points Achieved</t>
  </si>
  <si>
    <t>What is your formula for this (describe the actual calculation in words here) if different from the Ratio Table tab</t>
  </si>
  <si>
    <t>Maximum points</t>
  </si>
  <si>
    <t>See below.</t>
  </si>
  <si>
    <t>You can find beginning SE/Treas Stock on the Statement of Equity</t>
  </si>
  <si>
    <t>19.  Retention Ratio (% of year's net income not paid out as dividends)</t>
  </si>
  <si>
    <t>Make sure you use the book formulas (not those found on the internet and not other sources) to receive credit</t>
  </si>
  <si>
    <t>6.  Average Collection Period (days) = 365/AR Turnover</t>
  </si>
  <si>
    <t>4.  Average Days of Inventory = 365/Inventory Turnover</t>
  </si>
  <si>
    <t>8.  Average Payable Period (days) = 365/AP Turnover</t>
  </si>
  <si>
    <t>10K Supportive Insights</t>
  </si>
  <si>
    <t>SusGro</t>
  </si>
  <si>
    <t>Sustainable Growth Rate Calculations and Analysis</t>
  </si>
  <si>
    <t>3.  In cases where the sustainable growth rate exceeded the actual growth rate, the student should identify the excess cash generated and what was done with that cash.</t>
  </si>
  <si>
    <t>4.  In cases where the actual growth exceeded the sustainable growth rate, the student should identify how much cash that equates to and how the company was able to source that cash requirement.</t>
  </si>
  <si>
    <t>Show your calculations below with formulas (hard coded answers will not receive partial credit if they are incorrect)</t>
  </si>
  <si>
    <t>P (Profit Margin)</t>
  </si>
  <si>
    <t>R (Retention Ratio)</t>
  </si>
  <si>
    <t>Sustainable</t>
  </si>
  <si>
    <t xml:space="preserve">Growth Rate = </t>
  </si>
  <si>
    <t xml:space="preserve">Actual </t>
  </si>
  <si>
    <t>Growth Rate</t>
  </si>
  <si>
    <t>Sustainable vs. Actual</t>
  </si>
  <si>
    <t>Show your analysis of excess cash produced or cash required below along with where the excess cash went or where the additional cash required came from below</t>
  </si>
  <si>
    <t>10k Insights</t>
  </si>
  <si>
    <t>3.  The footnotes to the financial statements, that follow the main statements you have input in the prior tabs, also has insights you can leverage.</t>
  </si>
  <si>
    <t>6.  Make sure if you use the exact language from the 10k you use quotes marks.</t>
  </si>
  <si>
    <t>8.  A number of the insights on this tab should support your presentation and therefore be found within the presentation.</t>
  </si>
  <si>
    <t>7. The results of these calculations should find their way into your presentations.</t>
  </si>
  <si>
    <t>Net Income/Revenue</t>
  </si>
  <si>
    <t>% of Net Income not paid out as dividends</t>
  </si>
  <si>
    <t>Revenue/Total Assets</t>
  </si>
  <si>
    <t>Revenue/PY Revenue   - 1</t>
  </si>
  <si>
    <t>%</t>
  </si>
  <si>
    <t>X</t>
  </si>
  <si>
    <t>Netflix</t>
  </si>
  <si>
    <t>Entertainment</t>
  </si>
  <si>
    <t>Walt Disney Co.</t>
  </si>
  <si>
    <t>NFLX</t>
  </si>
  <si>
    <t>DIS</t>
  </si>
  <si>
    <t>For those companies where the actual growth trend has succeeded the sustainable growth trend, discuss what kind of additional financing you would recommend to grow at a similar rate in the next year or two.</t>
  </si>
  <si>
    <t xml:space="preserve">7.  You may use other sources of information, like industry trend data that is not in the 10k to supplement the minimal requirement in step 4 above, but not in place of that step. Make sure you reference those sources properly (suggested places online are readyratios and gurufocus) </t>
  </si>
  <si>
    <t>Other Insights (cite source)</t>
  </si>
  <si>
    <t>T (Leverage)</t>
  </si>
  <si>
    <t>A (Asset Turnover)</t>
  </si>
  <si>
    <r>
      <t xml:space="preserve">14.  Return on </t>
    </r>
    <r>
      <rPr>
        <b/>
        <sz val="11"/>
        <color theme="1"/>
        <rFont val="Calibri"/>
        <family val="2"/>
        <scheme val="minor"/>
      </rPr>
      <t>beginning  stockholder's equity</t>
    </r>
    <r>
      <rPr>
        <sz val="11"/>
        <color theme="1"/>
        <rFont val="Calibri"/>
        <family val="2"/>
        <scheme val="minor"/>
      </rPr>
      <t xml:space="preserve"> (%) </t>
    </r>
  </si>
  <si>
    <t>3. Inventory Turnover (use ending inventory)</t>
  </si>
  <si>
    <t>5.  Accts Rec Turnover (use ending A/R)</t>
  </si>
  <si>
    <t>7.  Payables Turnover (use ending A/P)</t>
  </si>
  <si>
    <t>10.  Asset Turnover (use ending Assets)</t>
  </si>
  <si>
    <t>15.  Return on ending  assets (%)</t>
  </si>
  <si>
    <t xml:space="preserve">16. Debt (Total Liabs)  to ending  equity, book value,  end of period </t>
  </si>
  <si>
    <r>
      <t>Total Assets/</t>
    </r>
    <r>
      <rPr>
        <b/>
        <sz val="11"/>
        <color theme="1"/>
        <rFont val="Calibri"/>
        <family val="2"/>
        <scheme val="minor"/>
      </rPr>
      <t>Beginning SE Equity (add back Treasury Stock first when you calc this)</t>
    </r>
  </si>
  <si>
    <t>6.  Note - excess cash generated or required, should be estimated by taking the differnece between the sustainable and actual growth rate  % and multiplying that times the gross profit $ x (1-tax rate)</t>
  </si>
  <si>
    <t xml:space="preserve">Course 130F </t>
  </si>
  <si>
    <t>Project Powerpoint Presentation</t>
  </si>
  <si>
    <t>11.  Free Cash Flow (see definition on RatioFormula tab)</t>
  </si>
  <si>
    <t>Free Cash Flow = Cash flow from Operations on CF Statement minus cash used in purchasing Capital Equipment on CF Statement</t>
  </si>
  <si>
    <t>Note - it is okay to have variances here for items below row 31 on the income statement</t>
  </si>
  <si>
    <t>Note - it is okay to have variances here if there is restricted cash not on the cash line of the balance sheet</t>
  </si>
  <si>
    <t>See the 10KInsight tab for comments</t>
  </si>
  <si>
    <t>See the SusGro tab for comments</t>
  </si>
  <si>
    <t>See the CoRatio tab for comments</t>
  </si>
  <si>
    <t>See the FS tabs for comments</t>
  </si>
  <si>
    <t>Sustainable Growth Analysis</t>
  </si>
  <si>
    <t>2 extra credit course points (not shown above) will be awarded to students who are selected to and do present their analyses to the class (1 point if asked to present but don't do so).</t>
  </si>
  <si>
    <t>2.7-3</t>
  </si>
  <si>
    <t>2.4-2.6</t>
  </si>
  <si>
    <t>2.1-2.3</t>
  </si>
  <si>
    <t>0-2.0</t>
  </si>
  <si>
    <t>10K Insights</t>
  </si>
  <si>
    <t>Company Ratio Comparisons</t>
  </si>
  <si>
    <t>4-4.4</t>
  </si>
  <si>
    <t xml:space="preserve">Analyses are complete, compelling and correctly data-based. </t>
  </si>
  <si>
    <t xml:space="preserve">Analyses are somewhat complete,  compelling and largely correctly data-based. </t>
  </si>
  <si>
    <t xml:space="preserve">Analyses may not be complete, very compelling and/or correctly  data-based.  </t>
  </si>
  <si>
    <t xml:space="preserve">Incomplete analyses, insights are not data-based or not interpreted correctly. </t>
  </si>
  <si>
    <t xml:space="preserve">The presentation is well written, within the maximum Powerpoint slide  limits, and summarizes the results of the project observations and insights accurately and in a logical and compelling fashion. 10k insights and are compelling and are properly cited. Company ratio comparisons are accurate and discussed. Sustainable vs. actual growth rate analyses are correct and well-supported. </t>
  </si>
  <si>
    <t xml:space="preserve">The presentation is within the maximum limits, fairly well written,  and summarizes the results of the project observations and insights mostly accurately and in a mostly  logical and compelling fashion.  Company ratio comparisons are largely accurate and discussed. 10k insights are largely compelling and largely  properly cited.  Sustainable vs. actual growth rate analyses are largely correct and supported.  </t>
  </si>
  <si>
    <t>1.  Company is on the approved list.  2.  Input reflects 10k report issued June 2020 or earlier, is largely complete and is input largely correct.  3.  Check totals are mostly 0, unless otherwise explained/justified.  4.  Formulas are not changed and data is mostly input in the correct cells.</t>
  </si>
  <si>
    <t>1.  Company is on the approved list.  2.  Input reflects 10k report issued June 2020 or earlier, is complete, and is input largely correct.  3.  Check totals are all 0 unless otherwise explained/justified.  4.  Formulas are not changed and data is input in the correct cells.</t>
  </si>
  <si>
    <t>1.  Company is on the approved list.  2.  Input is from 10k issued June 2020 or earlier.  3.  Check totals are not 0 or not justified/explained accurately.  4.  Formulas are mostly not changed and data is mostly input in the correct cells.</t>
  </si>
  <si>
    <t>Choose your industry, then choose which company you want to be your main company (the other one will be the one you used for the CoRatio tab work)</t>
  </si>
  <si>
    <t>4.  Using formulas, calculate the ratios as required by the instructions on the Ratio tab for your primary company.</t>
  </si>
  <si>
    <t>5.  Perform a Vertical and Horizontal Balance Sheet analysis on the company BS tab (both years).(basis total assets)</t>
  </si>
  <si>
    <t>6.  Perform a Vertical and Horizontal Income Statement analysis on the company IS tab (all three  years). (basis total (net) revenue)</t>
  </si>
  <si>
    <t>7.  Perform a Horizontal Cash Flow Statement analysis on the company CF tab.</t>
  </si>
  <si>
    <t>CoRatio</t>
  </si>
  <si>
    <t>8.  Bring the key Ratios for your primary company onto this tab, calculate the same ratios for your comparison company (from the CoList tab) from that 10K.  Follow the instructions on that tab.</t>
  </si>
  <si>
    <t>9.  On the 10k insights tab, follow the instructions on that tab for your primary company.</t>
  </si>
  <si>
    <t>10.  On the SusGro tab, calculate and compare the sustainable vs. actual growth rates for your primary company and perform all of the steps listed on that tab.</t>
  </si>
  <si>
    <t>11. Create a PowerPoint presentation (max 8 slides) that outlines your major observations and insights of this project gleaned from your work on all of the tabs.</t>
  </si>
  <si>
    <t>Sus Growth Score</t>
  </si>
  <si>
    <t xml:space="preserve">&lt;= Enter % </t>
  </si>
  <si>
    <t>Comments:</t>
  </si>
  <si>
    <t>CoRatio Score</t>
  </si>
  <si>
    <t>10K Insights Score</t>
  </si>
  <si>
    <t>1.  This exercise requires students to calculate the sustainable growth rates (growth here is defined as revenue growth) for the most recent year of this project for your primary company (Co1).</t>
  </si>
  <si>
    <t>2.  After calculating the sustainable growth rates for each company, they should be compared against the actual growth rate for that year for the company.</t>
  </si>
  <si>
    <t>5.  As a part of this exercise, the student should identify which elements  of the PRAT sustainable growth rate calculation  the company has improved (or worsened) between years to arrive in the outcomes of the above steps.</t>
  </si>
  <si>
    <t>9.  The sheet is blank below to give you the widest scope for you to determine and document your key findings supported by the 10k.</t>
  </si>
  <si>
    <t>1.  In order to help understand the trend and comparison dynamics in the work so far, it is important to review the 10k of your primary company.</t>
  </si>
  <si>
    <t>2.  There are many sections of the 10k that can be helpful, but the MD&amp;A section is the one that provides the most insight to the financial data presented in the financial statements.</t>
  </si>
  <si>
    <t xml:space="preserve">5.  It is important when you document your findings you reference what section of the 10K and what page number to receive full credit.  </t>
  </si>
  <si>
    <t>This is Assignment Step 10</t>
  </si>
  <si>
    <t>Without formulas in the calculation cells, it is much more difficult to receive partial credit.  Refer to the RatioFormulastab for most formulas to use.  Also look at the FAQ tab for more guidance</t>
  </si>
  <si>
    <t>(adjust equity to add back Treasury Stock first) - see FAQ tab</t>
  </si>
  <si>
    <t>1.  Company is not on the approved list or wrong 10K used.  2.  Input is largely incomplete or incorrect.  3.  Check totals are not 0.   4.  Formulas are changed and/or data is mostly not input in the correct cells.</t>
  </si>
  <si>
    <t>See the RatioCo1 tab for comments</t>
  </si>
  <si>
    <t>3.  Input the Balance Sheets, Income Statements, and Cash Flow Statements from the 10K report for your primary company into this template on the respective Co1 appropriate tabs (BS, IS, CF).</t>
  </si>
  <si>
    <t>BSCo1, ISCo1, CFCo1</t>
  </si>
  <si>
    <t>RatioCo1</t>
  </si>
  <si>
    <t>BSCo1</t>
  </si>
  <si>
    <t>ISCo1</t>
  </si>
  <si>
    <t>CFCo1</t>
  </si>
  <si>
    <t>Current Ratio</t>
  </si>
  <si>
    <t>Gross Margin</t>
  </si>
  <si>
    <t>Total Debt/Equity</t>
  </si>
  <si>
    <t>Return on Assets</t>
  </si>
  <si>
    <t>Return on Beg Equity</t>
  </si>
  <si>
    <t>Sales Growth from PY</t>
  </si>
  <si>
    <t>Profit Growth from PY</t>
  </si>
  <si>
    <t>Profit Margin</t>
  </si>
  <si>
    <t>&lt;= Enter Co 2 Name here</t>
  </si>
  <si>
    <t>Free Cash Flow</t>
  </si>
  <si>
    <r>
      <t>*</t>
    </r>
    <r>
      <rPr>
        <b/>
        <u/>
        <sz val="11"/>
        <color theme="1"/>
        <rFont val="Calibri"/>
        <family val="2"/>
        <scheme val="minor"/>
      </rPr>
      <t>How  to find 10-K reports:</t>
    </r>
    <r>
      <rPr>
        <sz val="11"/>
        <color theme="1"/>
        <rFont val="Calibri"/>
        <family val="2"/>
        <scheme val="minor"/>
      </rPr>
      <t xml:space="preserve">          </t>
    </r>
  </si>
  <si>
    <t>1.  The purpose of this step is to compare your primary company's key ratios with the second company's same key ratios.</t>
  </si>
  <si>
    <t>2.  The primary company key ratios link back to the RatioCo1 tab.</t>
  </si>
  <si>
    <t>5.  After calculating all of the ratios below, use the bottom section to discuss your observations on how the ratios</t>
  </si>
  <si>
    <t>between the companies are similar and how they are different.</t>
  </si>
  <si>
    <t>6.  For notable differences, comment on the observable causes as to the differences and/or your speculation as to why</t>
  </si>
  <si>
    <t>they may be different.  (this may involve reviewing portions of the second company's 10k like the footnotes or MD&amp;A)</t>
  </si>
  <si>
    <t>7.  Scoring is based on the accuracy of the ratio calculations as well as the depth of the insights.</t>
  </si>
  <si>
    <t>Provide comments here as per Instruction steps 5 and 6 above</t>
  </si>
  <si>
    <t>Company 1 10K insights (cite section/page)</t>
  </si>
  <si>
    <t>3.  The second company's key ratios must be calculated using the listed 10K for that company as listed on the CoList tab.</t>
  </si>
  <si>
    <t>4.  The ratios should reflect the most recent year in the 10K's.</t>
  </si>
  <si>
    <t xml:space="preserve">Also see the Tips and FAQs tab </t>
  </si>
  <si>
    <t>Tips and FAQs</t>
  </si>
  <si>
    <t>If you don't see your question answered below or are still not certain, don't hesitate to ask the Instructor.</t>
  </si>
  <si>
    <t>BS, IS, and CF tabs</t>
  </si>
  <si>
    <t>1.  The rows of my balance sheet, income statement, and cash flow statements don’t exactly match the template - now what?</t>
  </si>
  <si>
    <t>That's because the template is a generic template and all companies are different in the sense that they have different rows on each on of these</t>
  </si>
  <si>
    <t>statements from one another and they, in some cases, display similar items in different ways or call them different names.</t>
  </si>
  <si>
    <t>Do your best to align the 10K numbers to this template, and if they don't fit, put the difference in the "other" row applicable to that item.</t>
  </si>
  <si>
    <t>For example, you may see Prepaid Expenses listed on a 10k balance sheet and in this template that should be put in Other Current Assets.  The main</t>
  </si>
  <si>
    <t>point is that each subsection total, like Total Current Assets, should match between the 10K and this template.</t>
  </si>
  <si>
    <t>it may be appropriate to have these not be 0, see the cash flow statement check total rows for appropriate types of variances.</t>
  </si>
  <si>
    <t>3.  On my 10K interest expense is shown in brackets and added, but in this template the formula subtracts the interest expense line to get to Earnings</t>
  </si>
  <si>
    <t>Before Taxes.  What should I do?</t>
  </si>
  <si>
    <t>Change ths sign when you input the interest expense figure onto the template such that it is a positive number.</t>
  </si>
  <si>
    <t>There is no hard rule, BUT, partial credit is nearly impossible if you input the answers in from offline calculations.  It's best to input the figures using</t>
  </si>
  <si>
    <t>links back to other tabs to receive partial credit.</t>
  </si>
  <si>
    <t>RatioCo1, CoRatio, and SusGro Tabs</t>
  </si>
  <si>
    <t>The ROE calculations on these tabs refer to beginning equity as the denominator.  That means for these calculations you should use last year's balance</t>
  </si>
  <si>
    <t>Technically no, but for the ratios that use EBIT, it's okay to use Operating Income instead.</t>
  </si>
  <si>
    <t>To get the tax rate for that year, take the tax expense on the income statement and divide it by the Earnings before Tax on the income</t>
  </si>
  <si>
    <t>statement for that same year.</t>
  </si>
  <si>
    <t>This ratio looks at how well EBIT is able to cover a year's worth of interest and principal payments (tax effected).  The next year's</t>
  </si>
  <si>
    <t>principal payment will be shown as a current liability on the balance sheet - Short-term portion of long-term debt.</t>
  </si>
  <si>
    <t>If the formula says to subtract, for example, dividends paid, you likely will go to the Cash Flow statement to obtain the dividends paid</t>
  </si>
  <si>
    <t>figure.  That figure is already shown appropriately as a cash use. So don't subtract that negative number, otherwise in effect you wind up</t>
  </si>
  <si>
    <t>adding it and that's not right.  In this case subtract is the same as adding the negative cash flow figure, so do it that way.</t>
  </si>
  <si>
    <t>mean and what am I supposed to do?</t>
  </si>
  <si>
    <t xml:space="preserve">Some companies repuchase their shares in the open market - you can tell this if you look at the company's cash flow statement.  Most of the time, </t>
  </si>
  <si>
    <t>but not all, the result of this purchase activity shows up as a large negative balance in an account called Treasury Stock on the balance sheet.  Other times,</t>
  </si>
  <si>
    <t>companies actually don't create this separate account on the balance sheet, but instead they reduce their retained earnings for these purchases.</t>
  </si>
  <si>
    <t>The reason why we need to adjust our equity balances for these calculations, is because otherwise the calculations will look very strange, which has to do</t>
  </si>
  <si>
    <t>with distortions the accounting causes - not worth getting into here.</t>
  </si>
  <si>
    <t>What to do in your calculations:</t>
  </si>
  <si>
    <t>the equity total for these calculations.  For example - if Equity in total is 50,000 which includes a Treasury Stock balance of (30,000), then use 80,000 for your calculations.</t>
  </si>
  <si>
    <t xml:space="preserve">the total equity for that year and addback the share repurchase activity (change the signs first) you see on the Cash Flow statement up to that year.  For example - </t>
  </si>
  <si>
    <t>if Equity in total is 70,000 and you don't see Treasury Stock listed on the balance sheet, but you do see (5,000), (6,000), and (8,000), for the 3 years on the cash flow</t>
  </si>
  <si>
    <t>3.  If the company doesn't have Treasury Stock listed and you don't see any share repurchase activity on the Cash Flow Statement, just use the equity balance</t>
  </si>
  <si>
    <t>statement through that year you are looking at, then use 70,000 + 5,000 + 6,000 + 8,000 =  89,000 for your equity calculations.  (note the prior year would</t>
  </si>
  <si>
    <t>only add back the oldest 2 years from the cash flow statement, ie the 6,000 and 8,000).</t>
  </si>
  <si>
    <t>It's a good question without an exact answer because we'd need to know more about what makes up some of the presented categories on the 10k.</t>
  </si>
  <si>
    <t>Lacking that, just use your best judgment and show your formulas on the ratio tabs when calculating gross profit.  There can be multiple right answers</t>
  </si>
  <si>
    <t>in some cases.</t>
  </si>
  <si>
    <t>5.  Tip - if you use Google to look up ratios - you may get different calculations in some cases, than what is taught in this course.  You must use</t>
  </si>
  <si>
    <t>this course's formulas to receive credit.</t>
  </si>
  <si>
    <t>6.  Should I calculate the figures offline and input the answers in, or should I show my work in the ratio cells and links back to the other tabs?</t>
  </si>
  <si>
    <t>2.  Should my check totals always be 0 on the BS and CF tabs?</t>
  </si>
  <si>
    <t>On the Balance Sheet - yes because Assets = Liabs plus Equity is a golden rule.  If you are off  due to rounding that's fine.  On the Cash Flow Statement,</t>
  </si>
  <si>
    <t>Company Ratio Comparison</t>
  </si>
  <si>
    <t>1 page discussing Sus Growth calc and insights</t>
  </si>
  <si>
    <t>1 page discussing Key 10K insights</t>
  </si>
  <si>
    <t>Submission Guidelines</t>
  </si>
  <si>
    <t>The submission requires 2 items.  This completed excel workbook and a powerpoint presentation.</t>
  </si>
  <si>
    <t xml:space="preserve">The excel workbook is a hard requirement because that's how the grading and feedback is provided and partial credit can be given.   I understand some of  </t>
  </si>
  <si>
    <t>you use Macs and this might be a challenge, but there are ways to convert Mac files to excel documents fairly easily, so make sure to check into that sooner than later.</t>
  </si>
  <si>
    <t>Presentation suggestion</t>
  </si>
  <si>
    <t>1 page discussing Company Comparisons and findings</t>
  </si>
  <si>
    <t>Note that the Collection period is NOT A/R turnover, this is actually collection days</t>
  </si>
  <si>
    <t>so be careful on the Ratio tab not to use this for A/R turnover</t>
  </si>
  <si>
    <t>Note that the Payables period is NOT A/P turnover, this is actually payable days</t>
  </si>
  <si>
    <t>so be careful on the Ratio tab not to use this for A/P turnover</t>
  </si>
  <si>
    <t>7. I don't see Accounts Receivable and/or Inventory on the Balance Sheet, how do I do those calculations?</t>
  </si>
  <si>
    <t>Some companies don't have inventory due to the nature of their businesses.  In those cases, use 0 for inventory for the ratios that use inventory.  The Cash Cycle</t>
  </si>
  <si>
    <t>related A/R ratios as mentioned above for inventory, meaning use 0 for A/R but the Cash Cycle days calc is still valid with A/R days = 0.</t>
  </si>
  <si>
    <t xml:space="preserve">days calc. is still valid, it just means inventory days are 0.  Some companies sell their A/R to third parties so that there are no receivables - the same thing applies for the </t>
  </si>
  <si>
    <t>Note that in a few cases you may find Accounts Receivable as part of other current assets if you search in the 10k- there is a table breaking down other current assets.</t>
  </si>
  <si>
    <t>It's more accurate in those cases to use the A/R you find, but for this project, its okay to just show A/R as 0 if it's not listed separately on the balance sheet itself.</t>
  </si>
  <si>
    <t>8.  Some formulas refer to Beginning Equity - what do you mean?</t>
  </si>
  <si>
    <t>9.  Are Operating Income and EBIT the same thing?</t>
  </si>
  <si>
    <t>10.  Where do I get the tax rate to use for some of the ratios?</t>
  </si>
  <si>
    <t>12.  Tip - Some of the ratio formulas involve subtracting items that are already shown as cash uses on the Cash Flow statement, so take care.</t>
  </si>
  <si>
    <t xml:space="preserve">13.  I'm confused as to how to adjust my equity balance for the ROE and Debt to Equity formulas for Treasury Stock - what does that </t>
  </si>
  <si>
    <t>For the presentation, it's okay to submit it either as a powerpoint or pdf of a powerpoint.</t>
  </si>
  <si>
    <t>1.  IF the company lists Treasury Stock on the balance sheet separately, then simply exclude that Treasury Stock balance from</t>
  </si>
  <si>
    <r>
      <t xml:space="preserve">2. IF the company </t>
    </r>
    <r>
      <rPr>
        <u/>
        <sz val="11"/>
        <color theme="1"/>
        <rFont val="Calibri"/>
        <family val="2"/>
        <scheme val="minor"/>
      </rPr>
      <t xml:space="preserve">does not </t>
    </r>
    <r>
      <rPr>
        <sz val="11"/>
        <color theme="1"/>
        <rFont val="Calibri"/>
        <family val="2"/>
        <scheme val="minor"/>
      </rPr>
      <t>list Treasury Stock on the balance sheet separately but still has share repurchase activity on the Cash Flow Statement, then take</t>
    </r>
  </si>
  <si>
    <t>you see on the balance sheet for that year.  This is because some companies do not repurchase stock.</t>
  </si>
  <si>
    <t>sheet equity figure as the denominator - adjusted for shares repurchased, which is explained in another comment below.  You can find the prior year's beg equity</t>
  </si>
  <si>
    <t>on the Statement of Stockholder's Equity in the 10K.</t>
  </si>
  <si>
    <t xml:space="preserve">The Cost of Goods Sold term varies by company and by industry.  It's a little confusing but conceptually this is the line (or lines) on the income statement </t>
  </si>
  <si>
    <t>that are meant to convey those costs that are closely related to delivering the product/services revenues.  It does NOT include costs such as selling, marketing, admin, or R&amp;D costs.</t>
  </si>
  <si>
    <t>Alterntative terms you may see are "cost of revenues", "cost of services revenues", but there are others which are at the discretion of the company (one of those non-regulated terms).</t>
  </si>
  <si>
    <t>7a.  What does it mean when it says to calculated a ratio based on "ending" inventory (or assets, receivable, payable)</t>
  </si>
  <si>
    <t>There are some Google and other accounting textbooks that calculate turnover ratios based on average (end of last year, end of this year, divided by 2) balances</t>
  </si>
  <si>
    <t>The term "ending" here just means don't take an average, take the amount listed on the balance sheet for the year you are calculating the ratio for (aka at the "end" of that year)</t>
  </si>
  <si>
    <t>You can't get purchases information from financial statements (you could if you work in the company but we don't).  So use Cost of Goods Sold instead.</t>
  </si>
  <si>
    <t>You can't get that information from financial statements, so use revenues on the income statement instead.</t>
  </si>
  <si>
    <t>7c.  If a ratio requires Credit Sales, where do I get that?</t>
  </si>
  <si>
    <t>7b.  If a ratio  requires Purchases information, where do I get that?</t>
  </si>
  <si>
    <t>4.  My company doesn't exactly show Cost of Goods Sold on the income statement, which lines on the 10K income statement should go onto that line?</t>
  </si>
  <si>
    <t xml:space="preserve">Sometimes, companies don't separately disclose interest expense on the Income Statement.  If that's the case, do a search on Interest Expense in the </t>
  </si>
  <si>
    <t>10k's search window and you will likely find it included in a table within the 10K.  You don't have to recast your income statement for this but you can use</t>
  </si>
  <si>
    <t>that for the ratios.  Make sure to note at least on the Ratio tab where you got those figures from.</t>
  </si>
  <si>
    <t>11a.  Where do I get principal payments for the Burden Coverage Ratio?</t>
  </si>
  <si>
    <t>11..  There is no interest expense on the Income Statement but I see debt on the balance sheet, how do I calculate the Times Interest Earned and the Burden ratios?</t>
  </si>
  <si>
    <t>&lt;= Enter most recent bal sheet for Co 2 here (from the correct 10K on the CoList tab)</t>
  </si>
  <si>
    <t>Despite its name, the Comprehensive Income statement which usually follows the income statement, is not part of it.  The only income statement you want to use (which may</t>
  </si>
  <si>
    <t>also be called Statement of Operations or Statement of Earnings, starts with Revenues and ends with Earnings per Share.  Stop there.</t>
  </si>
  <si>
    <t>4a.  Ignore the small statement on th 10K you see called Comprehensive Income.  The project and the class does not cover that statement.</t>
  </si>
  <si>
    <t>3-5 pages showing key observations from the BS, IS and CF tabs including commentary and presentation of key ratios and trends</t>
  </si>
  <si>
    <t>including meaningful horizontal and vertical analysis findings and a discussion of the key ratios</t>
  </si>
  <si>
    <r>
      <t xml:space="preserve">4.  This exercise requires the student to document at least 5 meaningful insights from your primary company (i.e. written by THEM) </t>
    </r>
    <r>
      <rPr>
        <b/>
        <u/>
        <sz val="14"/>
        <color theme="1"/>
        <rFont val="Calibri"/>
        <family val="2"/>
        <scheme val="minor"/>
      </rPr>
      <t>in the  10k</t>
    </r>
    <r>
      <rPr>
        <b/>
        <sz val="11"/>
        <color theme="1"/>
        <rFont val="Calibri"/>
        <family val="2"/>
        <scheme val="minor"/>
      </rPr>
      <t xml:space="preserve"> that help to explain some of the trends or ratios we see on the other tabs.</t>
    </r>
  </si>
  <si>
    <t>10.  Make sure not to use 10k comments that just repeat what we can already see on the FS and Ratio tabs - the comments must provide additional insights. Credit will not be given for insights that just repeat what we can already see on the other tabs, ie provide no additional insight.</t>
  </si>
  <si>
    <t>The presentation is too brief or outside of the maximum limits, and/or may not be fairly well written,  and/or doesn't  summarize the results of the project observations and insights very accurately or not very compellingly.  Company ratio comparisons are somewhat accurate and/or not discussed. 10k insights are not overly compelling and or may not be properly cited. Sustainable growth rate analyses are mostly not correct and/or not included in the presentation.</t>
  </si>
  <si>
    <t>The presentation is too brief or outside of the maximum limits, and/or may not be fairly well written,  and/or doesn't  summarize the results of the project observations and insights very accurately or not very compellingly.  Company ratio comparisons are not accurate and/or not discussed. 10k insights are not compelling.  Sustainable vs. actual growth rate analyses are not correct and/or not included in the presentation.</t>
  </si>
  <si>
    <t>10k insights are meaningful and relevant to the purpose of understandin the company's financial results.  10k and other references if used are properly cited.  Each insight has a comment made in the 10K by the company and are additive to what we can already see in the financial statement and ratio tabs already.</t>
  </si>
  <si>
    <t>10k insights are somewhat  meaningful and relevant to the purpose of understanding the company's' financial results..  10k and other sources may be largely uncited and/or incorrectly referenced. At least 3 of the 5 insights reflect comments made by the company in the 10K and are additive to what we can already see in the financial statement and ratio tabs already.</t>
  </si>
  <si>
    <t>10k nsights are largely meaningful and relevant to the puprose of understanding the company's financial results.  10k and other references if used are mostly properly cited. At least 4 of the 5 insights reflect comments made by the company in the 10K and are additive to what we can already see in the financial statement and ratio tabs already.</t>
  </si>
  <si>
    <t>10k insights are not very meaningful and 10K and other sources may not be uncited.  Also may reflect few or no comments made by the company in the 10K and/or are not addivite to what we can already see in the financial statement and ratio tabs already.</t>
  </si>
  <si>
    <t>Analyses are complete, compelling and correctly data-based.  Unusual differences are noticed and attempts are made to explain them.</t>
  </si>
  <si>
    <t>Analyses are somewhat complete,  compelling and largely correctly data-based.  Unusual differences are largely noticed and attempts are made to explain them.</t>
  </si>
  <si>
    <t>Analyses may not be complete, very compelling and/or correctly  data-based.  Unusual differences may not be noticed and/or attempts are not made to explain them.</t>
  </si>
  <si>
    <t>Incomplete analyses, insights are not data-based or not interpreted correctly. Unusual differences are not noticed.</t>
  </si>
  <si>
    <t>You MUST use the 10-K with the correct filing date in column L to receive credit.</t>
  </si>
  <si>
    <t>NOTE DO NOT USE A DIFFERENT FILING THAN THESE LISTED</t>
  </si>
  <si>
    <t>META</t>
  </si>
  <si>
    <t>Meta</t>
  </si>
  <si>
    <t>Choose 1 of the pair to do most of your input and analyses, the 2nd of the pair will be used for the Company Ratio Comparison work and commentary</t>
  </si>
  <si>
    <t>Ratios to Use for the Ratio tabs (from Chapter 2 of your text), otherwise find the appropriate Ratio in  your text if not here.</t>
  </si>
  <si>
    <t>Brian Che</t>
  </si>
  <si>
    <t>Dec. 31, 2021</t>
  </si>
  <si>
    <t>Dec. 31, 2020</t>
  </si>
  <si>
    <t>Dec. 31, 2019</t>
  </si>
  <si>
    <t>Net Credit Sales divided by Ending A/R  **Source: Connect - Higgins Accounting Refresher</t>
  </si>
  <si>
    <t>Cost of Goods Sold divided by Ending A/P **Source: Connect - Higgins Accounting Refresher</t>
  </si>
  <si>
    <t>Operating Cycle - Payables Period = Average Days of Inventory + Average Collection Period - Average Payables Period **Source: Higgins Analysis for Financial Management</t>
  </si>
  <si>
    <t>Net Income divided by (Last Year's Balance Sheet Equity - Treasury Stock)</t>
  </si>
  <si>
    <t>Net Income divided by Ending Assets</t>
  </si>
  <si>
    <t>Sales divided by Ending Assets</t>
  </si>
  <si>
    <t>Total Liabilities divided by (Ending Equity minus Treasury Stock)</t>
  </si>
  <si>
    <t>EBIT (Revenue minus Operating Income) divided by Interest Expense</t>
  </si>
  <si>
    <t>EBIT (Revenue minus Operating Income) divided by  (Interest expense plus Principle payment divided by (1 minus Tax rate))</t>
  </si>
  <si>
    <t>1 minus (Dividends divided by Net Income)</t>
  </si>
  <si>
    <t>We observe that  both companies have very healthy liquidity as they are both very established companies in an industry that haven't hit their peak yet. Both companies have a current ratio greater than 1 so they have sufficient current assets to meet current liabilities for which Meta has a slightly higher current ratio. 
Through the debt ratios, we also observe that Alphabet has higher solvency than Meta but both are still healthy with their low debt to equity ratios respectively.
Both companies have a similar asset turnover ratio at 0.771, suggesting that both may be generating a smilar amount of revenue per dollar of assets.  While they have low assset turn over ratios, we see that the profit margin for both companies are high at 30% for Alphabet and 33% for Meta, revealing that they are still able to generate high profits from its assets and remains financially healthy. 
From the free cash flow amounts, we see that Alphabet is generating significantly more cash from its operations than Meta, which is favorable to its investments in growth opportunities, paying dividends, or pay down their debt as Alphabet shows in its investments.
Strong profitability is additionally shown by its relatively high Return on Asset ratios and further supported by their sales growth at 41% for Alphabet and 37% for Meta.
Because Meta doesn't create much physical products, gross margin for Meta may not offer us as much insight.  
Our observations suggest that Alphabet is more efficient at generating profit from equity invested by shareholders' through its higher Return on Big Equity ratio and ties into its strong profitability.</t>
  </si>
  <si>
    <t>Excess cash generated or Required</t>
  </si>
  <si>
    <t>The formula is (Sustainable Growth Rate - Actual Growth Rate) x Gross Profit x (1 - Tax Rate)</t>
  </si>
  <si>
    <t>= -12% * $146,698 * (1 - 0.162)</t>
  </si>
  <si>
    <t>Tax Rate</t>
  </si>
  <si>
    <t>Gross Profit</t>
  </si>
  <si>
    <t>= -14,752</t>
  </si>
  <si>
    <t>1. Moonshots – Characterizing their future-minded investments and unconventional spirit, Google is known to take on new projects and “don't shy away from high-risk, high-reward projects” (page 5, Item 1. Business), such as with their investments in artificial intelligence (AI) research and quantum computing. This approach reflects an entrepreneurial or startup mindset even though they are a very well-established company in the tech industry, leading their acquisitions or R&amp;D initiatives into emerging technologies as they have done with Youtube, Android,and more.</t>
  </si>
  <si>
    <t>2. Revenue growth from advertising – Google’s primary source of revenue came from advertising revenues on which they generated ads on properties such as Google Search, Youtube, and Google Network, for which they “generated more than 80% of total revenues from the display of ads online in 2021” (Page 54, Note 1. Summary of Significant Accounting Policies). This is significant as advertisements rely on its success of user base and commercial traffic through these online platforms while non-advertisement revenues come from Google Play, Hardware, Google Cloud Platform, etc for only the remaining 20%. Thus, Google places high priority on such commercial traffic by continually improving its platforms and making investments in emerging technology. $209.5 million, of which Youtube ads was $28.8 million, was generated from Google advertising out of total revenue (Page 60, Notes 2. Revenues).</t>
  </si>
  <si>
    <t>Additional financing I would recommend to grow at a similar rate in the next year or two would be debt financing in which Google can issue bonds or take loans from financial institutions, equity financing where they can issue new shares of stock to raise capital, or internally finance through its retained earnings or from their cash reserve to invest in R&amp;D or acquire other companies.</t>
  </si>
  <si>
    <t>3.High Risk Factors drives competitiveness – Google is constantly dealing with high competition in almost every segment of its business, which drives its initiatives towards innovation and R&amp;D as recognized by how their “business is characterized by rapid change as well as new and disruptive technologies” and their competition from "Other online advertising platforms and networks", “Other digital content and application platform providers," etc (Page 7, Item 1. Business). Their secretary in the tech industry pushes them to be constantly evolving and competitive due to adapting technologies and user base changes, which is reflected in how their pushes towards investments and acquisitions.</t>
  </si>
  <si>
    <t>4. Significant investment in Property and Equipment – Holding locations globally in North America, Europe, SOuth America, and Asia, Google invests in property for “office/building space and R&amp;D sites around the world, [...] and data centers” (Page 24, Item 2. Properties). This is a significant portion of Google’s total assets at 27%, being $97.6 million and involving $24.6 million in purchase of Property and Equipment in 2021 (Page 53, Consolidated Statement of Cash Flows). This infrastructure is vital to Google’s performance with their thousands of workers globally and running of servers for their software platforms in which data centers, servers, and other facilities must be predominant and local to run its services, leading to their continued heavy investments into such initiatives.</t>
  </si>
  <si>
    <t>5. Effect of COVID-19 on Company Financial Performance – While it’s been noted how the beginning of COVID-19 has affected company performance, the continuing effects of the pandemic is still noteworthy but is shifting as nations come out from quarantine and vaccines are available, seeing a “shift of user search activity to less commercial topics and reduced spending by our advertisers” (Page 31) even though there was an increase in users’ search activity. A noticeable increase in Google Search and other revenues is seen with an increase of “$44.9 billion from 2020 to 2021” (Page 31). This shift from a more restrictive period during the pandemic is reflective in Google’s practices and metrics as there’s dramatic increase in revenues seen in Google advertising revenue of $257.6 million in 2021 compared to $182.5 million in 2020 and an even lower revenue of $161.8 in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</si>
</sst>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_(* #,##0.0_);_(* \(#,##0.0\);_(* &quot;-&quot;??_);_(@_)"/>
    <numFmt numFmtId="165" formatCode="_(* #,##0_);_(* \(#,##0\);_(* &quot;-&quot;??_);_(@_)"/>
    <numFmt numFmtId="166" formatCode="m/d/yy;@"/>
    <numFmt numFmtId="167" formatCode="0.0%"/>
    <numFmt numFmtId="168" formatCode="0.0"/>
    <numFmt numFmtId="169" formatCode="_(* #,##0.000_);_(* \(#,##0.000\);_(* &quot;-&quot;??_);_(@_)"/>
    <numFmt numFmtId="170" formatCode="_(&quot;$ &quot;#,##0_);_(&quot;$ &quot;\(#,##0\)"/>
    <numFmt numFmtId="171" formatCode="0.00_);\(0.00\)"/>
  </numFmts>
  <fonts count="22"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i/>
      <sz val="9"/>
      <color theme="1"/>
      <name val="Calibri"/>
      <family val="2"/>
      <scheme val="minor"/>
    </font>
    <font>
      <b/>
      <sz val="14"/>
      <color theme="1"/>
      <name val="Calibri"/>
      <family val="2"/>
      <scheme val="minor"/>
    </font>
    <font>
      <b/>
      <u/>
      <sz val="11"/>
      <color theme="1"/>
      <name val="Calibri"/>
      <family val="2"/>
      <scheme val="minor"/>
    </font>
    <font>
      <b/>
      <i/>
      <sz val="11"/>
      <color theme="1"/>
      <name val="Calibri"/>
      <family val="2"/>
      <scheme val="minor"/>
    </font>
    <font>
      <i/>
      <sz val="11"/>
      <color theme="1"/>
      <name val="Calibri"/>
      <family val="2"/>
      <scheme val="minor"/>
    </font>
    <font>
      <u/>
      <sz val="11"/>
      <color theme="10"/>
      <name val="Calibri"/>
      <family val="2"/>
      <scheme val="minor"/>
    </font>
    <font>
      <sz val="11"/>
      <color rgb="FF000000"/>
      <name val="Arial"/>
      <family val="2"/>
    </font>
    <font>
      <b/>
      <sz val="16"/>
      <color theme="1"/>
      <name val="Calibri"/>
      <family val="2"/>
      <scheme val="minor"/>
    </font>
    <font>
      <b/>
      <sz val="14"/>
      <name val="Calibri"/>
      <family val="2"/>
      <scheme val="minor"/>
    </font>
    <font>
      <sz val="11"/>
      <name val="Calibri"/>
      <family val="2"/>
      <scheme val="minor"/>
    </font>
    <font>
      <sz val="11"/>
      <color rgb="FFFF0000"/>
      <name val="Calibri"/>
      <family val="2"/>
      <scheme val="minor"/>
    </font>
    <font>
      <b/>
      <sz val="12"/>
      <name val="Calibri"/>
      <family val="2"/>
      <scheme val="minor"/>
    </font>
    <font>
      <b/>
      <sz val="12"/>
      <color theme="1"/>
      <name val="Calibri"/>
      <family val="2"/>
      <scheme val="minor"/>
    </font>
    <font>
      <b/>
      <sz val="11"/>
      <name val="Calibri"/>
      <family val="2"/>
      <scheme val="minor"/>
    </font>
    <font>
      <sz val="16"/>
      <color theme="1"/>
      <name val="Calibri"/>
      <family val="2"/>
      <scheme val="minor"/>
    </font>
    <font>
      <b/>
      <u/>
      <sz val="14"/>
      <color theme="1"/>
      <name val="Calibri"/>
      <family val="2"/>
      <scheme val="minor"/>
    </font>
    <font>
      <b/>
      <sz val="11"/>
      <color rgb="FFFF0000"/>
      <name val="Calibri"/>
      <family val="2"/>
      <scheme val="minor"/>
    </font>
    <font>
      <sz val="11"/>
      <name val="Calibri"/>
      <family val="2"/>
    </font>
  </fonts>
  <fills count="1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1" tint="4.9989318521683403E-2"/>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bgColor indexed="64"/>
      </patternFill>
    </fill>
    <fill>
      <patternFill patternType="solid">
        <fgColor rgb="FF92D050"/>
        <bgColor indexed="64"/>
      </patternFill>
    </fill>
    <fill>
      <patternFill patternType="solid">
        <fgColor theme="6" tint="0.59999389629810485"/>
        <bgColor indexed="64"/>
      </patternFill>
    </fill>
    <fill>
      <patternFill patternType="solid">
        <fgColor rgb="FF00B0F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4" tint="0.3999755851924192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xf numFmtId="44" fontId="1" fillId="0" borderId="0" applyFont="0" applyFill="0" applyBorder="0" applyAlignment="0" applyProtection="0"/>
  </cellStyleXfs>
  <cellXfs count="216">
    <xf numFmtId="0" fontId="0" fillId="0" borderId="0" xfId="0"/>
    <xf numFmtId="0" fontId="2" fillId="0" borderId="0" xfId="0" applyFont="1"/>
    <xf numFmtId="0" fontId="0" fillId="0" borderId="0" xfId="0" quotePrefix="1"/>
    <xf numFmtId="0" fontId="3" fillId="0" borderId="0" xfId="0" applyFont="1"/>
    <xf numFmtId="0" fontId="0" fillId="2" borderId="0" xfId="0" applyFill="1"/>
    <xf numFmtId="0" fontId="0" fillId="0" borderId="0" xfId="0" applyAlignment="1">
      <alignment horizontal="right"/>
    </xf>
    <xf numFmtId="9" fontId="0" fillId="0" borderId="0" xfId="2" applyFont="1"/>
    <xf numFmtId="164" fontId="0" fillId="0" borderId="0" xfId="1" applyNumberFormat="1" applyFont="1"/>
    <xf numFmtId="165" fontId="0" fillId="0" borderId="0" xfId="1" applyNumberFormat="1" applyFont="1"/>
    <xf numFmtId="9" fontId="0" fillId="2" borderId="0" xfId="2" applyFont="1" applyFill="1"/>
    <xf numFmtId="165" fontId="0" fillId="0" borderId="13" xfId="1" applyNumberFormat="1" applyFont="1" applyBorder="1"/>
    <xf numFmtId="165" fontId="2" fillId="0" borderId="0" xfId="1" applyNumberFormat="1" applyFont="1"/>
    <xf numFmtId="165" fontId="4" fillId="0" borderId="0" xfId="1" applyNumberFormat="1" applyFont="1"/>
    <xf numFmtId="0" fontId="5" fillId="0" borderId="0" xfId="0" applyFont="1"/>
    <xf numFmtId="0" fontId="2" fillId="3" borderId="0" xfId="0" applyFont="1" applyFill="1"/>
    <xf numFmtId="0" fontId="0" fillId="3" borderId="0" xfId="0" applyFill="1"/>
    <xf numFmtId="166" fontId="0" fillId="0" borderId="0" xfId="0" applyNumberFormat="1"/>
    <xf numFmtId="166" fontId="0" fillId="0" borderId="13" xfId="0" applyNumberFormat="1" applyBorder="1"/>
    <xf numFmtId="165" fontId="0" fillId="2" borderId="0" xfId="1" applyNumberFormat="1" applyFont="1" applyFill="1"/>
    <xf numFmtId="165" fontId="0" fillId="2" borderId="13" xfId="1" applyNumberFormat="1" applyFont="1" applyFill="1" applyBorder="1"/>
    <xf numFmtId="0" fontId="4" fillId="0" borderId="0" xfId="0" applyFont="1"/>
    <xf numFmtId="0" fontId="0" fillId="0" borderId="13" xfId="0" applyBorder="1" applyAlignment="1">
      <alignment horizontal="right"/>
    </xf>
    <xf numFmtId="164" fontId="0" fillId="2" borderId="0" xfId="1" applyNumberFormat="1" applyFont="1" applyFill="1"/>
    <xf numFmtId="9" fontId="3" fillId="0" borderId="0" xfId="2" applyFont="1"/>
    <xf numFmtId="167" fontId="0" fillId="0" borderId="0" xfId="2" applyNumberFormat="1" applyFont="1"/>
    <xf numFmtId="167" fontId="0" fillId="2" borderId="0" xfId="2" applyNumberFormat="1" applyFont="1" applyFill="1"/>
    <xf numFmtId="0" fontId="2" fillId="5" borderId="0" xfId="0" applyFont="1" applyFill="1"/>
    <xf numFmtId="0" fontId="0" fillId="0" borderId="1" xfId="0" applyBorder="1" applyAlignment="1">
      <alignment horizontal="left"/>
    </xf>
    <xf numFmtId="0" fontId="0" fillId="0" borderId="1" xfId="0" quotePrefix="1" applyBorder="1" applyAlignment="1">
      <alignment horizontal="left"/>
    </xf>
    <xf numFmtId="0" fontId="0" fillId="0" borderId="0" xfId="0" applyAlignment="1">
      <alignment vertical="top" wrapText="1"/>
    </xf>
    <xf numFmtId="0" fontId="0" fillId="0" borderId="1" xfId="0" quotePrefix="1" applyBorder="1" applyAlignment="1">
      <alignment vertical="top" wrapText="1"/>
    </xf>
    <xf numFmtId="0" fontId="0" fillId="0" borderId="7" xfId="0" quotePrefix="1" applyBorder="1" applyAlignment="1">
      <alignment vertical="top" wrapText="1"/>
    </xf>
    <xf numFmtId="0" fontId="0" fillId="0" borderId="7" xfId="0" applyBorder="1" applyAlignment="1">
      <alignment vertical="top" wrapText="1"/>
    </xf>
    <xf numFmtId="0" fontId="0" fillId="0" borderId="14" xfId="0" applyBorder="1" applyAlignment="1">
      <alignment vertical="top" wrapText="1"/>
    </xf>
    <xf numFmtId="0" fontId="0" fillId="0" borderId="1" xfId="0" applyBorder="1" applyAlignment="1">
      <alignment vertical="top" wrapText="1"/>
    </xf>
    <xf numFmtId="0" fontId="6" fillId="0" borderId="0" xfId="0" applyFont="1"/>
    <xf numFmtId="0" fontId="0" fillId="7" borderId="0" xfId="0" applyFill="1"/>
    <xf numFmtId="0" fontId="2" fillId="0" borderId="1" xfId="0" applyFont="1" applyBorder="1"/>
    <xf numFmtId="0" fontId="2" fillId="0" borderId="0" xfId="0" applyFont="1" applyAlignment="1">
      <alignment vertical="top" wrapText="1"/>
    </xf>
    <xf numFmtId="0" fontId="2" fillId="0" borderId="0" xfId="0" applyFont="1" applyAlignment="1">
      <alignment vertical="top"/>
    </xf>
    <xf numFmtId="0" fontId="0" fillId="0" borderId="0" xfId="0" applyAlignment="1">
      <alignment vertical="top"/>
    </xf>
    <xf numFmtId="0" fontId="3" fillId="0" borderId="0" xfId="0" applyFont="1" applyAlignment="1">
      <alignment horizontal="right"/>
    </xf>
    <xf numFmtId="164" fontId="0" fillId="0" borderId="13" xfId="1" applyNumberFormat="1" applyFont="1" applyBorder="1"/>
    <xf numFmtId="0" fontId="0" fillId="5" borderId="0" xfId="0" applyFill="1"/>
    <xf numFmtId="164" fontId="0" fillId="0" borderId="0" xfId="1" applyNumberFormat="1" applyFont="1" applyBorder="1"/>
    <xf numFmtId="0" fontId="7" fillId="0" borderId="0" xfId="0" applyFont="1"/>
    <xf numFmtId="165" fontId="0" fillId="0" borderId="0" xfId="1" applyNumberFormat="1" applyFont="1" applyFill="1"/>
    <xf numFmtId="9" fontId="0" fillId="0" borderId="0" xfId="2" applyFont="1" applyFill="1"/>
    <xf numFmtId="165" fontId="4" fillId="4" borderId="0" xfId="1" applyNumberFormat="1" applyFont="1" applyFill="1"/>
    <xf numFmtId="0" fontId="3" fillId="2" borderId="0" xfId="0" applyFont="1" applyFill="1"/>
    <xf numFmtId="0" fontId="8" fillId="0" borderId="0" xfId="0" applyFont="1"/>
    <xf numFmtId="0" fontId="8" fillId="0" borderId="0" xfId="0" applyFont="1" applyAlignment="1">
      <alignment horizontal="left"/>
    </xf>
    <xf numFmtId="0" fontId="9" fillId="2" borderId="0" xfId="3" applyFill="1" applyAlignment="1">
      <alignment horizontal="left" vertical="center" indent="3" readingOrder="1"/>
    </xf>
    <xf numFmtId="0" fontId="0" fillId="2" borderId="0" xfId="0" applyFill="1" applyAlignment="1">
      <alignment horizontal="left" vertical="center" indent="3" readingOrder="1"/>
    </xf>
    <xf numFmtId="0" fontId="0" fillId="6" borderId="2" xfId="0" applyFill="1" applyBorder="1"/>
    <xf numFmtId="0" fontId="0" fillId="6" borderId="3" xfId="0" applyFill="1" applyBorder="1"/>
    <xf numFmtId="0" fontId="0" fillId="6" borderId="4" xfId="0" applyFill="1" applyBorder="1"/>
    <xf numFmtId="0" fontId="0" fillId="6" borderId="5" xfId="0" applyFill="1" applyBorder="1"/>
    <xf numFmtId="0" fontId="0" fillId="6" borderId="0" xfId="0" applyFill="1"/>
    <xf numFmtId="0" fontId="0" fillId="6" borderId="6" xfId="0" applyFill="1" applyBorder="1"/>
    <xf numFmtId="0" fontId="0" fillId="6" borderId="7" xfId="0" applyFill="1" applyBorder="1"/>
    <xf numFmtId="0" fontId="0" fillId="6" borderId="8" xfId="0" applyFill="1" applyBorder="1"/>
    <xf numFmtId="0" fontId="0" fillId="6" borderId="9"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0" fillId="8" borderId="2" xfId="0" applyFill="1" applyBorder="1"/>
    <xf numFmtId="0" fontId="0" fillId="8" borderId="3" xfId="0" applyFill="1" applyBorder="1"/>
    <xf numFmtId="0" fontId="0" fillId="8" borderId="4" xfId="0" applyFill="1" applyBorder="1"/>
    <xf numFmtId="0" fontId="0" fillId="8" borderId="5" xfId="0" applyFill="1" applyBorder="1"/>
    <xf numFmtId="0" fontId="0" fillId="8" borderId="0" xfId="0" applyFill="1"/>
    <xf numFmtId="0" fontId="0" fillId="8" borderId="6" xfId="0" applyFill="1" applyBorder="1"/>
    <xf numFmtId="0" fontId="0" fillId="8" borderId="7" xfId="0" applyFill="1" applyBorder="1"/>
    <xf numFmtId="0" fontId="0" fillId="8" borderId="8" xfId="0" applyFill="1" applyBorder="1"/>
    <xf numFmtId="0" fontId="0" fillId="8" borderId="9" xfId="0" applyFill="1" applyBorder="1"/>
    <xf numFmtId="166" fontId="0" fillId="0" borderId="0" xfId="0" applyNumberFormat="1" applyAlignment="1">
      <alignment horizontal="right"/>
    </xf>
    <xf numFmtId="166" fontId="0" fillId="0" borderId="0" xfId="1" applyNumberFormat="1" applyFont="1"/>
    <xf numFmtId="16" fontId="0" fillId="0" borderId="1" xfId="0" quotePrefix="1" applyNumberFormat="1" applyBorder="1" applyAlignment="1">
      <alignment horizontal="left"/>
    </xf>
    <xf numFmtId="0" fontId="2" fillId="6" borderId="0" xfId="0" applyFont="1" applyFill="1"/>
    <xf numFmtId="0" fontId="11" fillId="6" borderId="0" xfId="0" applyFont="1" applyFill="1"/>
    <xf numFmtId="0" fontId="11" fillId="6" borderId="0" xfId="0" applyFont="1" applyFill="1" applyAlignment="1">
      <alignment horizontal="left" vertical="center" indent="3" readingOrder="1"/>
    </xf>
    <xf numFmtId="0" fontId="2" fillId="8" borderId="0" xfId="0" applyFont="1" applyFill="1"/>
    <xf numFmtId="0" fontId="2" fillId="0" borderId="15" xfId="0" applyFont="1" applyBorder="1"/>
    <xf numFmtId="0" fontId="2" fillId="0" borderId="0" xfId="0" applyFont="1" applyAlignment="1">
      <alignment horizontal="center"/>
    </xf>
    <xf numFmtId="0" fontId="2" fillId="0" borderId="15" xfId="0" applyFont="1" applyBorder="1" applyAlignment="1">
      <alignment horizontal="center"/>
    </xf>
    <xf numFmtId="14" fontId="2" fillId="5" borderId="0" xfId="0" applyNumberFormat="1"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8" borderId="0" xfId="0" applyFont="1" applyFill="1" applyAlignment="1">
      <alignment horizontal="center"/>
    </xf>
    <xf numFmtId="14" fontId="2" fillId="6" borderId="0" xfId="0" applyNumberFormat="1" applyFont="1" applyFill="1" applyAlignment="1">
      <alignment horizontal="center"/>
    </xf>
    <xf numFmtId="14" fontId="2" fillId="8" borderId="0" xfId="0" applyNumberFormat="1" applyFont="1" applyFill="1" applyAlignment="1">
      <alignment horizontal="center"/>
    </xf>
    <xf numFmtId="0" fontId="12" fillId="2" borderId="0" xfId="3" applyFont="1" applyFill="1" applyAlignment="1">
      <alignment horizontal="left" vertical="center" indent="3" readingOrder="1"/>
    </xf>
    <xf numFmtId="43" fontId="0" fillId="2" borderId="0" xfId="1" applyFont="1"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9" fontId="0" fillId="8" borderId="0" xfId="2" applyFont="1" applyFill="1" applyBorder="1"/>
    <xf numFmtId="1" fontId="0" fillId="8" borderId="0" xfId="0" applyNumberFormat="1" applyFill="1"/>
    <xf numFmtId="1" fontId="0" fillId="10" borderId="0" xfId="0" applyNumberFormat="1" applyFill="1"/>
    <xf numFmtId="0" fontId="0" fillId="10" borderId="0" xfId="0" applyFill="1"/>
    <xf numFmtId="0" fontId="13" fillId="9" borderId="0" xfId="0" applyFont="1" applyFill="1"/>
    <xf numFmtId="9" fontId="13" fillId="9" borderId="0" xfId="2" applyFont="1" applyFill="1" applyBorder="1"/>
    <xf numFmtId="0" fontId="0" fillId="0" borderId="7" xfId="0" applyBorder="1"/>
    <xf numFmtId="0" fontId="0" fillId="0" borderId="8" xfId="0" applyBorder="1"/>
    <xf numFmtId="0" fontId="0" fillId="0" borderId="9" xfId="0" applyBorder="1"/>
    <xf numFmtId="0" fontId="15" fillId="0" borderId="3" xfId="0" applyFont="1" applyBorder="1"/>
    <xf numFmtId="0" fontId="15" fillId="0" borderId="0" xfId="0" applyFont="1"/>
    <xf numFmtId="0" fontId="13" fillId="9" borderId="2" xfId="0" applyFont="1" applyFill="1" applyBorder="1"/>
    <xf numFmtId="0" fontId="0" fillId="9" borderId="3" xfId="0" applyFill="1" applyBorder="1"/>
    <xf numFmtId="0" fontId="14" fillId="11" borderId="3" xfId="0" applyFont="1" applyFill="1" applyBorder="1"/>
    <xf numFmtId="0" fontId="14" fillId="11" borderId="4" xfId="0" applyFont="1" applyFill="1" applyBorder="1"/>
    <xf numFmtId="0" fontId="0" fillId="9" borderId="5" xfId="0" applyFill="1" applyBorder="1"/>
    <xf numFmtId="0" fontId="0" fillId="9" borderId="0" xfId="0" applyFill="1"/>
    <xf numFmtId="9" fontId="0" fillId="9" borderId="0" xfId="0" applyNumberFormat="1" applyFill="1"/>
    <xf numFmtId="0" fontId="14" fillId="11" borderId="0" xfId="0" applyFont="1" applyFill="1"/>
    <xf numFmtId="0" fontId="14" fillId="11" borderId="6" xfId="0" applyFont="1" applyFill="1" applyBorder="1"/>
    <xf numFmtId="9" fontId="0" fillId="9" borderId="0" xfId="2" applyFont="1" applyFill="1" applyBorder="1"/>
    <xf numFmtId="0" fontId="2" fillId="9" borderId="0" xfId="0" applyFont="1" applyFill="1"/>
    <xf numFmtId="0" fontId="0" fillId="9" borderId="7" xfId="0" applyFill="1" applyBorder="1"/>
    <xf numFmtId="0" fontId="0" fillId="9" borderId="8" xfId="0" applyFill="1" applyBorder="1"/>
    <xf numFmtId="0" fontId="14" fillId="11" borderId="8" xfId="0" applyFont="1" applyFill="1" applyBorder="1"/>
    <xf numFmtId="0" fontId="14" fillId="11" borderId="9" xfId="0" applyFont="1" applyFill="1" applyBorder="1"/>
    <xf numFmtId="0" fontId="15" fillId="9" borderId="3" xfId="0" applyFont="1" applyFill="1" applyBorder="1"/>
    <xf numFmtId="0" fontId="0" fillId="9" borderId="2" xfId="0" applyFill="1" applyBorder="1"/>
    <xf numFmtId="0" fontId="16" fillId="9" borderId="3" xfId="0" applyFont="1" applyFill="1" applyBorder="1"/>
    <xf numFmtId="0" fontId="2" fillId="9" borderId="4" xfId="0" applyFont="1" applyFill="1" applyBorder="1"/>
    <xf numFmtId="0" fontId="0" fillId="9" borderId="6" xfId="0" applyFill="1" applyBorder="1"/>
    <xf numFmtId="9" fontId="3" fillId="9" borderId="0" xfId="2" applyFont="1" applyFill="1" applyBorder="1" applyAlignment="1">
      <alignment horizontal="right"/>
    </xf>
    <xf numFmtId="9" fontId="3" fillId="9" borderId="6" xfId="2" applyFont="1" applyFill="1" applyBorder="1" applyAlignment="1">
      <alignment horizontal="right"/>
    </xf>
    <xf numFmtId="9" fontId="0" fillId="9" borderId="6" xfId="2" applyFont="1" applyFill="1" applyBorder="1"/>
    <xf numFmtId="165" fontId="0" fillId="9" borderId="0" xfId="1" applyNumberFormat="1" applyFont="1" applyFill="1" applyBorder="1"/>
    <xf numFmtId="0" fontId="2" fillId="9" borderId="5" xfId="0" applyFont="1" applyFill="1" applyBorder="1"/>
    <xf numFmtId="0" fontId="0" fillId="9" borderId="9" xfId="0" applyFill="1" applyBorder="1"/>
    <xf numFmtId="0" fontId="2" fillId="0" borderId="0" xfId="0" quotePrefix="1" applyFont="1"/>
    <xf numFmtId="9" fontId="0" fillId="0" borderId="0" xfId="0" applyNumberFormat="1"/>
    <xf numFmtId="0" fontId="13" fillId="12" borderId="2" xfId="0" applyFont="1" applyFill="1" applyBorder="1"/>
    <xf numFmtId="0" fontId="13" fillId="12" borderId="3" xfId="0" applyFont="1" applyFill="1" applyBorder="1"/>
    <xf numFmtId="0" fontId="13" fillId="12" borderId="4" xfId="0" applyFont="1" applyFill="1" applyBorder="1"/>
    <xf numFmtId="0" fontId="17" fillId="12" borderId="0" xfId="0" applyFont="1" applyFill="1"/>
    <xf numFmtId="14" fontId="17" fillId="12" borderId="0" xfId="0" applyNumberFormat="1" applyFont="1" applyFill="1" applyAlignment="1">
      <alignment horizontal="center"/>
    </xf>
    <xf numFmtId="0" fontId="13" fillId="12" borderId="5" xfId="0" applyFont="1" applyFill="1" applyBorder="1"/>
    <xf numFmtId="0" fontId="13" fillId="12" borderId="0" xfId="0" applyFont="1" applyFill="1"/>
    <xf numFmtId="0" fontId="13" fillId="12" borderId="6" xfId="0" applyFont="1" applyFill="1" applyBorder="1"/>
    <xf numFmtId="0" fontId="17" fillId="12" borderId="0" xfId="0" applyFont="1" applyFill="1" applyAlignment="1">
      <alignment horizontal="center"/>
    </xf>
    <xf numFmtId="0" fontId="13" fillId="12" borderId="7" xfId="0" applyFont="1" applyFill="1" applyBorder="1"/>
    <xf numFmtId="0" fontId="13" fillId="12" borderId="8" xfId="0" applyFont="1" applyFill="1" applyBorder="1"/>
    <xf numFmtId="0" fontId="13" fillId="12" borderId="9" xfId="0" applyFont="1" applyFill="1" applyBorder="1"/>
    <xf numFmtId="164" fontId="0" fillId="2" borderId="13" xfId="1" applyNumberFormat="1" applyFont="1" applyFill="1" applyBorder="1"/>
    <xf numFmtId="0" fontId="2" fillId="13" borderId="13" xfId="0" applyFont="1" applyFill="1" applyBorder="1" applyAlignment="1">
      <alignment horizontal="right"/>
    </xf>
    <xf numFmtId="164" fontId="2" fillId="9" borderId="0" xfId="1" applyNumberFormat="1" applyFont="1" applyFill="1" applyBorder="1"/>
    <xf numFmtId="168" fontId="2" fillId="0" borderId="0" xfId="0" applyNumberFormat="1" applyFont="1"/>
    <xf numFmtId="168" fontId="2" fillId="9" borderId="0" xfId="0" applyNumberFormat="1" applyFont="1" applyFill="1"/>
    <xf numFmtId="164" fontId="0" fillId="0" borderId="0" xfId="0" applyNumberFormat="1"/>
    <xf numFmtId="0" fontId="2" fillId="0" borderId="0" xfId="0" quotePrefix="1" applyFont="1" applyAlignment="1">
      <alignment vertical="top" wrapText="1"/>
    </xf>
    <xf numFmtId="0" fontId="13" fillId="9" borderId="5" xfId="0" applyFont="1" applyFill="1" applyBorder="1"/>
    <xf numFmtId="0" fontId="15" fillId="9" borderId="0" xfId="0" applyFont="1" applyFill="1"/>
    <xf numFmtId="169" fontId="0" fillId="0" borderId="0" xfId="1" applyNumberFormat="1" applyFont="1"/>
    <xf numFmtId="0" fontId="6" fillId="0" borderId="0" xfId="0" applyFont="1" applyAlignment="1">
      <alignment horizontal="right"/>
    </xf>
    <xf numFmtId="44" fontId="0" fillId="0" borderId="0" xfId="4" applyFont="1"/>
    <xf numFmtId="0" fontId="0" fillId="0" borderId="13" xfId="0" applyBorder="1"/>
    <xf numFmtId="0" fontId="0" fillId="2" borderId="13" xfId="0" applyFill="1" applyBorder="1"/>
    <xf numFmtId="169" fontId="0" fillId="2" borderId="0" xfId="1" applyNumberFormat="1" applyFont="1" applyFill="1"/>
    <xf numFmtId="44" fontId="0" fillId="2" borderId="0" xfId="4" applyFont="1" applyFill="1"/>
    <xf numFmtId="0" fontId="0" fillId="13" borderId="0" xfId="0" applyFill="1"/>
    <xf numFmtId="0" fontId="0" fillId="13" borderId="13" xfId="0" applyFill="1" applyBorder="1"/>
    <xf numFmtId="0" fontId="0" fillId="2" borderId="0" xfId="0" quotePrefix="1" applyFill="1"/>
    <xf numFmtId="0" fontId="2" fillId="2" borderId="0" xfId="0" applyFont="1" applyFill="1"/>
    <xf numFmtId="0" fontId="7" fillId="0" borderId="0" xfId="0" quotePrefix="1" applyFont="1"/>
    <xf numFmtId="0" fontId="2" fillId="0" borderId="13" xfId="0" applyFont="1" applyBorder="1"/>
    <xf numFmtId="0" fontId="14" fillId="0" borderId="0" xfId="0" applyFont="1"/>
    <xf numFmtId="0" fontId="18" fillId="0" borderId="0" xfId="0" applyFont="1"/>
    <xf numFmtId="0" fontId="0" fillId="6" borderId="0" xfId="0" quotePrefix="1" applyFill="1"/>
    <xf numFmtId="0" fontId="0" fillId="10" borderId="2" xfId="0" applyFill="1" applyBorder="1"/>
    <xf numFmtId="0" fontId="0" fillId="10" borderId="3" xfId="0" applyFill="1" applyBorder="1"/>
    <xf numFmtId="0" fontId="0" fillId="10" borderId="4" xfId="0" applyFill="1" applyBorder="1"/>
    <xf numFmtId="0" fontId="2" fillId="10" borderId="0" xfId="0" applyFont="1" applyFill="1"/>
    <xf numFmtId="14" fontId="2" fillId="10" borderId="0" xfId="0" applyNumberFormat="1" applyFont="1" applyFill="1" applyAlignment="1">
      <alignment horizontal="center"/>
    </xf>
    <xf numFmtId="0" fontId="0" fillId="10" borderId="5" xfId="0" applyFill="1" applyBorder="1"/>
    <xf numFmtId="0" fontId="0" fillId="10" borderId="6" xfId="0" applyFill="1" applyBorder="1"/>
    <xf numFmtId="0" fontId="2" fillId="10" borderId="0" xfId="0" applyFont="1" applyFill="1" applyAlignment="1">
      <alignment horizontal="center"/>
    </xf>
    <xf numFmtId="0" fontId="0" fillId="10" borderId="7" xfId="0" applyFill="1" applyBorder="1"/>
    <xf numFmtId="0" fontId="0" fillId="10" borderId="8" xfId="0" applyFill="1" applyBorder="1"/>
    <xf numFmtId="0" fontId="0" fillId="10" borderId="9" xfId="0" applyFill="1" applyBorder="1"/>
    <xf numFmtId="0" fontId="20" fillId="0" borderId="0" xfId="0" applyFont="1"/>
    <xf numFmtId="0" fontId="21" fillId="0" borderId="0" xfId="0" applyFont="1" applyAlignment="1">
      <alignment horizontal="center" vertical="center" wrapText="1"/>
    </xf>
    <xf numFmtId="170" fontId="21" fillId="0" borderId="0" xfId="0" applyNumberFormat="1" applyFont="1" applyAlignment="1">
      <alignment horizontal="right" vertical="top"/>
    </xf>
    <xf numFmtId="37" fontId="21" fillId="0" borderId="0" xfId="0" applyNumberFormat="1" applyFont="1" applyAlignment="1">
      <alignment horizontal="right" vertical="top"/>
    </xf>
    <xf numFmtId="3" fontId="0" fillId="0" borderId="0" xfId="0" applyNumberFormat="1"/>
    <xf numFmtId="37" fontId="21" fillId="2" borderId="0" xfId="0" applyNumberFormat="1" applyFont="1" applyFill="1" applyAlignment="1">
      <alignment horizontal="right" vertical="top"/>
    </xf>
    <xf numFmtId="165" fontId="2" fillId="2" borderId="0" xfId="1" applyNumberFormat="1" applyFont="1" applyFill="1"/>
    <xf numFmtId="3" fontId="0" fillId="2" borderId="0" xfId="0" applyNumberFormat="1" applyFill="1"/>
    <xf numFmtId="165" fontId="0" fillId="0" borderId="0" xfId="0" applyNumberFormat="1"/>
    <xf numFmtId="37" fontId="0" fillId="0" borderId="0" xfId="0" applyNumberFormat="1"/>
    <xf numFmtId="3" fontId="0" fillId="2" borderId="13" xfId="0" applyNumberFormat="1" applyFill="1" applyBorder="1"/>
    <xf numFmtId="37" fontId="0" fillId="2" borderId="0" xfId="0" applyNumberFormat="1" applyFill="1"/>
    <xf numFmtId="43" fontId="0" fillId="0" borderId="0" xfId="0" applyNumberFormat="1"/>
    <xf numFmtId="0" fontId="0" fillId="0" borderId="0" xfId="0" applyAlignment="1">
      <alignment horizontal="left"/>
    </xf>
    <xf numFmtId="10" fontId="0" fillId="2" borderId="0" xfId="0" quotePrefix="1" applyNumberFormat="1" applyFill="1"/>
    <xf numFmtId="39" fontId="0" fillId="2" borderId="0" xfId="0" applyNumberFormat="1" applyFill="1"/>
    <xf numFmtId="171" fontId="0" fillId="2" borderId="0" xfId="0" applyNumberFormat="1" applyFill="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13" xfId="0" applyFont="1" applyBorder="1" applyAlignment="1">
      <alignment horizontal="center"/>
    </xf>
    <xf numFmtId="0" fontId="0" fillId="2" borderId="0" xfId="0" quotePrefix="1" applyFill="1" applyAlignment="1">
      <alignment horizontal="left" vertical="top" wrapText="1"/>
    </xf>
    <xf numFmtId="0" fontId="0" fillId="2" borderId="0" xfId="0" quotePrefix="1" applyFill="1" applyAlignment="1">
      <alignment horizontal="left" wrapText="1"/>
    </xf>
    <xf numFmtId="0" fontId="0" fillId="2" borderId="0" xfId="0" applyFill="1" applyAlignment="1">
      <alignment horizontal="left" vertical="top" wrapText="1"/>
    </xf>
    <xf numFmtId="0" fontId="0" fillId="2" borderId="0" xfId="0" applyFill="1" applyAlignment="1">
      <alignment horizontal="left" wrapText="1"/>
    </xf>
    <xf numFmtId="0" fontId="0" fillId="2" borderId="0" xfId="0" applyFill="1" applyAlignment="1">
      <alignment horizontal="left"/>
    </xf>
  </cellXfs>
  <cellStyles count="5">
    <cellStyle name="Comma" xfId="1" builtinId="3"/>
    <cellStyle name="Currency" xfId="4" builtinId="4"/>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14</xdr:col>
      <xdr:colOff>438150</xdr:colOff>
      <xdr:row>30</xdr:row>
      <xdr:rowOff>55228</xdr:rowOff>
    </xdr:to>
    <xdr:pic>
      <xdr:nvPicPr>
        <xdr:cNvPr id="2" name="Picture 1">
          <a:extLst>
            <a:ext uri="{FF2B5EF4-FFF2-40B4-BE49-F238E27FC236}">
              <a16:creationId xmlns:a16="http://schemas.microsoft.com/office/drawing/2014/main" id="{7E975709-1663-4EC0-A4E4-4078D7EBDA8D}"/>
            </a:ext>
          </a:extLst>
        </xdr:cNvPr>
        <xdr:cNvPicPr>
          <a:picLocks noChangeAspect="1"/>
        </xdr:cNvPicPr>
      </xdr:nvPicPr>
      <xdr:blipFill>
        <a:blip xmlns:r="http://schemas.openxmlformats.org/officeDocument/2006/relationships" r:embed="rId1"/>
        <a:stretch>
          <a:fillRect/>
        </a:stretch>
      </xdr:blipFill>
      <xdr:spPr>
        <a:xfrm>
          <a:off x="0" y="542925"/>
          <a:ext cx="8972550" cy="4941553"/>
        </a:xfrm>
        <a:prstGeom prst="rect">
          <a:avLst/>
        </a:prstGeom>
      </xdr:spPr>
    </xdr:pic>
    <xdr:clientData/>
  </xdr:twoCellAnchor>
  <xdr:twoCellAnchor editAs="oneCell">
    <xdr:from>
      <xdr:col>0</xdr:col>
      <xdr:colOff>0</xdr:colOff>
      <xdr:row>30</xdr:row>
      <xdr:rowOff>57151</xdr:rowOff>
    </xdr:from>
    <xdr:to>
      <xdr:col>14</xdr:col>
      <xdr:colOff>428625</xdr:colOff>
      <xdr:row>54</xdr:row>
      <xdr:rowOff>161925</xdr:rowOff>
    </xdr:to>
    <xdr:pic>
      <xdr:nvPicPr>
        <xdr:cNvPr id="3" name="Picture 2">
          <a:extLst>
            <a:ext uri="{FF2B5EF4-FFF2-40B4-BE49-F238E27FC236}">
              <a16:creationId xmlns:a16="http://schemas.microsoft.com/office/drawing/2014/main" id="{CD6F3CA5-798B-44A2-BE2E-D573EE678BA3}"/>
            </a:ext>
          </a:extLst>
        </xdr:cNvPr>
        <xdr:cNvPicPr>
          <a:picLocks noChangeAspect="1"/>
        </xdr:cNvPicPr>
      </xdr:nvPicPr>
      <xdr:blipFill>
        <a:blip xmlns:r="http://schemas.openxmlformats.org/officeDocument/2006/relationships" r:embed="rId2"/>
        <a:stretch>
          <a:fillRect/>
        </a:stretch>
      </xdr:blipFill>
      <xdr:spPr>
        <a:xfrm>
          <a:off x="0" y="5486401"/>
          <a:ext cx="8963025" cy="44481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ec.gov/edgar/searchedgar/companysearch.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sec.gov/edgar/searchedgar/companysearch.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A242-38E5-48D7-9F61-CEF3A7A3B026}">
  <sheetPr>
    <pageSetUpPr fitToPage="1"/>
  </sheetPr>
  <dimension ref="A1:K35"/>
  <sheetViews>
    <sheetView topLeftCell="A11" workbookViewId="0">
      <selection activeCell="B5" sqref="B5"/>
    </sheetView>
  </sheetViews>
  <sheetFormatPr defaultRowHeight="14.4" x14ac:dyDescent="0.3"/>
  <cols>
    <col min="1" max="1" width="35.5546875" customWidth="1"/>
    <col min="2" max="2" width="8.5546875" bestFit="1" customWidth="1"/>
    <col min="3" max="3" width="9.109375" bestFit="1" customWidth="1"/>
  </cols>
  <sheetData>
    <row r="1" spans="1:11" x14ac:dyDescent="0.3">
      <c r="A1" t="s">
        <v>105</v>
      </c>
    </row>
    <row r="2" spans="1:11" x14ac:dyDescent="0.3">
      <c r="A2" t="s">
        <v>106</v>
      </c>
    </row>
    <row r="3" spans="1:11" x14ac:dyDescent="0.3">
      <c r="A3" t="s">
        <v>275</v>
      </c>
    </row>
    <row r="5" spans="1:11" x14ac:dyDescent="0.3">
      <c r="A5" s="5" t="s">
        <v>107</v>
      </c>
      <c r="B5" s="4" t="s">
        <v>475</v>
      </c>
      <c r="C5" s="4"/>
      <c r="D5" s="4"/>
      <c r="E5" s="26" t="s">
        <v>174</v>
      </c>
      <c r="F5" s="43"/>
      <c r="G5" s="43"/>
      <c r="H5" s="43"/>
    </row>
    <row r="7" spans="1:11" x14ac:dyDescent="0.3">
      <c r="A7" s="50" t="s">
        <v>150</v>
      </c>
      <c r="B7" s="50"/>
      <c r="C7" s="50"/>
      <c r="D7" s="50"/>
      <c r="E7" s="50"/>
      <c r="F7" s="50"/>
      <c r="G7" s="50"/>
      <c r="H7" s="50"/>
      <c r="I7" s="50"/>
      <c r="J7" s="50"/>
    </row>
    <row r="8" spans="1:11" x14ac:dyDescent="0.3">
      <c r="A8" s="51" t="s">
        <v>151</v>
      </c>
      <c r="B8" s="50"/>
      <c r="C8" s="50"/>
      <c r="D8" s="50"/>
      <c r="E8" s="50"/>
      <c r="F8" s="50"/>
      <c r="G8" s="50"/>
      <c r="H8" s="50"/>
      <c r="I8" s="50"/>
      <c r="J8" s="50"/>
    </row>
    <row r="9" spans="1:11" x14ac:dyDescent="0.3">
      <c r="A9" s="50" t="s">
        <v>152</v>
      </c>
      <c r="B9" s="50"/>
      <c r="C9" s="50"/>
      <c r="D9" s="50"/>
      <c r="E9" s="50"/>
      <c r="F9" s="50"/>
      <c r="G9" s="50"/>
      <c r="H9" s="50"/>
      <c r="I9" s="50"/>
      <c r="J9" s="50"/>
    </row>
    <row r="10" spans="1:11" x14ac:dyDescent="0.3">
      <c r="A10" s="45" t="s">
        <v>159</v>
      </c>
      <c r="B10" s="45"/>
      <c r="C10" s="45"/>
      <c r="D10" s="45"/>
      <c r="E10" s="45"/>
      <c r="F10" s="45"/>
      <c r="G10" s="45"/>
      <c r="H10" s="45"/>
      <c r="I10" s="45"/>
      <c r="J10" s="45"/>
      <c r="K10" s="1"/>
    </row>
    <row r="11" spans="1:11" x14ac:dyDescent="0.3">
      <c r="A11" s="50"/>
      <c r="B11" s="50"/>
      <c r="C11" s="50"/>
      <c r="D11" s="50"/>
      <c r="E11" s="50"/>
      <c r="F11" s="50"/>
      <c r="G11" s="50"/>
      <c r="H11" s="50"/>
      <c r="I11" s="50"/>
      <c r="J11" s="50"/>
    </row>
    <row r="12" spans="1:11" x14ac:dyDescent="0.3">
      <c r="A12" s="50"/>
      <c r="B12" s="50"/>
      <c r="C12" s="50"/>
      <c r="D12" s="50"/>
      <c r="E12" s="50"/>
      <c r="F12" s="50"/>
      <c r="G12" s="50"/>
      <c r="H12" s="50"/>
      <c r="I12" s="50"/>
      <c r="J12" s="50"/>
    </row>
    <row r="14" spans="1:11" x14ac:dyDescent="0.3">
      <c r="A14" s="3" t="s">
        <v>132</v>
      </c>
    </row>
    <row r="15" spans="1:11" x14ac:dyDescent="0.3">
      <c r="B15" s="41" t="s">
        <v>130</v>
      </c>
      <c r="C15" s="41" t="s">
        <v>131</v>
      </c>
      <c r="E15" s="3" t="s">
        <v>133</v>
      </c>
    </row>
    <row r="17" spans="1:5" x14ac:dyDescent="0.3">
      <c r="A17" t="s">
        <v>110</v>
      </c>
      <c r="B17" s="7">
        <f>+BSCo1!D60</f>
        <v>0</v>
      </c>
      <c r="C17" s="7">
        <v>3</v>
      </c>
      <c r="D17" s="7"/>
      <c r="E17" t="s">
        <v>284</v>
      </c>
    </row>
    <row r="18" spans="1:5" x14ac:dyDescent="0.3">
      <c r="A18" s="29"/>
      <c r="B18" s="7"/>
      <c r="C18" s="7"/>
      <c r="D18" s="7"/>
    </row>
    <row r="19" spans="1:5" x14ac:dyDescent="0.3">
      <c r="A19" t="s">
        <v>154</v>
      </c>
      <c r="B19" s="7">
        <f>+RatioCo1!D77</f>
        <v>0</v>
      </c>
      <c r="C19" s="7">
        <v>3</v>
      </c>
      <c r="D19" s="7"/>
      <c r="E19" t="s">
        <v>329</v>
      </c>
    </row>
    <row r="20" spans="1:5" x14ac:dyDescent="0.3">
      <c r="A20" s="29" t="s">
        <v>128</v>
      </c>
      <c r="B20" s="7"/>
      <c r="C20" s="7"/>
      <c r="D20" s="7"/>
    </row>
    <row r="21" spans="1:5" x14ac:dyDescent="0.3">
      <c r="A21" s="29"/>
      <c r="B21" s="7"/>
      <c r="C21" s="7"/>
      <c r="D21" s="7"/>
    </row>
    <row r="22" spans="1:5" x14ac:dyDescent="0.3">
      <c r="A22" s="29" t="s">
        <v>405</v>
      </c>
      <c r="B22" s="7">
        <f>+CoRatio!O13</f>
        <v>0</v>
      </c>
      <c r="C22" s="7">
        <v>3</v>
      </c>
      <c r="D22" s="7"/>
      <c r="E22" t="s">
        <v>283</v>
      </c>
    </row>
    <row r="23" spans="1:5" x14ac:dyDescent="0.3">
      <c r="A23" s="29"/>
      <c r="B23" s="7"/>
      <c r="C23" s="7"/>
      <c r="D23" s="7"/>
    </row>
    <row r="24" spans="1:5" x14ac:dyDescent="0.3">
      <c r="A24" s="29" t="s">
        <v>285</v>
      </c>
      <c r="B24" s="7">
        <f>+SusGro!V16</f>
        <v>0</v>
      </c>
      <c r="C24" s="7">
        <v>3</v>
      </c>
      <c r="D24" s="7"/>
      <c r="E24" t="s">
        <v>282</v>
      </c>
    </row>
    <row r="25" spans="1:5" x14ac:dyDescent="0.3">
      <c r="A25" s="29"/>
      <c r="B25" s="7"/>
      <c r="C25" s="7"/>
      <c r="D25" s="7"/>
    </row>
    <row r="26" spans="1:5" x14ac:dyDescent="0.3">
      <c r="A26" t="s">
        <v>231</v>
      </c>
      <c r="B26" s="7">
        <f>+'10kInsights'!F45</f>
        <v>0</v>
      </c>
      <c r="C26" s="159">
        <v>3</v>
      </c>
      <c r="D26" s="7"/>
      <c r="E26" t="s">
        <v>281</v>
      </c>
    </row>
    <row r="27" spans="1:5" x14ac:dyDescent="0.3">
      <c r="A27" s="40"/>
      <c r="B27" s="7"/>
      <c r="C27" s="7"/>
      <c r="D27" s="7"/>
    </row>
    <row r="28" spans="1:5" x14ac:dyDescent="0.3">
      <c r="A28" t="s">
        <v>160</v>
      </c>
      <c r="B28" s="42"/>
      <c r="C28" s="42">
        <v>5</v>
      </c>
      <c r="D28" s="7"/>
      <c r="E28" t="s">
        <v>224</v>
      </c>
    </row>
    <row r="29" spans="1:5" x14ac:dyDescent="0.3">
      <c r="B29" s="7"/>
      <c r="C29" s="7"/>
      <c r="D29" s="7"/>
    </row>
    <row r="30" spans="1:5" x14ac:dyDescent="0.3">
      <c r="A30" s="5" t="s">
        <v>134</v>
      </c>
      <c r="B30" s="7">
        <f>SUM(B17:B29)</f>
        <v>0</v>
      </c>
      <c r="C30" s="7">
        <f>SUM(C17:C29)</f>
        <v>20</v>
      </c>
      <c r="D30" s="7"/>
    </row>
    <row r="31" spans="1:5" x14ac:dyDescent="0.3">
      <c r="A31" s="5"/>
      <c r="B31" s="7"/>
      <c r="C31" s="7"/>
      <c r="D31" s="7"/>
    </row>
    <row r="32" spans="1:5" x14ac:dyDescent="0.3">
      <c r="A32" s="5"/>
      <c r="B32" s="7"/>
      <c r="C32" s="7"/>
      <c r="D32" s="7"/>
    </row>
    <row r="33" spans="1:4" x14ac:dyDescent="0.3">
      <c r="A33" s="2" t="s">
        <v>286</v>
      </c>
      <c r="B33" s="44"/>
      <c r="C33" s="44"/>
      <c r="D33" s="2"/>
    </row>
    <row r="34" spans="1:4" x14ac:dyDescent="0.3">
      <c r="B34" s="7"/>
      <c r="C34" s="7"/>
    </row>
    <row r="35" spans="1:4" x14ac:dyDescent="0.3">
      <c r="A35" s="3" t="s">
        <v>172</v>
      </c>
      <c r="B35" s="7"/>
      <c r="C35" s="7"/>
    </row>
  </sheetData>
  <pageMargins left="0.7" right="0.7" top="0.75" bottom="0.75" header="0.3" footer="0.3"/>
  <pageSetup scale="86"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F37A2-6CFF-4559-8F1E-9DBEECD849FF}">
  <sheetPr>
    <tabColor rgb="FFFFC000"/>
    <pageSetUpPr fitToPage="1"/>
  </sheetPr>
  <dimension ref="A1:L80"/>
  <sheetViews>
    <sheetView tabSelected="1" zoomScale="83" zoomScaleNormal="80" workbookViewId="0">
      <pane xSplit="3" ySplit="10" topLeftCell="D11" activePane="bottomRight" state="frozen"/>
      <selection pane="topRight" activeCell="D1" sqref="D1"/>
      <selection pane="bottomLeft" activeCell="A9" sqref="A9"/>
      <selection pane="bottomRight" activeCell="F49" sqref="F49"/>
    </sheetView>
  </sheetViews>
  <sheetFormatPr defaultRowHeight="14.4" x14ac:dyDescent="0.3"/>
  <cols>
    <col min="3" max="3" width="44.44140625" customWidth="1"/>
    <col min="4" max="4" width="14.6640625" customWidth="1"/>
    <col min="5" max="5" width="13.5546875" customWidth="1"/>
  </cols>
  <sheetData>
    <row r="1" spans="1:12" x14ac:dyDescent="0.3">
      <c r="A1" t="s">
        <v>93</v>
      </c>
    </row>
    <row r="2" spans="1:12" x14ac:dyDescent="0.3">
      <c r="A2" t="s">
        <v>1</v>
      </c>
      <c r="C2" t="str">
        <f>+BSCo1!C2</f>
        <v>Alphabet</v>
      </c>
      <c r="D2" t="s">
        <v>101</v>
      </c>
    </row>
    <row r="5" spans="1:12" x14ac:dyDescent="0.3">
      <c r="A5" t="s">
        <v>190</v>
      </c>
    </row>
    <row r="6" spans="1:12" s="1" customFormat="1" x14ac:dyDescent="0.3">
      <c r="A6" s="1" t="s">
        <v>326</v>
      </c>
    </row>
    <row r="7" spans="1:12" s="1" customFormat="1" x14ac:dyDescent="0.3">
      <c r="A7" s="1" t="s">
        <v>227</v>
      </c>
    </row>
    <row r="9" spans="1:12" x14ac:dyDescent="0.3">
      <c r="D9" s="5" t="s">
        <v>97</v>
      </c>
      <c r="E9" s="5" t="s">
        <v>99</v>
      </c>
    </row>
    <row r="10" spans="1:12" x14ac:dyDescent="0.3">
      <c r="D10" s="21" t="s">
        <v>98</v>
      </c>
      <c r="E10" s="21" t="s">
        <v>100</v>
      </c>
      <c r="H10" t="s">
        <v>222</v>
      </c>
    </row>
    <row r="11" spans="1:12" x14ac:dyDescent="0.3">
      <c r="A11" s="3" t="s">
        <v>94</v>
      </c>
      <c r="D11" s="81" t="str">
        <f>+CFCo1!D10</f>
        <v>Dec. 31, 2021</v>
      </c>
      <c r="E11" s="81" t="str">
        <f>+CFCo1!E10</f>
        <v>Dec. 31, 2020</v>
      </c>
    </row>
    <row r="12" spans="1:12" x14ac:dyDescent="0.3">
      <c r="A12" t="s">
        <v>95</v>
      </c>
      <c r="D12" s="22">
        <f xml:space="preserve"> BSCo1!D16 / BSCo1!D27</f>
        <v>2.9281134248451459</v>
      </c>
      <c r="E12" s="22">
        <f xml:space="preserve"> BSCo1!E16 / BSCo1!E27</f>
        <v>3.0667558151810534</v>
      </c>
      <c r="H12" s="4"/>
      <c r="I12" s="4"/>
      <c r="J12" s="4"/>
      <c r="K12" s="4"/>
      <c r="L12" s="4"/>
    </row>
    <row r="13" spans="1:12" x14ac:dyDescent="0.3">
      <c r="D13" s="7"/>
      <c r="E13" s="7"/>
    </row>
    <row r="14" spans="1:12" x14ac:dyDescent="0.3">
      <c r="A14" s="2" t="s">
        <v>96</v>
      </c>
      <c r="D14" s="22">
        <f xml:space="preserve"> ( BSCo1!D16 + BSCo1!D14) / BSCo1!D27</f>
        <v>2.9463224079434744</v>
      </c>
      <c r="E14" s="22">
        <f xml:space="preserve"> ( BSCo1!E16 + BSCo1!E14) / BSCo1!E27</f>
        <v>3.0795650490903332</v>
      </c>
      <c r="H14" s="4"/>
      <c r="I14" s="4"/>
      <c r="J14" s="4"/>
      <c r="K14" s="4"/>
      <c r="L14" s="4"/>
    </row>
    <row r="15" spans="1:12" ht="15" customHeight="1" x14ac:dyDescent="0.3">
      <c r="D15" s="7"/>
      <c r="E15" s="7"/>
    </row>
    <row r="16" spans="1:12" x14ac:dyDescent="0.3">
      <c r="A16" s="3" t="s">
        <v>102</v>
      </c>
      <c r="D16" s="7"/>
      <c r="E16" s="7"/>
    </row>
    <row r="17" spans="1:12" x14ac:dyDescent="0.3">
      <c r="A17" s="2" t="s">
        <v>267</v>
      </c>
      <c r="D17" s="22">
        <f>ISCo1!D16 / BSCo1!D14</f>
        <v>94.819658119658115</v>
      </c>
      <c r="E17" s="22">
        <f>ISCo1!E16 / BSCo1!E14</f>
        <v>116.39010989010988</v>
      </c>
      <c r="H17" s="4"/>
      <c r="I17" s="4"/>
      <c r="J17" s="4"/>
      <c r="K17" s="4"/>
      <c r="L17" s="4"/>
    </row>
    <row r="18" spans="1:12" x14ac:dyDescent="0.3">
      <c r="D18" s="7"/>
      <c r="E18" s="7"/>
    </row>
    <row r="19" spans="1:12" x14ac:dyDescent="0.3">
      <c r="A19" s="2" t="s">
        <v>229</v>
      </c>
      <c r="D19" s="22">
        <f>365/D17</f>
        <v>3.8494127403347789</v>
      </c>
      <c r="E19" s="22">
        <f>365/E17</f>
        <v>3.136005287258651</v>
      </c>
      <c r="H19" s="4"/>
      <c r="I19" s="4"/>
      <c r="J19" s="4"/>
      <c r="K19" s="4"/>
      <c r="L19" s="4"/>
    </row>
    <row r="20" spans="1:12" x14ac:dyDescent="0.3">
      <c r="D20" s="7"/>
      <c r="E20" s="7"/>
    </row>
    <row r="21" spans="1:12" x14ac:dyDescent="0.3">
      <c r="A21" s="2" t="s">
        <v>268</v>
      </c>
      <c r="D21" s="22">
        <f>ISCo1!D13/BSCo1!D12</f>
        <v>6.5549816812538166</v>
      </c>
      <c r="E21" s="22">
        <f>ISCo1!E13/BSCo1!E12</f>
        <v>5.9012932428063367</v>
      </c>
      <c r="H21" s="4" t="s">
        <v>479</v>
      </c>
      <c r="I21" s="4"/>
      <c r="J21" s="4"/>
      <c r="K21" s="4"/>
      <c r="L21" s="4"/>
    </row>
    <row r="22" spans="1:12" x14ac:dyDescent="0.3">
      <c r="D22" s="7"/>
      <c r="E22" s="7"/>
    </row>
    <row r="23" spans="1:12" x14ac:dyDescent="0.3">
      <c r="A23" s="2" t="s">
        <v>228</v>
      </c>
      <c r="D23" s="22">
        <f>365/D21</f>
        <v>55.682840585785428</v>
      </c>
      <c r="E23" s="22">
        <f>365/E21</f>
        <v>61.850849463367062</v>
      </c>
      <c r="H23" s="4"/>
      <c r="I23" s="4"/>
      <c r="J23" s="4"/>
      <c r="K23" s="4"/>
      <c r="L23" s="4"/>
    </row>
    <row r="24" spans="1:12" x14ac:dyDescent="0.3">
      <c r="A24" s="2"/>
    </row>
    <row r="25" spans="1:12" x14ac:dyDescent="0.3">
      <c r="A25" s="2" t="s">
        <v>269</v>
      </c>
      <c r="D25" s="22">
        <f>ISCo1!D16/BSCo1!D24</f>
        <v>18.376511512340567</v>
      </c>
      <c r="E25" s="22">
        <f>ISCo1!E16/BSCo1!E24</f>
        <v>15.160493827160494</v>
      </c>
      <c r="H25" s="4" t="s">
        <v>480</v>
      </c>
      <c r="I25" s="4"/>
      <c r="J25" s="4"/>
      <c r="K25" s="4"/>
      <c r="L25" s="4"/>
    </row>
    <row r="26" spans="1:12" x14ac:dyDescent="0.3">
      <c r="A26" s="2"/>
    </row>
    <row r="27" spans="1:12" x14ac:dyDescent="0.3">
      <c r="A27" s="2" t="s">
        <v>230</v>
      </c>
      <c r="D27" s="22">
        <f>365/D25</f>
        <v>19.862311720855605</v>
      </c>
      <c r="E27" s="22">
        <f>365/E25</f>
        <v>24.075732899022803</v>
      </c>
      <c r="H27" s="4"/>
      <c r="I27" s="4"/>
      <c r="J27" s="4"/>
      <c r="K27" s="4"/>
      <c r="L27" s="4"/>
    </row>
    <row r="28" spans="1:12" x14ac:dyDescent="0.3">
      <c r="A28" s="2"/>
    </row>
    <row r="29" spans="1:12" x14ac:dyDescent="0.3">
      <c r="A29" s="2" t="s">
        <v>180</v>
      </c>
      <c r="D29" s="22">
        <f>D19+D23-D27</f>
        <v>39.669941605264597</v>
      </c>
      <c r="E29" s="22">
        <f>E19+E23+-E27</f>
        <v>40.911121851602907</v>
      </c>
      <c r="H29" s="4" t="s">
        <v>481</v>
      </c>
      <c r="I29" s="4"/>
      <c r="J29" s="4"/>
      <c r="K29" s="4"/>
      <c r="L29" s="4"/>
    </row>
    <row r="30" spans="1:12" x14ac:dyDescent="0.3">
      <c r="A30" s="2"/>
    </row>
    <row r="31" spans="1:12" x14ac:dyDescent="0.3">
      <c r="A31" s="2" t="s">
        <v>270</v>
      </c>
      <c r="D31" s="22">
        <f>ISCo1!D13 / BSCo1!D22</f>
        <v>0.71711647015598379</v>
      </c>
      <c r="E31" s="22">
        <f>ISCo1!E13 / BSCo1!E22</f>
        <v>0.57108217360833002</v>
      </c>
      <c r="H31" s="4" t="s">
        <v>484</v>
      </c>
      <c r="I31" s="4"/>
      <c r="J31" s="4"/>
      <c r="K31" s="4"/>
      <c r="L31" s="4"/>
    </row>
    <row r="32" spans="1:12" x14ac:dyDescent="0.3">
      <c r="D32" s="7"/>
      <c r="E32" s="7"/>
    </row>
    <row r="33" spans="1:12" x14ac:dyDescent="0.3">
      <c r="A33" s="2" t="s">
        <v>277</v>
      </c>
      <c r="D33" s="22">
        <f>CFCo1!D17 + CFCo1!D22</f>
        <v>67012</v>
      </c>
      <c r="E33" s="22">
        <f>CFCo1!E17 + CFCo1!E22</f>
        <v>42843</v>
      </c>
      <c r="H33" s="4"/>
      <c r="I33" s="4"/>
      <c r="J33" s="4"/>
      <c r="K33" s="4"/>
      <c r="L33" s="4"/>
    </row>
    <row r="34" spans="1:12" x14ac:dyDescent="0.3">
      <c r="D34" s="7"/>
      <c r="E34" s="7"/>
    </row>
    <row r="35" spans="1:12" ht="15.6" customHeight="1" x14ac:dyDescent="0.3">
      <c r="A35" s="3" t="s">
        <v>103</v>
      </c>
      <c r="D35" s="7"/>
      <c r="E35" s="7"/>
    </row>
    <row r="36" spans="1:12" ht="15.6" customHeight="1" x14ac:dyDescent="0.3">
      <c r="A36" s="2" t="s">
        <v>181</v>
      </c>
      <c r="D36" s="25">
        <f>(ISCo1!D13-ISCo1!D16)/ISCo1!D13</f>
        <v>0.5693980290098084</v>
      </c>
      <c r="E36" s="25">
        <f>(ISCo1!E13-ISCo1!E16)/ISCo1!E13</f>
        <v>0.53578374706207854</v>
      </c>
      <c r="H36" s="4"/>
      <c r="I36" s="4"/>
      <c r="J36" s="4"/>
      <c r="K36" s="4"/>
      <c r="L36" s="4"/>
    </row>
    <row r="37" spans="1:12" ht="15.6" customHeight="1" x14ac:dyDescent="0.3">
      <c r="D37" s="24"/>
      <c r="E37" s="24"/>
    </row>
    <row r="38" spans="1:12" x14ac:dyDescent="0.3">
      <c r="A38" s="2" t="s">
        <v>182</v>
      </c>
      <c r="D38" s="25">
        <f>CFCo1!D13 / ISCo1!D13</f>
        <v>0.29511677282377918</v>
      </c>
      <c r="E38" s="25">
        <f>CFCo1!E13 / ISCo1!E13</f>
        <v>0.22061941520980458</v>
      </c>
      <c r="H38" s="4"/>
      <c r="I38" s="4"/>
      <c r="J38" s="4"/>
      <c r="K38" s="4"/>
      <c r="L38" s="4"/>
    </row>
    <row r="39" spans="1:12" x14ac:dyDescent="0.3">
      <c r="D39" s="24"/>
      <c r="E39" s="24"/>
    </row>
    <row r="40" spans="1:12" x14ac:dyDescent="0.3">
      <c r="A40" s="2" t="s">
        <v>266</v>
      </c>
      <c r="D40" s="25">
        <f>CFCo1!D13/(BSCo1!E40-BSCo1!E38)</f>
        <v>0.33837109278304656</v>
      </c>
      <c r="E40" s="25">
        <f>CFCo1!E13/(201442-1294)</f>
        <v>0.2011961148749925</v>
      </c>
      <c r="H40" s="4" t="s">
        <v>482</v>
      </c>
      <c r="I40" s="4"/>
      <c r="J40" s="4"/>
      <c r="K40" s="4"/>
      <c r="L40" s="4"/>
    </row>
    <row r="41" spans="1:12" x14ac:dyDescent="0.3">
      <c r="A41" t="s">
        <v>327</v>
      </c>
      <c r="H41" t="s">
        <v>225</v>
      </c>
    </row>
    <row r="42" spans="1:12" x14ac:dyDescent="0.3">
      <c r="D42" s="24"/>
      <c r="E42" s="24"/>
    </row>
    <row r="43" spans="1:12" x14ac:dyDescent="0.3">
      <c r="A43" s="2" t="s">
        <v>271</v>
      </c>
      <c r="D43" s="25">
        <f>CFCo1!D13/BSCo1!D22</f>
        <v>0.21163309841121392</v>
      </c>
      <c r="E43" s="25">
        <f>CFCo1!E13/BSCo1!E22</f>
        <v>0.12599181517821387</v>
      </c>
      <c r="H43" s="4" t="s">
        <v>483</v>
      </c>
      <c r="I43" s="4"/>
      <c r="J43" s="4"/>
      <c r="K43" s="4"/>
      <c r="L43" s="4"/>
    </row>
    <row r="44" spans="1:12" x14ac:dyDescent="0.3">
      <c r="A44" s="2"/>
      <c r="D44" s="24"/>
      <c r="E44" s="24"/>
    </row>
    <row r="45" spans="1:12" x14ac:dyDescent="0.3">
      <c r="A45" s="23" t="s">
        <v>104</v>
      </c>
      <c r="D45" s="24"/>
      <c r="E45" s="24"/>
    </row>
    <row r="46" spans="1:12" x14ac:dyDescent="0.3">
      <c r="A46" s="2" t="s">
        <v>272</v>
      </c>
      <c r="D46" s="97">
        <f>BSCo1!D27/(BSCo1!D40-BSCo1!D38)</f>
        <v>0.25300934303171246</v>
      </c>
      <c r="E46" s="97">
        <f>BSCo1!E27/(BSCo1!E40-BSCo1!E38)</f>
        <v>0.2529294212674979</v>
      </c>
      <c r="H46" s="4" t="s">
        <v>485</v>
      </c>
      <c r="I46" s="4"/>
      <c r="J46" s="4"/>
      <c r="K46" s="4"/>
      <c r="L46" s="4"/>
    </row>
    <row r="47" spans="1:12" x14ac:dyDescent="0.3">
      <c r="A47" t="s">
        <v>327</v>
      </c>
    </row>
    <row r="49" spans="1:12" x14ac:dyDescent="0.3">
      <c r="A49" s="2" t="s">
        <v>183</v>
      </c>
      <c r="D49" s="4">
        <f>(ISCo1!D13-ISCo1!D22)/-ISCo1!D27</f>
        <v>227.49710982658959</v>
      </c>
      <c r="E49" s="4">
        <f>(ISCo1!E13-ISCo1!E22)/-ISCo1!E27</f>
        <v>305.36296296296297</v>
      </c>
      <c r="H49" s="4" t="s">
        <v>486</v>
      </c>
      <c r="I49" s="4"/>
      <c r="J49" s="4"/>
      <c r="K49" s="4"/>
      <c r="L49" s="4"/>
    </row>
    <row r="51" spans="1:12" x14ac:dyDescent="0.3">
      <c r="A51" s="2" t="s">
        <v>184</v>
      </c>
      <c r="D51" s="4">
        <f>(ISCo1!D13-ISCo1!D22)/(-ISCo1!D27+(BSCo1!D25/(1-0.162)))</f>
        <v>47.320511238582782</v>
      </c>
      <c r="E51" s="4">
        <f>(ISCo1!E13-ISCo1!E22)/(-ISCo1!E27+(0/(1-0.162)))</f>
        <v>305.36296296296297</v>
      </c>
      <c r="H51" s="4" t="s">
        <v>487</v>
      </c>
      <c r="I51" s="4"/>
      <c r="J51" s="4"/>
      <c r="K51" s="4"/>
      <c r="L51" s="4"/>
    </row>
    <row r="53" spans="1:12" x14ac:dyDescent="0.3">
      <c r="A53" s="2" t="s">
        <v>226</v>
      </c>
      <c r="D53" s="9">
        <f>1-(-CFCo1!D31/CFCo1!D13 )</f>
        <v>0.86634750700353791</v>
      </c>
      <c r="E53" s="9">
        <f>1-(-CFCo1!E31/CFCo1!E13 )</f>
        <v>0.85795525093744573</v>
      </c>
      <c r="H53" s="4" t="s">
        <v>488</v>
      </c>
      <c r="I53" s="4"/>
      <c r="J53" s="4"/>
      <c r="K53" s="4"/>
      <c r="L53" s="4"/>
    </row>
    <row r="54" spans="1:12" x14ac:dyDescent="0.3">
      <c r="A54" s="2"/>
    </row>
    <row r="57" spans="1:12" ht="15" thickBot="1" x14ac:dyDescent="0.35"/>
    <row r="58" spans="1:12" ht="15.6" x14ac:dyDescent="0.3">
      <c r="B58" s="98"/>
      <c r="C58" s="112" t="s">
        <v>206</v>
      </c>
      <c r="D58" s="99"/>
      <c r="E58" s="99"/>
      <c r="F58" s="99"/>
      <c r="G58" s="100"/>
    </row>
    <row r="59" spans="1:12" ht="15.6" x14ac:dyDescent="0.3">
      <c r="B59" s="101"/>
      <c r="C59" s="113"/>
      <c r="G59" s="102"/>
    </row>
    <row r="60" spans="1:12" x14ac:dyDescent="0.3">
      <c r="B60" s="101"/>
      <c r="G60" s="102"/>
    </row>
    <row r="61" spans="1:12" x14ac:dyDescent="0.3">
      <c r="B61" s="101" t="s">
        <v>211</v>
      </c>
      <c r="C61" t="s">
        <v>212</v>
      </c>
      <c r="D61" s="75"/>
      <c r="E61" s="75" t="s">
        <v>213</v>
      </c>
      <c r="G61" s="102"/>
    </row>
    <row r="62" spans="1:12" x14ac:dyDescent="0.3">
      <c r="B62" s="101"/>
      <c r="D62" s="75">
        <v>40</v>
      </c>
      <c r="E62" s="75" t="s">
        <v>214</v>
      </c>
      <c r="G62" s="102"/>
    </row>
    <row r="63" spans="1:12" x14ac:dyDescent="0.3">
      <c r="B63" s="101"/>
      <c r="D63" s="103"/>
      <c r="E63" s="75"/>
      <c r="G63" s="102"/>
    </row>
    <row r="64" spans="1:12" x14ac:dyDescent="0.3">
      <c r="B64" s="101"/>
      <c r="G64" s="102"/>
    </row>
    <row r="65" spans="2:7" x14ac:dyDescent="0.3">
      <c r="B65" s="101" t="s">
        <v>211</v>
      </c>
      <c r="C65" t="s">
        <v>215</v>
      </c>
      <c r="D65" s="104"/>
      <c r="E65" s="75" t="s">
        <v>213</v>
      </c>
      <c r="G65" s="102"/>
    </row>
    <row r="66" spans="2:7" x14ac:dyDescent="0.3">
      <c r="B66" s="101"/>
      <c r="C66" t="s">
        <v>216</v>
      </c>
      <c r="D66" s="75">
        <v>40</v>
      </c>
      <c r="E66" s="75" t="s">
        <v>214</v>
      </c>
      <c r="G66" s="102"/>
    </row>
    <row r="67" spans="2:7" x14ac:dyDescent="0.3">
      <c r="B67" s="101"/>
      <c r="D67" s="75"/>
      <c r="E67" s="75"/>
      <c r="G67" s="102"/>
    </row>
    <row r="68" spans="2:7" x14ac:dyDescent="0.3">
      <c r="B68" s="101"/>
      <c r="G68" s="102"/>
    </row>
    <row r="69" spans="2:7" x14ac:dyDescent="0.3">
      <c r="B69" s="101"/>
      <c r="C69" t="s">
        <v>217</v>
      </c>
      <c r="D69" s="105">
        <f>+D61+D65</f>
        <v>0</v>
      </c>
      <c r="E69" s="106" t="s">
        <v>213</v>
      </c>
      <c r="G69" s="102"/>
    </row>
    <row r="70" spans="2:7" x14ac:dyDescent="0.3">
      <c r="B70" s="101"/>
      <c r="D70" s="106">
        <f>+D62+D66</f>
        <v>80</v>
      </c>
      <c r="E70" s="106" t="s">
        <v>214</v>
      </c>
      <c r="G70" s="102"/>
    </row>
    <row r="71" spans="2:7" x14ac:dyDescent="0.3">
      <c r="B71" s="101"/>
      <c r="D71" s="106"/>
      <c r="E71" s="106"/>
      <c r="G71" s="102"/>
    </row>
    <row r="72" spans="2:7" x14ac:dyDescent="0.3">
      <c r="B72" s="101"/>
      <c r="D72" s="108">
        <f>+D69/D70</f>
        <v>0</v>
      </c>
      <c r="E72" s="107" t="s">
        <v>219</v>
      </c>
      <c r="G72" s="102"/>
    </row>
    <row r="73" spans="2:7" x14ac:dyDescent="0.3">
      <c r="B73" s="101"/>
      <c r="G73" s="102"/>
    </row>
    <row r="74" spans="2:7" x14ac:dyDescent="0.3">
      <c r="B74" s="101"/>
      <c r="G74" s="102"/>
    </row>
    <row r="75" spans="2:7" x14ac:dyDescent="0.3">
      <c r="B75" s="101"/>
      <c r="C75" t="s">
        <v>220</v>
      </c>
      <c r="D75">
        <v>3</v>
      </c>
      <c r="G75" s="102"/>
    </row>
    <row r="76" spans="2:7" x14ac:dyDescent="0.3">
      <c r="B76" s="101"/>
      <c r="G76" s="102"/>
    </row>
    <row r="77" spans="2:7" x14ac:dyDescent="0.3">
      <c r="B77" s="101"/>
      <c r="C77" t="s">
        <v>221</v>
      </c>
      <c r="D77" s="157">
        <f>ROUND(D72*D75,1)</f>
        <v>0</v>
      </c>
      <c r="G77" s="102"/>
    </row>
    <row r="78" spans="2:7" x14ac:dyDescent="0.3">
      <c r="B78" s="101"/>
      <c r="G78" s="102"/>
    </row>
    <row r="79" spans="2:7" x14ac:dyDescent="0.3">
      <c r="B79" s="101"/>
      <c r="G79" s="102"/>
    </row>
    <row r="80" spans="2:7" ht="15" thickBot="1" x14ac:dyDescent="0.35">
      <c r="B80" s="109"/>
      <c r="C80" s="110"/>
      <c r="D80" s="110"/>
      <c r="E80" s="110"/>
      <c r="F80" s="110"/>
      <c r="G80" s="111"/>
    </row>
  </sheetData>
  <pageMargins left="0.7" right="0.7" top="0.75" bottom="0.75" header="0.3" footer="0.3"/>
  <pageSetup scale="73"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E842D-6092-4DE0-B348-DBA65FD26504}">
  <sheetPr>
    <tabColor rgb="FFFFFF00"/>
    <pageSetUpPr fitToPage="1"/>
  </sheetPr>
  <dimension ref="A1:P47"/>
  <sheetViews>
    <sheetView topLeftCell="A19" workbookViewId="0">
      <selection activeCell="R27" sqref="R27"/>
    </sheetView>
  </sheetViews>
  <sheetFormatPr defaultRowHeight="14.4" x14ac:dyDescent="0.3"/>
  <cols>
    <col min="19" max="19" width="18.44140625" customWidth="1"/>
  </cols>
  <sheetData>
    <row r="1" spans="1:15" x14ac:dyDescent="0.3">
      <c r="A1" s="2" t="s">
        <v>231</v>
      </c>
    </row>
    <row r="2" spans="1:15" x14ac:dyDescent="0.3">
      <c r="A2" t="s">
        <v>127</v>
      </c>
    </row>
    <row r="5" spans="1:15" x14ac:dyDescent="0.3">
      <c r="A5" s="3" t="s">
        <v>126</v>
      </c>
    </row>
    <row r="7" spans="1:15" x14ac:dyDescent="0.3">
      <c r="A7" s="2" t="s">
        <v>322</v>
      </c>
    </row>
    <row r="8" spans="1:15" x14ac:dyDescent="0.3">
      <c r="A8" s="2" t="s">
        <v>323</v>
      </c>
    </row>
    <row r="9" spans="1:15" x14ac:dyDescent="0.3">
      <c r="A9" s="2" t="s">
        <v>246</v>
      </c>
    </row>
    <row r="10" spans="1:15" ht="18" x14ac:dyDescent="0.35">
      <c r="A10" s="140" t="s">
        <v>457</v>
      </c>
    </row>
    <row r="11" spans="1:15" x14ac:dyDescent="0.3">
      <c r="A11" s="2" t="s">
        <v>324</v>
      </c>
    </row>
    <row r="12" spans="1:15" x14ac:dyDescent="0.3">
      <c r="A12" s="2" t="s">
        <v>247</v>
      </c>
    </row>
    <row r="13" spans="1:15" x14ac:dyDescent="0.3">
      <c r="A13" s="2" t="s">
        <v>262</v>
      </c>
    </row>
    <row r="14" spans="1:15" x14ac:dyDescent="0.3">
      <c r="A14" s="2" t="s">
        <v>248</v>
      </c>
    </row>
    <row r="15" spans="1:15" x14ac:dyDescent="0.3">
      <c r="A15" s="2" t="s">
        <v>321</v>
      </c>
    </row>
    <row r="16" spans="1:15" x14ac:dyDescent="0.3">
      <c r="A16" s="174" t="s">
        <v>458</v>
      </c>
      <c r="B16" s="45"/>
      <c r="C16" s="45"/>
      <c r="D16" s="45"/>
      <c r="E16" s="45"/>
      <c r="F16" s="45"/>
      <c r="G16" s="45"/>
      <c r="H16" s="45"/>
      <c r="I16" s="45"/>
      <c r="J16" s="45"/>
      <c r="K16" s="45"/>
      <c r="L16" s="45"/>
      <c r="M16" s="45"/>
      <c r="N16" s="45"/>
      <c r="O16" s="45"/>
    </row>
    <row r="18" spans="1:16" x14ac:dyDescent="0.3">
      <c r="A18" s="35" t="s">
        <v>355</v>
      </c>
    </row>
    <row r="19" spans="1:16" ht="66.599999999999994" customHeight="1" x14ac:dyDescent="0.3">
      <c r="A19" s="211" t="s">
        <v>496</v>
      </c>
      <c r="B19" s="211"/>
      <c r="C19" s="211"/>
      <c r="D19" s="211"/>
      <c r="E19" s="211"/>
      <c r="F19" s="211"/>
      <c r="G19" s="211"/>
      <c r="H19" s="211"/>
      <c r="I19" s="211"/>
      <c r="J19" s="211"/>
      <c r="K19" s="211"/>
      <c r="L19" s="211"/>
      <c r="M19" s="211"/>
      <c r="N19" s="211"/>
      <c r="O19" s="211"/>
      <c r="P19" s="211"/>
    </row>
    <row r="20" spans="1:16" ht="22.8" customHeight="1" x14ac:dyDescent="0.3">
      <c r="A20" s="172"/>
      <c r="B20" s="4"/>
      <c r="C20" s="4"/>
      <c r="D20" s="4"/>
      <c r="E20" s="4"/>
      <c r="F20" s="4"/>
      <c r="G20" s="4"/>
      <c r="H20" s="4"/>
      <c r="I20" s="4"/>
      <c r="J20" s="4"/>
      <c r="K20" s="4"/>
      <c r="L20" s="4"/>
      <c r="M20" s="4"/>
      <c r="N20" s="4"/>
      <c r="O20" s="4"/>
      <c r="P20" s="4"/>
    </row>
    <row r="21" spans="1:16" ht="93" customHeight="1" x14ac:dyDescent="0.3">
      <c r="A21" s="212" t="s">
        <v>497</v>
      </c>
      <c r="B21" s="212"/>
      <c r="C21" s="212"/>
      <c r="D21" s="212"/>
      <c r="E21" s="212"/>
      <c r="F21" s="212"/>
      <c r="G21" s="212"/>
      <c r="H21" s="212"/>
      <c r="I21" s="212"/>
      <c r="J21" s="212"/>
      <c r="K21" s="212"/>
      <c r="L21" s="212"/>
      <c r="M21" s="212"/>
      <c r="N21" s="212"/>
      <c r="O21" s="212"/>
      <c r="P21" s="212"/>
    </row>
    <row r="22" spans="1:16" x14ac:dyDescent="0.3">
      <c r="A22" s="172"/>
      <c r="B22" s="4"/>
      <c r="C22" s="4"/>
      <c r="D22" s="4"/>
      <c r="E22" s="4"/>
      <c r="F22" s="4"/>
      <c r="G22" s="4"/>
      <c r="H22" s="4"/>
      <c r="I22" s="4"/>
      <c r="J22" s="4"/>
      <c r="K22" s="4"/>
      <c r="L22" s="4"/>
      <c r="M22" s="4"/>
      <c r="N22" s="4"/>
      <c r="O22" s="4"/>
      <c r="P22" s="4"/>
    </row>
    <row r="23" spans="1:16" ht="100.8" customHeight="1" x14ac:dyDescent="0.3">
      <c r="A23" s="211" t="s">
        <v>499</v>
      </c>
      <c r="B23" s="211"/>
      <c r="C23" s="211"/>
      <c r="D23" s="211"/>
      <c r="E23" s="211"/>
      <c r="F23" s="211"/>
      <c r="G23" s="211"/>
      <c r="H23" s="211"/>
      <c r="I23" s="211"/>
      <c r="J23" s="211"/>
      <c r="K23" s="211"/>
      <c r="L23" s="211"/>
      <c r="M23" s="211"/>
      <c r="N23" s="211"/>
      <c r="O23" s="211"/>
      <c r="P23" s="211"/>
    </row>
    <row r="24" spans="1:16" x14ac:dyDescent="0.3">
      <c r="A24" s="172"/>
      <c r="B24" s="4"/>
      <c r="C24" s="4"/>
      <c r="D24" s="4"/>
      <c r="E24" s="4"/>
      <c r="F24" s="4"/>
      <c r="G24" s="4"/>
      <c r="H24" s="4"/>
      <c r="I24" s="4"/>
      <c r="J24" s="4"/>
      <c r="K24" s="4"/>
      <c r="L24" s="4"/>
      <c r="M24" s="4"/>
      <c r="N24" s="4"/>
      <c r="O24" s="4"/>
      <c r="P24" s="4"/>
    </row>
    <row r="25" spans="1:16" ht="101.4" customHeight="1" x14ac:dyDescent="0.3">
      <c r="A25" s="211" t="s">
        <v>500</v>
      </c>
      <c r="B25" s="211"/>
      <c r="C25" s="211"/>
      <c r="D25" s="211"/>
      <c r="E25" s="211"/>
      <c r="F25" s="211"/>
      <c r="G25" s="211"/>
      <c r="H25" s="211"/>
      <c r="I25" s="211"/>
      <c r="J25" s="211"/>
      <c r="K25" s="211"/>
      <c r="L25" s="211"/>
      <c r="M25" s="211"/>
      <c r="N25" s="211"/>
      <c r="O25" s="211"/>
      <c r="P25" s="211"/>
    </row>
    <row r="26" spans="1:16" x14ac:dyDescent="0.3">
      <c r="A26" s="172"/>
      <c r="B26" s="4"/>
      <c r="C26" s="4"/>
      <c r="D26" s="4"/>
      <c r="E26" s="4"/>
      <c r="F26" s="4"/>
      <c r="G26" s="4"/>
      <c r="H26" s="4"/>
      <c r="I26" s="4"/>
      <c r="J26" s="4"/>
      <c r="K26" s="4"/>
      <c r="L26" s="4"/>
      <c r="M26" s="4"/>
      <c r="N26" s="4"/>
      <c r="O26" s="4"/>
      <c r="P26" s="4"/>
    </row>
    <row r="27" spans="1:16" ht="87.6" customHeight="1" x14ac:dyDescent="0.3">
      <c r="A27" s="211" t="s">
        <v>501</v>
      </c>
      <c r="B27" s="211"/>
      <c r="C27" s="211"/>
      <c r="D27" s="211"/>
      <c r="E27" s="211"/>
      <c r="F27" s="211"/>
      <c r="G27" s="211"/>
      <c r="H27" s="211"/>
      <c r="I27" s="211"/>
      <c r="J27" s="211"/>
      <c r="K27" s="211"/>
      <c r="L27" s="211"/>
      <c r="M27" s="211"/>
      <c r="N27" s="211"/>
      <c r="O27" s="211"/>
      <c r="P27" s="211"/>
    </row>
    <row r="28" spans="1:16" x14ac:dyDescent="0.3">
      <c r="A28" s="4"/>
      <c r="B28" s="4"/>
      <c r="C28" s="4"/>
      <c r="D28" s="4"/>
      <c r="E28" s="4"/>
      <c r="F28" s="4"/>
      <c r="G28" s="4"/>
      <c r="H28" s="4"/>
      <c r="I28" s="4"/>
      <c r="J28" s="4"/>
      <c r="K28" s="4"/>
      <c r="L28" s="4"/>
      <c r="M28" s="4"/>
      <c r="N28" s="4"/>
      <c r="O28" s="4"/>
      <c r="P28" s="4"/>
    </row>
    <row r="31" spans="1:16" ht="15" thickBot="1" x14ac:dyDescent="0.35"/>
    <row r="32" spans="1:16" ht="15.6" x14ac:dyDescent="0.3">
      <c r="D32" s="114"/>
      <c r="E32" s="129" t="s">
        <v>206</v>
      </c>
      <c r="F32" s="115"/>
      <c r="G32" s="129"/>
      <c r="H32" s="116"/>
      <c r="I32" s="116"/>
      <c r="J32" s="117"/>
    </row>
    <row r="33" spans="1:10" ht="15.6" x14ac:dyDescent="0.3">
      <c r="D33" s="161"/>
      <c r="E33" s="162"/>
      <c r="F33" s="119"/>
      <c r="G33" s="162"/>
      <c r="H33" s="121"/>
      <c r="I33" s="121"/>
      <c r="J33" s="122"/>
    </row>
    <row r="34" spans="1:10" ht="15.6" x14ac:dyDescent="0.3">
      <c r="D34" s="161" t="s">
        <v>315</v>
      </c>
      <c r="E34" s="162"/>
      <c r="F34" s="119"/>
      <c r="G34" s="162"/>
      <c r="H34" s="121"/>
      <c r="I34" s="121"/>
      <c r="J34" s="122"/>
    </row>
    <row r="35" spans="1:10" ht="15.6" x14ac:dyDescent="0.3">
      <c r="D35" s="161"/>
      <c r="E35" s="162"/>
      <c r="F35" s="119"/>
      <c r="G35" s="162"/>
      <c r="H35" s="121"/>
      <c r="I35" s="121"/>
      <c r="J35" s="122"/>
    </row>
    <row r="36" spans="1:10" ht="15.6" x14ac:dyDescent="0.3">
      <c r="D36" s="161"/>
      <c r="E36" s="162"/>
      <c r="F36" s="119"/>
      <c r="G36" s="162"/>
      <c r="H36" s="121"/>
      <c r="I36" s="121"/>
      <c r="J36" s="122"/>
    </row>
    <row r="37" spans="1:10" x14ac:dyDescent="0.3">
      <c r="D37" s="118"/>
      <c r="E37" s="119"/>
      <c r="F37" s="120"/>
      <c r="G37" s="119"/>
      <c r="H37" s="121"/>
      <c r="I37" s="121"/>
      <c r="J37" s="122"/>
    </row>
    <row r="38" spans="1:10" x14ac:dyDescent="0.3">
      <c r="D38" s="118"/>
      <c r="E38" s="119"/>
      <c r="F38" s="120"/>
      <c r="G38" s="119"/>
      <c r="H38" s="121"/>
      <c r="I38" s="121"/>
      <c r="J38" s="122"/>
    </row>
    <row r="39" spans="1:10" x14ac:dyDescent="0.3">
      <c r="D39" s="118"/>
      <c r="E39" s="119" t="s">
        <v>317</v>
      </c>
      <c r="F39" s="123"/>
      <c r="G39" s="119" t="s">
        <v>314</v>
      </c>
      <c r="H39" s="121"/>
      <c r="I39" s="121"/>
      <c r="J39" s="122"/>
    </row>
    <row r="40" spans="1:10" x14ac:dyDescent="0.3">
      <c r="A40" s="35" t="s">
        <v>263</v>
      </c>
      <c r="D40" s="118"/>
      <c r="E40" s="119"/>
      <c r="F40" s="123"/>
      <c r="G40" s="119"/>
      <c r="H40" s="121"/>
      <c r="I40" s="121"/>
      <c r="J40" s="122"/>
    </row>
    <row r="41" spans="1:10" x14ac:dyDescent="0.3">
      <c r="D41" s="118"/>
      <c r="E41" s="119"/>
      <c r="F41" s="119"/>
      <c r="G41" s="119"/>
      <c r="H41" s="121"/>
      <c r="I41" s="121"/>
      <c r="J41" s="122"/>
    </row>
    <row r="42" spans="1:10" x14ac:dyDescent="0.3">
      <c r="D42" s="118"/>
      <c r="E42" s="119"/>
      <c r="F42" s="119"/>
      <c r="G42" s="119"/>
      <c r="H42" s="121"/>
      <c r="I42" s="121"/>
      <c r="J42" s="122"/>
    </row>
    <row r="43" spans="1:10" x14ac:dyDescent="0.3">
      <c r="D43" s="118"/>
      <c r="E43" s="119" t="s">
        <v>223</v>
      </c>
      <c r="F43" s="119">
        <v>3</v>
      </c>
      <c r="G43" s="119"/>
      <c r="H43" s="121"/>
      <c r="I43" s="121"/>
      <c r="J43" s="122"/>
    </row>
    <row r="44" spans="1:10" x14ac:dyDescent="0.3">
      <c r="D44" s="118"/>
      <c r="E44" s="119"/>
      <c r="F44" s="119"/>
      <c r="G44" s="119"/>
      <c r="H44" s="121"/>
      <c r="I44" s="121"/>
      <c r="J44" s="122"/>
    </row>
    <row r="45" spans="1:10" x14ac:dyDescent="0.3">
      <c r="D45" s="118"/>
      <c r="E45" s="124" t="s">
        <v>130</v>
      </c>
      <c r="F45" s="156">
        <f>ROUND(F39*F43,1)</f>
        <v>0</v>
      </c>
      <c r="G45" s="119"/>
      <c r="H45" s="121"/>
      <c r="I45" s="121"/>
      <c r="J45" s="122"/>
    </row>
    <row r="46" spans="1:10" x14ac:dyDescent="0.3">
      <c r="D46" s="118"/>
      <c r="E46" s="119"/>
      <c r="F46" s="119"/>
      <c r="G46" s="119"/>
      <c r="H46" s="121"/>
      <c r="I46" s="121"/>
      <c r="J46" s="122"/>
    </row>
    <row r="47" spans="1:10" ht="15" thickBot="1" x14ac:dyDescent="0.35">
      <c r="D47" s="125"/>
      <c r="E47" s="126"/>
      <c r="F47" s="126"/>
      <c r="G47" s="126"/>
      <c r="H47" s="127"/>
      <c r="I47" s="127"/>
      <c r="J47" s="128"/>
    </row>
  </sheetData>
  <mergeCells count="5">
    <mergeCell ref="A19:P19"/>
    <mergeCell ref="A21:P21"/>
    <mergeCell ref="A23:P23"/>
    <mergeCell ref="A25:P25"/>
    <mergeCell ref="A27:P27"/>
  </mergeCells>
  <pageMargins left="0.7" right="0.7" top="0.75" bottom="0.75" header="0.3" footer="0.3"/>
  <pageSetup scale="7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293D6-2BCA-4519-91A4-7E3F1403DCD1}">
  <sheetPr>
    <tabColor rgb="FFFFFF00"/>
    <pageSetUpPr fitToPage="1"/>
  </sheetPr>
  <dimension ref="A1:Z52"/>
  <sheetViews>
    <sheetView topLeftCell="A30" zoomScale="88" workbookViewId="0">
      <selection activeCell="A44" sqref="A44:J52"/>
    </sheetView>
  </sheetViews>
  <sheetFormatPr defaultRowHeight="14.4" x14ac:dyDescent="0.3"/>
  <cols>
    <col min="2" max="2" width="10.77734375" customWidth="1"/>
    <col min="3" max="3" width="11.88671875" customWidth="1"/>
    <col min="4" max="4" width="9.6640625" bestFit="1" customWidth="1"/>
    <col min="5" max="5" width="11.88671875" bestFit="1" customWidth="1"/>
    <col min="18" max="18" width="11.6640625" customWidth="1"/>
    <col min="20" max="20" width="21.33203125" customWidth="1"/>
    <col min="21" max="21" width="14.88671875" customWidth="1"/>
  </cols>
  <sheetData>
    <row r="1" spans="1:26" x14ac:dyDescent="0.3">
      <c r="A1" t="s">
        <v>233</v>
      </c>
    </row>
    <row r="2" spans="1:26" x14ac:dyDescent="0.3">
      <c r="A2" t="s">
        <v>325</v>
      </c>
    </row>
    <row r="5" spans="1:26" x14ac:dyDescent="0.3">
      <c r="A5" s="3" t="s">
        <v>126</v>
      </c>
    </row>
    <row r="6" spans="1:26" ht="15" thickBot="1" x14ac:dyDescent="0.35"/>
    <row r="7" spans="1:26" ht="15.6" x14ac:dyDescent="0.3">
      <c r="A7" s="2" t="s">
        <v>318</v>
      </c>
      <c r="T7" s="114"/>
      <c r="U7" s="129" t="s">
        <v>206</v>
      </c>
      <c r="V7" s="115"/>
      <c r="W7" s="129"/>
      <c r="X7" s="116"/>
      <c r="Y7" s="116"/>
      <c r="Z7" s="117"/>
    </row>
    <row r="8" spans="1:26" ht="15.6" x14ac:dyDescent="0.3">
      <c r="A8" s="2" t="s">
        <v>319</v>
      </c>
      <c r="T8" s="161"/>
      <c r="U8" s="162"/>
      <c r="V8" s="119"/>
      <c r="W8" s="162"/>
      <c r="X8" s="121"/>
      <c r="Y8" s="121"/>
      <c r="Z8" s="122"/>
    </row>
    <row r="9" spans="1:26" ht="15.6" x14ac:dyDescent="0.3">
      <c r="A9" s="140" t="s">
        <v>234</v>
      </c>
      <c r="T9" s="161" t="s">
        <v>315</v>
      </c>
      <c r="U9" s="162"/>
      <c r="V9" s="119"/>
      <c r="W9" s="162"/>
      <c r="X9" s="121"/>
      <c r="Y9" s="121"/>
      <c r="Z9" s="122"/>
    </row>
    <row r="10" spans="1:26" ht="15.6" x14ac:dyDescent="0.3">
      <c r="A10" s="140" t="s">
        <v>235</v>
      </c>
      <c r="T10" s="161"/>
      <c r="U10" s="162"/>
      <c r="V10" s="119"/>
      <c r="W10" s="162"/>
      <c r="X10" s="121"/>
      <c r="Y10" s="121"/>
      <c r="Z10" s="122"/>
    </row>
    <row r="11" spans="1:26" x14ac:dyDescent="0.3">
      <c r="A11" s="140" t="s">
        <v>320</v>
      </c>
      <c r="T11" s="118"/>
      <c r="U11" s="119"/>
      <c r="V11" s="120"/>
      <c r="W11" s="119"/>
      <c r="X11" s="121"/>
      <c r="Y11" s="121"/>
      <c r="Z11" s="122"/>
    </row>
    <row r="12" spans="1:26" x14ac:dyDescent="0.3">
      <c r="A12" s="140" t="s">
        <v>274</v>
      </c>
      <c r="T12" s="118"/>
      <c r="U12" s="119" t="s">
        <v>313</v>
      </c>
      <c r="V12" s="123"/>
      <c r="W12" s="119" t="s">
        <v>314</v>
      </c>
      <c r="X12" s="121"/>
      <c r="Y12" s="121"/>
      <c r="Z12" s="122"/>
    </row>
    <row r="13" spans="1:26" x14ac:dyDescent="0.3">
      <c r="A13" s="2" t="s">
        <v>249</v>
      </c>
      <c r="T13" s="118"/>
      <c r="U13" s="119"/>
      <c r="V13" s="119"/>
      <c r="W13" s="119"/>
      <c r="X13" s="121"/>
      <c r="Y13" s="121"/>
      <c r="Z13" s="122"/>
    </row>
    <row r="14" spans="1:26" x14ac:dyDescent="0.3">
      <c r="A14" s="2"/>
      <c r="T14" s="118"/>
      <c r="U14" s="119" t="s">
        <v>223</v>
      </c>
      <c r="V14" s="119">
        <v>3</v>
      </c>
      <c r="W14" s="119"/>
      <c r="X14" s="121"/>
      <c r="Y14" s="121"/>
      <c r="Z14" s="122"/>
    </row>
    <row r="15" spans="1:26" x14ac:dyDescent="0.3">
      <c r="A15" s="140" t="s">
        <v>236</v>
      </c>
      <c r="T15" s="118"/>
      <c r="U15" s="119"/>
      <c r="V15" s="119"/>
      <c r="W15" s="119"/>
      <c r="X15" s="121"/>
      <c r="Y15" s="121"/>
      <c r="Z15" s="122"/>
    </row>
    <row r="16" spans="1:26" x14ac:dyDescent="0.3">
      <c r="A16" s="2"/>
      <c r="T16" s="118"/>
      <c r="U16" s="124" t="s">
        <v>130</v>
      </c>
      <c r="V16" s="156">
        <f>ROUND(V12*V14,1)</f>
        <v>0</v>
      </c>
      <c r="W16" s="119"/>
      <c r="X16" s="121"/>
      <c r="Y16" s="121"/>
      <c r="Z16" s="122"/>
    </row>
    <row r="17" spans="1:26" x14ac:dyDescent="0.3">
      <c r="E17" s="155" t="str">
        <f>+BSCo1!C2</f>
        <v>Alphabet</v>
      </c>
      <c r="T17" s="118"/>
      <c r="U17" s="119"/>
      <c r="V17" s="119"/>
      <c r="W17" s="119"/>
      <c r="X17" s="121"/>
      <c r="Y17" s="121"/>
      <c r="Z17" s="122"/>
    </row>
    <row r="18" spans="1:26" ht="15" thickBot="1" x14ac:dyDescent="0.35">
      <c r="B18" t="s">
        <v>237</v>
      </c>
      <c r="D18" t="s">
        <v>254</v>
      </c>
      <c r="E18" s="9">
        <f>CFCo1!D13 / ISCo1!D13</f>
        <v>0.29511677282377918</v>
      </c>
      <c r="F18" t="s">
        <v>250</v>
      </c>
      <c r="G18" s="6"/>
      <c r="T18" s="125"/>
      <c r="U18" s="126"/>
      <c r="V18" s="126"/>
      <c r="W18" s="126"/>
      <c r="X18" s="127"/>
      <c r="Y18" s="127"/>
      <c r="Z18" s="128"/>
    </row>
    <row r="19" spans="1:26" x14ac:dyDescent="0.3">
      <c r="B19" t="s">
        <v>238</v>
      </c>
      <c r="D19" t="s">
        <v>254</v>
      </c>
      <c r="E19" s="9">
        <f>1-(-CFCo1!D31/CFCo1!D13 )</f>
        <v>0.86634750700353791</v>
      </c>
      <c r="F19" t="s">
        <v>251</v>
      </c>
      <c r="G19" s="6"/>
    </row>
    <row r="20" spans="1:26" x14ac:dyDescent="0.3">
      <c r="B20" t="s">
        <v>264</v>
      </c>
      <c r="D20" t="s">
        <v>255</v>
      </c>
      <c r="E20" s="22">
        <f>BSCo1!D22/(BSCo1!E40-BSCo1!E38)</f>
        <v>1.598857150999955</v>
      </c>
      <c r="F20" t="s">
        <v>273</v>
      </c>
      <c r="G20" s="7"/>
    </row>
    <row r="21" spans="1:26" x14ac:dyDescent="0.3">
      <c r="B21" t="s">
        <v>265</v>
      </c>
      <c r="D21" t="s">
        <v>255</v>
      </c>
      <c r="E21" s="154">
        <f>ISCo1!D13 / BSCo1!D22</f>
        <v>0.71711647015598379</v>
      </c>
      <c r="F21" t="s">
        <v>252</v>
      </c>
      <c r="G21" s="7"/>
    </row>
    <row r="22" spans="1:26" x14ac:dyDescent="0.3">
      <c r="E22" s="6"/>
    </row>
    <row r="23" spans="1:26" x14ac:dyDescent="0.3">
      <c r="B23" t="s">
        <v>239</v>
      </c>
    </row>
    <row r="24" spans="1:26" x14ac:dyDescent="0.3">
      <c r="B24" t="s">
        <v>240</v>
      </c>
      <c r="E24" s="6">
        <f>+E18*E19*E20*E21</f>
        <v>0.29314695267465524</v>
      </c>
    </row>
    <row r="26" spans="1:26" x14ac:dyDescent="0.3">
      <c r="B26" t="s">
        <v>241</v>
      </c>
    </row>
    <row r="27" spans="1:26" x14ac:dyDescent="0.3">
      <c r="B27" t="s">
        <v>240</v>
      </c>
      <c r="E27" s="9">
        <f>(ISCo1!D13/ISCo1!E13)-1</f>
        <v>0.41150076427049154</v>
      </c>
      <c r="F27" t="s">
        <v>253</v>
      </c>
      <c r="G27" s="6"/>
    </row>
    <row r="29" spans="1:26" x14ac:dyDescent="0.3">
      <c r="B29" t="s">
        <v>243</v>
      </c>
    </row>
    <row r="30" spans="1:26" x14ac:dyDescent="0.3">
      <c r="B30" t="s">
        <v>242</v>
      </c>
      <c r="E30" s="141">
        <f>+E24-E27</f>
        <v>-0.1183538115958363</v>
      </c>
    </row>
    <row r="32" spans="1:26" x14ac:dyDescent="0.3">
      <c r="A32" s="1" t="s">
        <v>244</v>
      </c>
      <c r="B32" s="1"/>
      <c r="C32" s="1"/>
      <c r="D32" s="1"/>
      <c r="E32" s="1"/>
      <c r="F32" s="1"/>
      <c r="G32" s="1"/>
      <c r="H32" s="1"/>
      <c r="I32" s="1"/>
      <c r="J32" s="1"/>
      <c r="K32" s="1"/>
    </row>
    <row r="33" spans="1:10" x14ac:dyDescent="0.3">
      <c r="A33" s="1" t="s">
        <v>261</v>
      </c>
    </row>
    <row r="35" spans="1:10" x14ac:dyDescent="0.3">
      <c r="A35" s="173" t="s">
        <v>490</v>
      </c>
      <c r="B35" s="4"/>
      <c r="C35" s="4"/>
      <c r="D35" s="206">
        <f>-0.12*(ISCo1!D13-ISCo1!D16)*(1-0.162)</f>
        <v>-14751.950879999999</v>
      </c>
      <c r="E35" s="205"/>
      <c r="F35" s="4"/>
      <c r="G35" s="4"/>
      <c r="H35" s="4"/>
      <c r="I35" s="4"/>
      <c r="J35" s="201"/>
    </row>
    <row r="36" spans="1:10" x14ac:dyDescent="0.3">
      <c r="A36" s="4"/>
      <c r="B36" s="4"/>
      <c r="C36" s="4"/>
      <c r="D36" s="4"/>
      <c r="E36" s="4"/>
      <c r="F36" s="4"/>
      <c r="G36" s="4"/>
      <c r="H36" s="4"/>
      <c r="I36" s="4"/>
      <c r="J36" s="4"/>
    </row>
    <row r="37" spans="1:10" x14ac:dyDescent="0.3">
      <c r="A37" s="4"/>
      <c r="B37" s="4" t="s">
        <v>493</v>
      </c>
      <c r="C37" s="204">
        <v>0.16200000000000001</v>
      </c>
      <c r="D37" s="172"/>
      <c r="E37" s="4"/>
      <c r="F37" s="4"/>
      <c r="G37" s="4"/>
      <c r="H37" s="4"/>
      <c r="I37" s="4"/>
      <c r="J37" s="4"/>
    </row>
    <row r="38" spans="1:10" x14ac:dyDescent="0.3">
      <c r="A38" s="4"/>
      <c r="B38" s="4" t="s">
        <v>494</v>
      </c>
      <c r="C38" s="201">
        <f>(ISCo1!D13-ISCo1!D16)</f>
        <v>146698</v>
      </c>
      <c r="D38" s="4"/>
      <c r="E38" s="4"/>
      <c r="F38" s="4"/>
      <c r="G38" s="4"/>
      <c r="H38" s="4"/>
      <c r="I38" s="4"/>
      <c r="J38" s="4"/>
    </row>
    <row r="39" spans="1:10" x14ac:dyDescent="0.3">
      <c r="A39" s="4"/>
      <c r="B39" s="4"/>
      <c r="C39" s="4"/>
      <c r="D39" s="4"/>
      <c r="E39" s="4"/>
      <c r="F39" s="4"/>
      <c r="G39" s="4"/>
      <c r="H39" s="4"/>
      <c r="I39" s="4"/>
      <c r="J39" s="4"/>
    </row>
    <row r="40" spans="1:10" x14ac:dyDescent="0.3">
      <c r="A40" s="4"/>
      <c r="B40" s="4" t="s">
        <v>491</v>
      </c>
      <c r="C40" s="4"/>
      <c r="D40" s="4"/>
      <c r="E40" s="4"/>
      <c r="F40" s="4"/>
      <c r="G40" s="4"/>
      <c r="H40" s="4"/>
      <c r="I40" s="4"/>
      <c r="J40" s="4"/>
    </row>
    <row r="41" spans="1:10" x14ac:dyDescent="0.3">
      <c r="A41" s="4"/>
      <c r="B41" s="4"/>
      <c r="C41" s="4"/>
      <c r="D41" s="172" t="s">
        <v>492</v>
      </c>
      <c r="E41" s="4"/>
      <c r="F41" s="4"/>
      <c r="G41" s="4"/>
      <c r="H41" s="4"/>
      <c r="I41" s="4"/>
      <c r="J41" s="4"/>
    </row>
    <row r="42" spans="1:10" x14ac:dyDescent="0.3">
      <c r="A42" s="4"/>
      <c r="B42" s="4"/>
      <c r="C42" s="4"/>
      <c r="D42" s="172" t="s">
        <v>495</v>
      </c>
      <c r="E42" s="4"/>
      <c r="F42" s="4"/>
      <c r="G42" s="4"/>
      <c r="H42" s="4"/>
      <c r="I42" s="4"/>
      <c r="J42" s="4"/>
    </row>
    <row r="43" spans="1:10" x14ac:dyDescent="0.3">
      <c r="A43" s="4"/>
      <c r="B43" s="4"/>
      <c r="C43" s="4"/>
      <c r="D43" s="4"/>
      <c r="E43" s="4"/>
      <c r="F43" s="4"/>
      <c r="G43" s="4"/>
      <c r="H43" s="4"/>
      <c r="I43" s="4"/>
      <c r="J43" s="4"/>
    </row>
    <row r="44" spans="1:10" x14ac:dyDescent="0.3">
      <c r="A44" s="213" t="s">
        <v>498</v>
      </c>
      <c r="B44" s="213"/>
      <c r="C44" s="213"/>
      <c r="D44" s="213"/>
      <c r="E44" s="213"/>
      <c r="F44" s="213"/>
      <c r="G44" s="213"/>
      <c r="H44" s="213"/>
      <c r="I44" s="213"/>
      <c r="J44" s="213"/>
    </row>
    <row r="45" spans="1:10" x14ac:dyDescent="0.3">
      <c r="A45" s="213"/>
      <c r="B45" s="213"/>
      <c r="C45" s="213"/>
      <c r="D45" s="213"/>
      <c r="E45" s="213"/>
      <c r="F45" s="213"/>
      <c r="G45" s="213"/>
      <c r="H45" s="213"/>
      <c r="I45" s="213"/>
      <c r="J45" s="213"/>
    </row>
    <row r="46" spans="1:10" x14ac:dyDescent="0.3">
      <c r="A46" s="213"/>
      <c r="B46" s="213"/>
      <c r="C46" s="213"/>
      <c r="D46" s="213"/>
      <c r="E46" s="213"/>
      <c r="F46" s="213"/>
      <c r="G46" s="213"/>
      <c r="H46" s="213"/>
      <c r="I46" s="213"/>
      <c r="J46" s="213"/>
    </row>
    <row r="47" spans="1:10" x14ac:dyDescent="0.3">
      <c r="A47" s="213"/>
      <c r="B47" s="213"/>
      <c r="C47" s="213"/>
      <c r="D47" s="213"/>
      <c r="E47" s="213"/>
      <c r="F47" s="213"/>
      <c r="G47" s="213"/>
      <c r="H47" s="213"/>
      <c r="I47" s="213"/>
      <c r="J47" s="213"/>
    </row>
    <row r="48" spans="1:10" x14ac:dyDescent="0.3">
      <c r="A48" s="213"/>
      <c r="B48" s="213"/>
      <c r="C48" s="213"/>
      <c r="D48" s="213"/>
      <c r="E48" s="213"/>
      <c r="F48" s="213"/>
      <c r="G48" s="213"/>
      <c r="H48" s="213"/>
      <c r="I48" s="213"/>
      <c r="J48" s="213"/>
    </row>
    <row r="49" spans="1:10" x14ac:dyDescent="0.3">
      <c r="A49" s="213"/>
      <c r="B49" s="213"/>
      <c r="C49" s="213"/>
      <c r="D49" s="213"/>
      <c r="E49" s="213"/>
      <c r="F49" s="213"/>
      <c r="G49" s="213"/>
      <c r="H49" s="213"/>
      <c r="I49" s="213"/>
      <c r="J49" s="213"/>
    </row>
    <row r="50" spans="1:10" x14ac:dyDescent="0.3">
      <c r="A50" s="213"/>
      <c r="B50" s="213"/>
      <c r="C50" s="213"/>
      <c r="D50" s="213"/>
      <c r="E50" s="213"/>
      <c r="F50" s="213"/>
      <c r="G50" s="213"/>
      <c r="H50" s="213"/>
      <c r="I50" s="213"/>
      <c r="J50" s="213"/>
    </row>
    <row r="51" spans="1:10" x14ac:dyDescent="0.3">
      <c r="A51" s="213"/>
      <c r="B51" s="213"/>
      <c r="C51" s="213"/>
      <c r="D51" s="213"/>
      <c r="E51" s="213"/>
      <c r="F51" s="213"/>
      <c r="G51" s="213"/>
      <c r="H51" s="213"/>
      <c r="I51" s="213"/>
      <c r="J51" s="213"/>
    </row>
    <row r="52" spans="1:10" x14ac:dyDescent="0.3">
      <c r="A52" s="213"/>
      <c r="B52" s="213"/>
      <c r="C52" s="213"/>
      <c r="D52" s="213"/>
      <c r="E52" s="213"/>
      <c r="F52" s="213"/>
      <c r="G52" s="213"/>
      <c r="H52" s="213"/>
      <c r="I52" s="213"/>
      <c r="J52" s="213"/>
    </row>
  </sheetData>
  <mergeCells count="1">
    <mergeCell ref="A44:J52"/>
  </mergeCells>
  <pageMargins left="0.7" right="0.7" top="0.75" bottom="0.75" header="0.3" footer="0.3"/>
  <pageSetup scale="76"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243D7-921B-45C7-A5C6-1F7D9B1CBB8D}">
  <sheetPr>
    <tabColor rgb="FFFFFF00"/>
  </sheetPr>
  <dimension ref="A1:S54"/>
  <sheetViews>
    <sheetView topLeftCell="A38" workbookViewId="0">
      <selection activeCell="A44" sqref="A44:J53"/>
    </sheetView>
  </sheetViews>
  <sheetFormatPr defaultRowHeight="14.4" x14ac:dyDescent="0.3"/>
  <cols>
    <col min="5" max="5" width="11.33203125" customWidth="1"/>
    <col min="7" max="7" width="12.109375" customWidth="1"/>
    <col min="14" max="15" width="13.109375" customWidth="1"/>
  </cols>
  <sheetData>
    <row r="1" spans="1:19" x14ac:dyDescent="0.3">
      <c r="A1" s="2" t="s">
        <v>292</v>
      </c>
    </row>
    <row r="2" spans="1:19" x14ac:dyDescent="0.3">
      <c r="A2" t="s">
        <v>125</v>
      </c>
    </row>
    <row r="3" spans="1:19" ht="15" thickBot="1" x14ac:dyDescent="0.35"/>
    <row r="4" spans="1:19" ht="15.6" x14ac:dyDescent="0.3">
      <c r="M4" s="114"/>
      <c r="N4" s="129" t="s">
        <v>206</v>
      </c>
      <c r="O4" s="115"/>
      <c r="P4" s="129"/>
      <c r="Q4" s="116"/>
      <c r="R4" s="116"/>
      <c r="S4" s="117"/>
    </row>
    <row r="5" spans="1:19" ht="15.6" x14ac:dyDescent="0.3">
      <c r="A5" s="3" t="s">
        <v>126</v>
      </c>
      <c r="M5" s="161"/>
      <c r="N5" s="162"/>
      <c r="O5" s="119"/>
      <c r="P5" s="162"/>
      <c r="Q5" s="121"/>
      <c r="R5" s="121"/>
      <c r="S5" s="122"/>
    </row>
    <row r="6" spans="1:19" ht="15.6" x14ac:dyDescent="0.3">
      <c r="M6" s="161" t="s">
        <v>315</v>
      </c>
      <c r="N6" s="162"/>
      <c r="O6" s="119"/>
      <c r="P6" s="162"/>
      <c r="Q6" s="121"/>
      <c r="R6" s="121"/>
      <c r="S6" s="122"/>
    </row>
    <row r="7" spans="1:19" ht="15.6" x14ac:dyDescent="0.3">
      <c r="A7" s="2" t="s">
        <v>347</v>
      </c>
      <c r="M7" s="161"/>
      <c r="N7" s="162"/>
      <c r="O7" s="119"/>
      <c r="P7" s="162"/>
      <c r="Q7" s="121"/>
      <c r="R7" s="121"/>
      <c r="S7" s="122"/>
    </row>
    <row r="8" spans="1:19" x14ac:dyDescent="0.3">
      <c r="A8" s="2" t="s">
        <v>348</v>
      </c>
      <c r="M8" s="118"/>
      <c r="N8" s="119"/>
      <c r="O8" s="120"/>
      <c r="P8" s="119"/>
      <c r="Q8" s="121"/>
      <c r="R8" s="121"/>
      <c r="S8" s="122"/>
    </row>
    <row r="9" spans="1:19" x14ac:dyDescent="0.3">
      <c r="A9" s="140" t="s">
        <v>356</v>
      </c>
      <c r="M9" s="118"/>
      <c r="N9" s="119" t="s">
        <v>316</v>
      </c>
      <c r="O9" s="123"/>
      <c r="P9" s="119" t="s">
        <v>314</v>
      </c>
      <c r="Q9" s="121"/>
      <c r="R9" s="121"/>
      <c r="S9" s="122"/>
    </row>
    <row r="10" spans="1:19" x14ac:dyDescent="0.3">
      <c r="A10" s="2" t="s">
        <v>357</v>
      </c>
      <c r="M10" s="118"/>
      <c r="N10" s="119"/>
      <c r="O10" s="119"/>
      <c r="P10" s="119"/>
      <c r="Q10" s="121"/>
      <c r="R10" s="121"/>
      <c r="S10" s="122"/>
    </row>
    <row r="11" spans="1:19" x14ac:dyDescent="0.3">
      <c r="A11" s="140" t="s">
        <v>349</v>
      </c>
      <c r="M11" s="118"/>
      <c r="N11" s="119" t="s">
        <v>223</v>
      </c>
      <c r="O11" s="119">
        <v>3</v>
      </c>
      <c r="P11" s="119"/>
      <c r="Q11" s="121"/>
      <c r="R11" s="121"/>
      <c r="S11" s="122"/>
    </row>
    <row r="12" spans="1:19" x14ac:dyDescent="0.3">
      <c r="A12" s="1" t="s">
        <v>350</v>
      </c>
      <c r="M12" s="118"/>
      <c r="N12" s="119"/>
      <c r="O12" s="119"/>
      <c r="P12" s="119"/>
      <c r="Q12" s="121"/>
      <c r="R12" s="121"/>
      <c r="S12" s="122"/>
    </row>
    <row r="13" spans="1:19" x14ac:dyDescent="0.3">
      <c r="A13" s="140" t="s">
        <v>351</v>
      </c>
      <c r="M13" s="118"/>
      <c r="N13" s="124" t="s">
        <v>130</v>
      </c>
      <c r="O13" s="156">
        <f>ROUND(O9*O11,1)</f>
        <v>0</v>
      </c>
      <c r="P13" s="119"/>
      <c r="Q13" s="121"/>
      <c r="R13" s="121"/>
      <c r="S13" s="122"/>
    </row>
    <row r="14" spans="1:19" x14ac:dyDescent="0.3">
      <c r="A14" s="1" t="s">
        <v>352</v>
      </c>
      <c r="M14" s="118"/>
      <c r="N14" s="119"/>
      <c r="O14" s="119"/>
      <c r="P14" s="119"/>
      <c r="Q14" s="121"/>
      <c r="R14" s="121"/>
      <c r="S14" s="122"/>
    </row>
    <row r="15" spans="1:19" ht="15" thickBot="1" x14ac:dyDescent="0.35">
      <c r="A15" s="2" t="s">
        <v>353</v>
      </c>
      <c r="M15" s="125"/>
      <c r="N15" s="126"/>
      <c r="O15" s="126"/>
      <c r="P15" s="126"/>
      <c r="Q15" s="127"/>
      <c r="R15" s="127"/>
      <c r="S15" s="128"/>
    </row>
    <row r="16" spans="1:19" x14ac:dyDescent="0.3">
      <c r="A16" s="2"/>
      <c r="M16" s="119"/>
      <c r="N16" s="119"/>
      <c r="O16" s="119"/>
      <c r="P16" s="119"/>
      <c r="Q16" s="121"/>
      <c r="R16" s="121"/>
      <c r="S16" s="121"/>
    </row>
    <row r="18" spans="2:8" x14ac:dyDescent="0.3">
      <c r="E18" s="164" t="s">
        <v>215</v>
      </c>
      <c r="F18" s="164"/>
      <c r="G18" s="164" t="s">
        <v>218</v>
      </c>
    </row>
    <row r="19" spans="2:8" x14ac:dyDescent="0.3">
      <c r="E19" s="170" t="str">
        <f>+BSCo1!C2</f>
        <v>Alphabet</v>
      </c>
      <c r="G19" s="4" t="s">
        <v>472</v>
      </c>
      <c r="H19" t="s">
        <v>344</v>
      </c>
    </row>
    <row r="20" spans="2:8" x14ac:dyDescent="0.3">
      <c r="E20" s="171" t="str">
        <f>+BSCo1!D9</f>
        <v>Dec. 31, 2021</v>
      </c>
      <c r="G20" s="167" t="s">
        <v>476</v>
      </c>
      <c r="H20" t="s">
        <v>451</v>
      </c>
    </row>
    <row r="22" spans="2:8" x14ac:dyDescent="0.3">
      <c r="B22" t="s">
        <v>336</v>
      </c>
      <c r="E22" s="163">
        <f>+RatioCo1!D12</f>
        <v>2.9281134248451459</v>
      </c>
      <c r="F22" s="163"/>
      <c r="G22" s="168">
        <f>66666/21135</f>
        <v>3.1542938254080908</v>
      </c>
    </row>
    <row r="23" spans="2:8" x14ac:dyDescent="0.3">
      <c r="E23" s="163"/>
      <c r="F23" s="163"/>
      <c r="G23" s="163"/>
    </row>
    <row r="24" spans="2:8" x14ac:dyDescent="0.3">
      <c r="B24" t="s">
        <v>338</v>
      </c>
      <c r="E24" s="163">
        <f>+RatioCo1!D46</f>
        <v>0.25300934303171246</v>
      </c>
      <c r="F24" s="163"/>
      <c r="G24" s="168">
        <f>41108/124879</f>
        <v>0.3291826488040423</v>
      </c>
    </row>
    <row r="25" spans="2:8" x14ac:dyDescent="0.3">
      <c r="E25" s="163"/>
      <c r="F25" s="163"/>
      <c r="G25" s="163"/>
    </row>
    <row r="26" spans="2:8" x14ac:dyDescent="0.3">
      <c r="B26" t="s">
        <v>102</v>
      </c>
      <c r="E26" s="163">
        <f>+RatioCo1!D31</f>
        <v>0.71711647015598379</v>
      </c>
      <c r="F26" s="163"/>
      <c r="G26" s="168">
        <f>117929/165987</f>
        <v>0.71047130196943131</v>
      </c>
    </row>
    <row r="28" spans="2:8" x14ac:dyDescent="0.3">
      <c r="B28" t="s">
        <v>345</v>
      </c>
      <c r="E28" s="165">
        <f>+RatioCo1!D33</f>
        <v>67012</v>
      </c>
      <c r="F28" s="165"/>
      <c r="G28" s="169">
        <f>46753-19240</f>
        <v>27513</v>
      </c>
    </row>
    <row r="30" spans="2:8" x14ac:dyDescent="0.3">
      <c r="B30" t="s">
        <v>337</v>
      </c>
      <c r="E30" s="6">
        <f>+RatioCo1!D36</f>
        <v>0.5693980290098084</v>
      </c>
      <c r="F30" s="6"/>
      <c r="G30" s="9">
        <f>(117929 - 22649 )/117929</f>
        <v>0.80794376277251567</v>
      </c>
    </row>
    <row r="31" spans="2:8" x14ac:dyDescent="0.3">
      <c r="E31" s="6"/>
      <c r="F31" s="6"/>
      <c r="G31" s="6"/>
    </row>
    <row r="32" spans="2:8" x14ac:dyDescent="0.3">
      <c r="B32" t="s">
        <v>343</v>
      </c>
      <c r="E32" s="6">
        <f>+RatioCo1!D38</f>
        <v>0.29511677282377918</v>
      </c>
      <c r="F32" s="6"/>
      <c r="G32" s="9">
        <f>39370/117929</f>
        <v>0.33384494059985248</v>
      </c>
    </row>
    <row r="33" spans="1:10" x14ac:dyDescent="0.3">
      <c r="E33" s="6"/>
      <c r="F33" s="6"/>
      <c r="G33" s="6"/>
    </row>
    <row r="34" spans="1:10" x14ac:dyDescent="0.3">
      <c r="B34" t="s">
        <v>339</v>
      </c>
      <c r="E34" s="6">
        <f>+RatioCo1!D43</f>
        <v>0.21163309841121392</v>
      </c>
      <c r="F34" s="6"/>
      <c r="G34" s="9">
        <f>39370/165987</f>
        <v>0.23718724960388465</v>
      </c>
    </row>
    <row r="35" spans="1:10" x14ac:dyDescent="0.3">
      <c r="E35" s="6"/>
      <c r="F35" s="6"/>
      <c r="G35" s="6"/>
    </row>
    <row r="36" spans="1:10" x14ac:dyDescent="0.3">
      <c r="B36" t="s">
        <v>340</v>
      </c>
      <c r="E36" s="6">
        <f>+RatioCo1!D40</f>
        <v>0.33837109278304656</v>
      </c>
      <c r="F36" s="6"/>
      <c r="G36" s="9">
        <f>39370/(128290+44810)</f>
        <v>0.22744078567302137</v>
      </c>
    </row>
    <row r="37" spans="1:10" x14ac:dyDescent="0.3">
      <c r="E37" s="6"/>
      <c r="F37" s="6"/>
      <c r="G37" s="6"/>
    </row>
    <row r="38" spans="1:10" x14ac:dyDescent="0.3">
      <c r="B38" t="s">
        <v>341</v>
      </c>
      <c r="E38" s="6">
        <f>+ISCo1!L13</f>
        <v>0.41150076427049148</v>
      </c>
      <c r="F38" s="6"/>
      <c r="G38" s="9">
        <f>(117929-85965)/85965</f>
        <v>0.37182574303495608</v>
      </c>
    </row>
    <row r="39" spans="1:10" x14ac:dyDescent="0.3">
      <c r="E39" s="6"/>
      <c r="F39" s="6"/>
      <c r="G39" s="6"/>
    </row>
    <row r="40" spans="1:10" x14ac:dyDescent="0.3">
      <c r="B40" t="s">
        <v>342</v>
      </c>
      <c r="E40" s="6">
        <f>+ISCo1!L37</f>
        <v>0.88812734361419454</v>
      </c>
      <c r="F40" s="6"/>
      <c r="G40" s="9">
        <f>(39370-29146)/29146</f>
        <v>0.3507856995814177</v>
      </c>
    </row>
    <row r="43" spans="1:10" x14ac:dyDescent="0.3">
      <c r="A43" s="35" t="s">
        <v>354</v>
      </c>
    </row>
    <row r="44" spans="1:10" x14ac:dyDescent="0.3">
      <c r="A44" s="214" t="s">
        <v>489</v>
      </c>
      <c r="B44" s="215"/>
      <c r="C44" s="215"/>
      <c r="D44" s="215"/>
      <c r="E44" s="215"/>
      <c r="F44" s="215"/>
      <c r="G44" s="215"/>
      <c r="H44" s="215"/>
      <c r="I44" s="215"/>
      <c r="J44" s="215"/>
    </row>
    <row r="45" spans="1:10" x14ac:dyDescent="0.3">
      <c r="A45" s="215"/>
      <c r="B45" s="215"/>
      <c r="C45" s="215"/>
      <c r="D45" s="215"/>
      <c r="E45" s="215"/>
      <c r="F45" s="215"/>
      <c r="G45" s="215"/>
      <c r="H45" s="215"/>
      <c r="I45" s="215"/>
      <c r="J45" s="215"/>
    </row>
    <row r="46" spans="1:10" x14ac:dyDescent="0.3">
      <c r="A46" s="215"/>
      <c r="B46" s="215"/>
      <c r="C46" s="215"/>
      <c r="D46" s="215"/>
      <c r="E46" s="215"/>
      <c r="F46" s="215"/>
      <c r="G46" s="215"/>
      <c r="H46" s="215"/>
      <c r="I46" s="215"/>
      <c r="J46" s="215"/>
    </row>
    <row r="47" spans="1:10" x14ac:dyDescent="0.3">
      <c r="A47" s="215"/>
      <c r="B47" s="215"/>
      <c r="C47" s="215"/>
      <c r="D47" s="215"/>
      <c r="E47" s="215"/>
      <c r="F47" s="215"/>
      <c r="G47" s="215"/>
      <c r="H47" s="215"/>
      <c r="I47" s="215"/>
      <c r="J47" s="215"/>
    </row>
    <row r="48" spans="1:10" x14ac:dyDescent="0.3">
      <c r="A48" s="215"/>
      <c r="B48" s="215"/>
      <c r="C48" s="215"/>
      <c r="D48" s="215"/>
      <c r="E48" s="215"/>
      <c r="F48" s="215"/>
      <c r="G48" s="215"/>
      <c r="H48" s="215"/>
      <c r="I48" s="215"/>
      <c r="J48" s="215"/>
    </row>
    <row r="49" spans="1:10" x14ac:dyDescent="0.3">
      <c r="A49" s="215"/>
      <c r="B49" s="215"/>
      <c r="C49" s="215"/>
      <c r="D49" s="215"/>
      <c r="E49" s="215"/>
      <c r="F49" s="215"/>
      <c r="G49" s="215"/>
      <c r="H49" s="215"/>
      <c r="I49" s="215"/>
      <c r="J49" s="215"/>
    </row>
    <row r="50" spans="1:10" x14ac:dyDescent="0.3">
      <c r="A50" s="215"/>
      <c r="B50" s="215"/>
      <c r="C50" s="215"/>
      <c r="D50" s="215"/>
      <c r="E50" s="215"/>
      <c r="F50" s="215"/>
      <c r="G50" s="215"/>
      <c r="H50" s="215"/>
      <c r="I50" s="215"/>
      <c r="J50" s="215"/>
    </row>
    <row r="51" spans="1:10" x14ac:dyDescent="0.3">
      <c r="A51" s="215"/>
      <c r="B51" s="215"/>
      <c r="C51" s="215"/>
      <c r="D51" s="215"/>
      <c r="E51" s="215"/>
      <c r="F51" s="215"/>
      <c r="G51" s="215"/>
      <c r="H51" s="215"/>
      <c r="I51" s="215"/>
      <c r="J51" s="215"/>
    </row>
    <row r="52" spans="1:10" x14ac:dyDescent="0.3">
      <c r="A52" s="215"/>
      <c r="B52" s="215"/>
      <c r="C52" s="215"/>
      <c r="D52" s="215"/>
      <c r="E52" s="215"/>
      <c r="F52" s="215"/>
      <c r="G52" s="215"/>
      <c r="H52" s="215"/>
      <c r="I52" s="215"/>
      <c r="J52" s="215"/>
    </row>
    <row r="53" spans="1:10" ht="142.80000000000001" customHeight="1" x14ac:dyDescent="0.3">
      <c r="A53" s="215"/>
      <c r="B53" s="215"/>
      <c r="C53" s="215"/>
      <c r="D53" s="215"/>
      <c r="E53" s="215"/>
      <c r="F53" s="215"/>
      <c r="G53" s="215"/>
      <c r="H53" s="215"/>
      <c r="I53" s="215"/>
      <c r="J53" s="215"/>
    </row>
    <row r="54" spans="1:10" x14ac:dyDescent="0.3">
      <c r="A54" s="203"/>
    </row>
  </sheetData>
  <mergeCells count="1">
    <mergeCell ref="A44:J5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8C39F-32F0-4AAC-98D6-D1A5160CDDC0}">
  <sheetPr>
    <pageSetUpPr fitToPage="1"/>
  </sheetPr>
  <dimension ref="A1:E22"/>
  <sheetViews>
    <sheetView zoomScale="72" zoomScaleNormal="90" workbookViewId="0">
      <pane xSplit="1" ySplit="5" topLeftCell="B7" activePane="bottomRight" state="frozen"/>
      <selection pane="topRight" activeCell="B1" sqref="B1"/>
      <selection pane="bottomLeft" activeCell="A6" sqref="A6"/>
      <selection pane="bottomRight" activeCell="B22" sqref="B22"/>
    </sheetView>
  </sheetViews>
  <sheetFormatPr defaultRowHeight="14.4" x14ac:dyDescent="0.3"/>
  <cols>
    <col min="1" max="1" width="72.88671875" customWidth="1"/>
    <col min="2" max="3" width="41.109375" customWidth="1"/>
    <col min="4" max="4" width="43.109375" customWidth="1"/>
    <col min="5" max="5" width="41.109375" customWidth="1"/>
  </cols>
  <sheetData>
    <row r="1" spans="1:5" ht="57.6" customHeight="1" x14ac:dyDescent="0.3">
      <c r="A1" s="29" t="s">
        <v>129</v>
      </c>
    </row>
    <row r="2" spans="1:5" x14ac:dyDescent="0.3">
      <c r="B2" s="176"/>
      <c r="C2" s="176"/>
      <c r="D2" s="176"/>
      <c r="E2" s="176"/>
    </row>
    <row r="4" spans="1:5" ht="15" thickBot="1" x14ac:dyDescent="0.35">
      <c r="A4" s="35" t="s">
        <v>108</v>
      </c>
    </row>
    <row r="5" spans="1:5" ht="15" thickBot="1" x14ac:dyDescent="0.35">
      <c r="B5" s="37" t="s">
        <v>114</v>
      </c>
      <c r="C5" s="37" t="s">
        <v>113</v>
      </c>
      <c r="D5" s="37" t="s">
        <v>112</v>
      </c>
      <c r="E5" s="37" t="s">
        <v>109</v>
      </c>
    </row>
    <row r="6" spans="1:5" ht="15" thickBot="1" x14ac:dyDescent="0.35">
      <c r="A6" s="1" t="s">
        <v>110</v>
      </c>
      <c r="B6" s="28" t="s">
        <v>287</v>
      </c>
      <c r="C6" s="28" t="s">
        <v>288</v>
      </c>
      <c r="D6" s="28" t="s">
        <v>289</v>
      </c>
      <c r="E6" s="28" t="s">
        <v>290</v>
      </c>
    </row>
    <row r="7" spans="1:5" ht="101.4" thickBot="1" x14ac:dyDescent="0.35">
      <c r="A7" s="38"/>
      <c r="B7" s="30" t="s">
        <v>301</v>
      </c>
      <c r="C7" s="31" t="s">
        <v>300</v>
      </c>
      <c r="D7" s="32" t="s">
        <v>302</v>
      </c>
      <c r="E7" s="33" t="s">
        <v>328</v>
      </c>
    </row>
    <row r="8" spans="1:5" ht="15" thickBot="1" x14ac:dyDescent="0.35">
      <c r="A8" s="1"/>
      <c r="B8" s="36"/>
      <c r="C8" s="36"/>
      <c r="D8" s="36"/>
      <c r="E8" s="36"/>
    </row>
    <row r="9" spans="1:5" ht="15" thickBot="1" x14ac:dyDescent="0.35">
      <c r="A9" s="1" t="s">
        <v>168</v>
      </c>
      <c r="B9" s="28" t="s">
        <v>287</v>
      </c>
      <c r="C9" s="28" t="s">
        <v>288</v>
      </c>
      <c r="D9" s="28" t="s">
        <v>289</v>
      </c>
      <c r="E9" s="28" t="s">
        <v>290</v>
      </c>
    </row>
    <row r="10" spans="1:5" ht="29.4" thickBot="1" x14ac:dyDescent="0.35">
      <c r="A10" s="38" t="s">
        <v>128</v>
      </c>
      <c r="B10" s="31" t="s">
        <v>117</v>
      </c>
      <c r="C10" s="32" t="s">
        <v>111</v>
      </c>
      <c r="D10" s="32" t="s">
        <v>115</v>
      </c>
      <c r="E10" s="33" t="s">
        <v>116</v>
      </c>
    </row>
    <row r="11" spans="1:5" ht="15" thickBot="1" x14ac:dyDescent="0.35">
      <c r="A11" s="1"/>
      <c r="B11" s="36"/>
      <c r="C11" s="36"/>
      <c r="D11" s="36"/>
      <c r="E11" s="36"/>
    </row>
    <row r="12" spans="1:5" ht="15" thickBot="1" x14ac:dyDescent="0.35">
      <c r="A12" s="1" t="s">
        <v>292</v>
      </c>
      <c r="B12" s="28" t="s">
        <v>287</v>
      </c>
      <c r="C12" s="28" t="s">
        <v>288</v>
      </c>
      <c r="D12" s="28" t="s">
        <v>289</v>
      </c>
      <c r="E12" s="28" t="s">
        <v>290</v>
      </c>
    </row>
    <row r="13" spans="1:5" ht="64.2" customHeight="1" thickBot="1" x14ac:dyDescent="0.35">
      <c r="A13" s="1"/>
      <c r="B13" s="34" t="s">
        <v>465</v>
      </c>
      <c r="C13" s="34" t="s">
        <v>466</v>
      </c>
      <c r="D13" s="34" t="s">
        <v>467</v>
      </c>
      <c r="E13" s="34" t="s">
        <v>468</v>
      </c>
    </row>
    <row r="14" spans="1:5" ht="15" thickBot="1" x14ac:dyDescent="0.35">
      <c r="A14" s="1"/>
      <c r="B14" s="36"/>
      <c r="C14" s="36"/>
      <c r="D14" s="36"/>
      <c r="E14" s="36"/>
    </row>
    <row r="15" spans="1:5" ht="15" thickBot="1" x14ac:dyDescent="0.35">
      <c r="A15" s="38" t="s">
        <v>285</v>
      </c>
      <c r="B15" s="28" t="s">
        <v>287</v>
      </c>
      <c r="C15" s="28" t="s">
        <v>288</v>
      </c>
      <c r="D15" s="28" t="s">
        <v>289</v>
      </c>
      <c r="E15" s="28" t="s">
        <v>290</v>
      </c>
    </row>
    <row r="16" spans="1:5" ht="29.4" thickBot="1" x14ac:dyDescent="0.35">
      <c r="A16" s="38"/>
      <c r="B16" s="34" t="s">
        <v>294</v>
      </c>
      <c r="C16" s="34" t="s">
        <v>295</v>
      </c>
      <c r="D16" s="34" t="s">
        <v>296</v>
      </c>
      <c r="E16" s="34" t="s">
        <v>297</v>
      </c>
    </row>
    <row r="17" spans="1:5" ht="15" thickBot="1" x14ac:dyDescent="0.35">
      <c r="A17" s="38"/>
      <c r="B17" s="36"/>
      <c r="C17" s="36"/>
      <c r="D17" s="36"/>
      <c r="E17" s="36"/>
    </row>
    <row r="18" spans="1:5" ht="15" thickBot="1" x14ac:dyDescent="0.35">
      <c r="A18" s="160" t="s">
        <v>291</v>
      </c>
      <c r="B18" s="28" t="s">
        <v>287</v>
      </c>
      <c r="C18" s="28" t="s">
        <v>288</v>
      </c>
      <c r="D18" s="28" t="s">
        <v>289</v>
      </c>
      <c r="E18" s="28" t="s">
        <v>290</v>
      </c>
    </row>
    <row r="19" spans="1:5" ht="129" customHeight="1" thickBot="1" x14ac:dyDescent="0.35">
      <c r="A19" s="39"/>
      <c r="B19" s="34" t="s">
        <v>461</v>
      </c>
      <c r="C19" s="34" t="s">
        <v>463</v>
      </c>
      <c r="D19" s="34" t="s">
        <v>462</v>
      </c>
      <c r="E19" s="34" t="s">
        <v>464</v>
      </c>
    </row>
    <row r="20" spans="1:5" ht="13.95" customHeight="1" thickBot="1" x14ac:dyDescent="0.35">
      <c r="A20" s="1"/>
      <c r="B20" s="36"/>
      <c r="C20" s="36"/>
      <c r="D20" s="36"/>
      <c r="E20" s="36"/>
    </row>
    <row r="21" spans="1:5" ht="19.2" customHeight="1" thickBot="1" x14ac:dyDescent="0.35">
      <c r="A21" s="1" t="s">
        <v>276</v>
      </c>
      <c r="B21" s="82" t="s">
        <v>187</v>
      </c>
      <c r="C21" s="27" t="s">
        <v>293</v>
      </c>
      <c r="D21" s="27" t="s">
        <v>188</v>
      </c>
      <c r="E21" s="27" t="s">
        <v>189</v>
      </c>
    </row>
    <row r="22" spans="1:5" ht="168.6" customHeight="1" thickBot="1" x14ac:dyDescent="0.35">
      <c r="A22" s="1"/>
      <c r="B22" s="32" t="s">
        <v>298</v>
      </c>
      <c r="C22" s="32" t="s">
        <v>299</v>
      </c>
      <c r="D22" s="32" t="s">
        <v>459</v>
      </c>
      <c r="E22" s="34" t="s">
        <v>460</v>
      </c>
    </row>
  </sheetData>
  <pageMargins left="0.7" right="0.7" top="0.75" bottom="0.75" header="0.3" footer="0.3"/>
  <pageSetup scale="5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C8A3B-F585-4324-91E5-14FD889C4600}">
  <sheetPr>
    <pageSetUpPr fitToPage="1"/>
  </sheetPr>
  <dimension ref="A2:AC48"/>
  <sheetViews>
    <sheetView zoomScale="90" zoomScaleNormal="90" workbookViewId="0">
      <selection activeCell="M7" sqref="M7"/>
    </sheetView>
  </sheetViews>
  <sheetFormatPr defaultRowHeight="14.4" x14ac:dyDescent="0.3"/>
  <cols>
    <col min="12" max="12" width="17.6640625" style="88" customWidth="1"/>
    <col min="20" max="20" width="13.33203125" customWidth="1"/>
  </cols>
  <sheetData>
    <row r="2" spans="1:29" x14ac:dyDescent="0.3">
      <c r="A2" t="s">
        <v>158</v>
      </c>
    </row>
    <row r="3" spans="1:29" x14ac:dyDescent="0.3">
      <c r="A3" t="s">
        <v>473</v>
      </c>
    </row>
    <row r="4" spans="1:29" ht="12" customHeight="1" x14ac:dyDescent="0.3"/>
    <row r="5" spans="1:29" x14ac:dyDescent="0.3">
      <c r="A5" t="s">
        <v>469</v>
      </c>
      <c r="M5" s="4" t="s">
        <v>165</v>
      </c>
      <c r="N5" s="49"/>
      <c r="O5" s="49"/>
      <c r="P5" s="4"/>
      <c r="Q5" s="4"/>
      <c r="R5" s="4"/>
      <c r="S5" s="4"/>
      <c r="T5" s="4"/>
      <c r="U5" s="4"/>
      <c r="V5" s="4"/>
      <c r="W5" s="4"/>
      <c r="X5" s="4"/>
      <c r="Y5" s="4"/>
      <c r="Z5" s="4"/>
      <c r="AA5" s="4"/>
      <c r="AB5" s="4"/>
      <c r="AC5" s="4"/>
    </row>
    <row r="6" spans="1:29" x14ac:dyDescent="0.3">
      <c r="M6" s="4"/>
      <c r="N6" s="4"/>
      <c r="O6" s="4"/>
      <c r="P6" s="4"/>
      <c r="Q6" s="4"/>
      <c r="R6" s="4"/>
      <c r="S6" s="4"/>
      <c r="T6" s="4"/>
      <c r="U6" s="4"/>
      <c r="V6" s="4"/>
      <c r="W6" s="4"/>
      <c r="X6" s="4"/>
      <c r="Y6" s="4"/>
      <c r="Z6" s="4"/>
      <c r="AA6" s="4"/>
      <c r="AB6" s="4"/>
      <c r="AC6" s="4"/>
    </row>
    <row r="7" spans="1:29" x14ac:dyDescent="0.3">
      <c r="A7" t="s">
        <v>149</v>
      </c>
      <c r="M7" s="52" t="s">
        <v>161</v>
      </c>
      <c r="N7" s="4"/>
      <c r="O7" s="4"/>
      <c r="P7" s="4"/>
      <c r="Q7" s="4"/>
      <c r="R7" s="4"/>
      <c r="S7" s="4"/>
      <c r="T7" s="4"/>
      <c r="U7" s="4"/>
      <c r="V7" s="4"/>
      <c r="W7" s="4"/>
      <c r="X7" s="4"/>
      <c r="Y7" s="4"/>
      <c r="Z7" s="4"/>
      <c r="AA7" s="4"/>
      <c r="AB7" s="4"/>
      <c r="AC7" s="4"/>
    </row>
    <row r="8" spans="1:29" x14ac:dyDescent="0.3">
      <c r="M8" s="53" t="s">
        <v>162</v>
      </c>
      <c r="N8" s="4"/>
      <c r="O8" s="4"/>
      <c r="P8" s="4"/>
      <c r="Q8" s="4"/>
      <c r="R8" s="4"/>
      <c r="S8" s="4"/>
      <c r="T8" s="4"/>
      <c r="U8" s="4"/>
      <c r="V8" s="4"/>
      <c r="W8" s="4"/>
      <c r="X8" s="4"/>
      <c r="Y8" s="4"/>
      <c r="Z8" s="4"/>
      <c r="AA8" s="4"/>
      <c r="AB8" s="4"/>
      <c r="AC8" s="4"/>
    </row>
    <row r="9" spans="1:29" ht="18" x14ac:dyDescent="0.35">
      <c r="A9" s="13" t="s">
        <v>0</v>
      </c>
      <c r="B9" s="13"/>
      <c r="C9" s="13"/>
      <c r="D9" s="13"/>
      <c r="E9" s="13"/>
      <c r="F9" s="13"/>
      <c r="G9" s="13"/>
      <c r="H9" s="13"/>
      <c r="I9" s="13"/>
      <c r="M9" s="53" t="s">
        <v>163</v>
      </c>
      <c r="N9" s="4"/>
      <c r="O9" s="4"/>
      <c r="P9" s="4"/>
      <c r="Q9" s="4"/>
      <c r="R9" s="4"/>
      <c r="S9" s="4"/>
      <c r="T9" s="4"/>
      <c r="U9" s="4"/>
      <c r="V9" s="4"/>
      <c r="W9" s="4"/>
      <c r="X9" s="4"/>
      <c r="Y9" s="4"/>
      <c r="Z9" s="4"/>
      <c r="AA9" s="4"/>
      <c r="AB9" s="4"/>
      <c r="AC9" s="4"/>
    </row>
    <row r="10" spans="1:29" x14ac:dyDescent="0.3">
      <c r="M10" s="53" t="s">
        <v>164</v>
      </c>
      <c r="N10" s="4"/>
      <c r="O10" s="4"/>
      <c r="P10" s="4"/>
      <c r="Q10" s="4"/>
      <c r="R10" s="4"/>
      <c r="S10" s="4"/>
      <c r="T10" s="4"/>
      <c r="U10" s="4"/>
      <c r="V10" s="4"/>
      <c r="W10" s="4"/>
      <c r="X10" s="4"/>
      <c r="Y10" s="4"/>
      <c r="Z10" s="4"/>
      <c r="AA10" s="4"/>
      <c r="AB10" s="4"/>
      <c r="AC10" s="4"/>
    </row>
    <row r="11" spans="1:29" x14ac:dyDescent="0.3">
      <c r="A11" s="1" t="s">
        <v>303</v>
      </c>
      <c r="B11" s="1"/>
      <c r="C11" s="1"/>
      <c r="D11" s="1"/>
      <c r="E11" s="1"/>
      <c r="F11" s="1"/>
      <c r="G11" s="1"/>
      <c r="H11" s="1"/>
      <c r="I11" s="1"/>
      <c r="J11" s="1"/>
      <c r="K11" s="1"/>
      <c r="M11" s="4"/>
      <c r="N11" s="4"/>
      <c r="O11" s="4"/>
      <c r="P11" s="4"/>
      <c r="Q11" s="4"/>
      <c r="R11" s="4"/>
      <c r="S11" s="4"/>
      <c r="T11" s="4"/>
      <c r="U11" s="4"/>
      <c r="V11" s="4"/>
      <c r="W11" s="4"/>
      <c r="X11" s="4"/>
      <c r="Y11" s="4"/>
      <c r="Z11" s="4"/>
      <c r="AA11" s="4"/>
      <c r="AB11" s="4"/>
      <c r="AC11" s="4"/>
    </row>
    <row r="12" spans="1:29" x14ac:dyDescent="0.3">
      <c r="A12" s="1"/>
      <c r="B12" s="1"/>
      <c r="C12" s="1"/>
      <c r="D12" s="1"/>
      <c r="E12" s="1"/>
      <c r="F12" s="1"/>
      <c r="G12" s="1"/>
      <c r="H12" s="1"/>
      <c r="I12" s="1"/>
      <c r="J12" s="1"/>
      <c r="K12" s="1"/>
    </row>
    <row r="13" spans="1:29" ht="21.6" thickBot="1" x14ac:dyDescent="0.45">
      <c r="K13" s="210" t="s">
        <v>157</v>
      </c>
      <c r="L13" s="210"/>
      <c r="M13" s="84"/>
      <c r="N13" s="84"/>
      <c r="O13" s="84"/>
      <c r="P13" s="84"/>
      <c r="Q13" s="84"/>
      <c r="R13" s="84"/>
      <c r="S13" s="84"/>
      <c r="T13" s="84"/>
    </row>
    <row r="14" spans="1:29" ht="21.6" thickBot="1" x14ac:dyDescent="0.45">
      <c r="A14" s="207" t="s">
        <v>2</v>
      </c>
      <c r="B14" s="208"/>
      <c r="C14" s="209"/>
      <c r="D14" s="207" t="s">
        <v>1</v>
      </c>
      <c r="E14" s="208"/>
      <c r="F14" s="209"/>
      <c r="G14" s="207" t="s">
        <v>3</v>
      </c>
      <c r="H14" s="208"/>
      <c r="I14" s="209"/>
      <c r="J14" s="1"/>
      <c r="K14" s="87" t="s">
        <v>175</v>
      </c>
      <c r="L14" s="89" t="s">
        <v>176</v>
      </c>
      <c r="M14" s="85" t="s">
        <v>470</v>
      </c>
      <c r="N14" s="84"/>
      <c r="O14" s="84"/>
      <c r="P14" s="84"/>
      <c r="Q14" s="84"/>
      <c r="R14" s="84"/>
      <c r="S14" s="84"/>
      <c r="T14" s="84"/>
    </row>
    <row r="15" spans="1:29" x14ac:dyDescent="0.3">
      <c r="A15" s="63" t="s">
        <v>4</v>
      </c>
      <c r="B15" s="64"/>
      <c r="C15" s="65"/>
      <c r="D15" s="63" t="s">
        <v>5</v>
      </c>
      <c r="E15" s="64"/>
      <c r="F15" s="65"/>
      <c r="G15" s="63" t="s">
        <v>6</v>
      </c>
      <c r="H15" s="64"/>
      <c r="I15" s="65"/>
      <c r="J15" s="26"/>
      <c r="K15" s="26" t="str">
        <f>+D16</f>
        <v>SBUX</v>
      </c>
      <c r="L15" s="90">
        <v>44883</v>
      </c>
    </row>
    <row r="16" spans="1:29" x14ac:dyDescent="0.3">
      <c r="A16" s="66"/>
      <c r="B16" s="43"/>
      <c r="C16" s="67" t="s">
        <v>142</v>
      </c>
      <c r="D16" s="66" t="s">
        <v>145</v>
      </c>
      <c r="E16" s="43"/>
      <c r="F16" s="67"/>
      <c r="G16" s="66" t="str">
        <f>+D19</f>
        <v>MCD</v>
      </c>
      <c r="H16" s="43"/>
      <c r="I16" s="67"/>
      <c r="J16" s="26"/>
      <c r="K16" s="26"/>
      <c r="L16" s="91"/>
    </row>
    <row r="17" spans="1:14" ht="15" thickBot="1" x14ac:dyDescent="0.35">
      <c r="A17" s="68"/>
      <c r="B17" s="69"/>
      <c r="C17" s="70"/>
      <c r="D17" s="68"/>
      <c r="E17" s="69"/>
      <c r="F17" s="70"/>
      <c r="G17" s="68"/>
      <c r="H17" s="69"/>
      <c r="I17" s="70"/>
      <c r="J17" s="26"/>
      <c r="K17" s="26"/>
      <c r="L17" s="91"/>
    </row>
    <row r="18" spans="1:14" x14ac:dyDescent="0.3">
      <c r="A18" s="66" t="s">
        <v>4</v>
      </c>
      <c r="B18" s="43"/>
      <c r="C18" s="67"/>
      <c r="D18" s="66" t="s">
        <v>6</v>
      </c>
      <c r="E18" s="43"/>
      <c r="F18" s="67"/>
      <c r="G18" s="66" t="s">
        <v>5</v>
      </c>
      <c r="H18" s="43"/>
      <c r="I18" s="67"/>
      <c r="J18" s="26"/>
      <c r="K18" s="26" t="str">
        <f>+D19</f>
        <v>MCD</v>
      </c>
      <c r="L18" s="90">
        <v>44616</v>
      </c>
    </row>
    <row r="19" spans="1:14" x14ac:dyDescent="0.3">
      <c r="A19" s="66"/>
      <c r="B19" s="43"/>
      <c r="C19" s="67" t="s">
        <v>142</v>
      </c>
      <c r="D19" s="66" t="s">
        <v>146</v>
      </c>
      <c r="E19" s="43"/>
      <c r="F19" s="67"/>
      <c r="G19" s="66" t="str">
        <f>+D16</f>
        <v>SBUX</v>
      </c>
      <c r="H19" s="43"/>
      <c r="I19" s="67"/>
      <c r="J19" s="26"/>
      <c r="K19" s="26"/>
      <c r="L19" s="91"/>
    </row>
    <row r="20" spans="1:14" ht="15" thickBot="1" x14ac:dyDescent="0.35">
      <c r="A20" s="68"/>
      <c r="B20" s="69"/>
      <c r="C20" s="70"/>
      <c r="D20" s="68"/>
      <c r="E20" s="69"/>
      <c r="F20" s="70"/>
      <c r="G20" s="68"/>
      <c r="H20" s="69"/>
      <c r="I20" s="70"/>
      <c r="J20" s="26"/>
      <c r="K20" s="26"/>
      <c r="L20" s="91"/>
    </row>
    <row r="21" spans="1:14" ht="15" thickBot="1" x14ac:dyDescent="0.35">
      <c r="J21" s="1"/>
      <c r="K21" s="1"/>
    </row>
    <row r="22" spans="1:14" x14ac:dyDescent="0.3">
      <c r="A22" s="54" t="s">
        <v>7</v>
      </c>
      <c r="B22" s="55"/>
      <c r="C22" s="56"/>
      <c r="D22" s="54" t="s">
        <v>8</v>
      </c>
      <c r="E22" s="55"/>
      <c r="F22" s="56"/>
      <c r="G22" s="54" t="s">
        <v>9</v>
      </c>
      <c r="H22" s="55"/>
      <c r="I22" s="56"/>
      <c r="J22" s="83"/>
      <c r="K22" s="83" t="s">
        <v>179</v>
      </c>
      <c r="L22" s="94">
        <v>44614</v>
      </c>
      <c r="M22" t="s">
        <v>186</v>
      </c>
    </row>
    <row r="23" spans="1:14" x14ac:dyDescent="0.3">
      <c r="A23" s="57"/>
      <c r="B23" s="58"/>
      <c r="C23" s="59" t="s">
        <v>142</v>
      </c>
      <c r="D23" s="57" t="s">
        <v>143</v>
      </c>
      <c r="E23" s="58"/>
      <c r="F23" s="59"/>
      <c r="G23" s="57" t="str">
        <f>+D26</f>
        <v>PEP</v>
      </c>
      <c r="H23" s="58"/>
      <c r="I23" s="59"/>
      <c r="J23" s="83"/>
      <c r="K23" s="83"/>
      <c r="L23" s="92"/>
    </row>
    <row r="24" spans="1:14" ht="15" thickBot="1" x14ac:dyDescent="0.35">
      <c r="A24" s="60"/>
      <c r="B24" s="61"/>
      <c r="C24" s="62"/>
      <c r="D24" s="60"/>
      <c r="E24" s="61"/>
      <c r="F24" s="62"/>
      <c r="G24" s="60"/>
      <c r="H24" s="61"/>
      <c r="I24" s="62"/>
      <c r="J24" s="83"/>
      <c r="K24" s="83"/>
      <c r="L24" s="92"/>
    </row>
    <row r="25" spans="1:14" x14ac:dyDescent="0.3">
      <c r="A25" s="57" t="s">
        <v>7</v>
      </c>
      <c r="B25" s="58"/>
      <c r="C25" s="59"/>
      <c r="D25" s="57" t="s">
        <v>9</v>
      </c>
      <c r="E25" s="58"/>
      <c r="F25" s="59"/>
      <c r="G25" s="57" t="s">
        <v>8</v>
      </c>
      <c r="H25" s="58"/>
      <c r="I25" s="59"/>
      <c r="J25" s="83"/>
      <c r="K25" s="83" t="str">
        <f t="shared" ref="K25" si="0">+D26</f>
        <v>PEP</v>
      </c>
      <c r="L25" s="94">
        <v>44602</v>
      </c>
    </row>
    <row r="26" spans="1:14" x14ac:dyDescent="0.3">
      <c r="A26" s="57"/>
      <c r="B26" s="58"/>
      <c r="C26" s="59" t="s">
        <v>142</v>
      </c>
      <c r="D26" s="57" t="s">
        <v>144</v>
      </c>
      <c r="E26" s="58"/>
      <c r="F26" s="59"/>
      <c r="G26" s="57" t="str">
        <f>+D23</f>
        <v>COKE</v>
      </c>
      <c r="H26" s="58"/>
      <c r="I26" s="59"/>
      <c r="J26" s="83"/>
      <c r="K26" s="83"/>
      <c r="L26" s="92"/>
    </row>
    <row r="27" spans="1:14" ht="15" thickBot="1" x14ac:dyDescent="0.35">
      <c r="A27" s="60"/>
      <c r="B27" s="61"/>
      <c r="C27" s="62"/>
      <c r="D27" s="60"/>
      <c r="E27" s="61"/>
      <c r="F27" s="62"/>
      <c r="G27" s="60"/>
      <c r="H27" s="61"/>
      <c r="I27" s="62"/>
      <c r="J27" s="83"/>
      <c r="K27" s="83"/>
      <c r="L27" s="92"/>
    </row>
    <row r="28" spans="1:14" ht="15" thickBot="1" x14ac:dyDescent="0.35">
      <c r="J28" s="1"/>
      <c r="K28" s="1"/>
    </row>
    <row r="29" spans="1:14" x14ac:dyDescent="0.3">
      <c r="A29" s="71" t="s">
        <v>10</v>
      </c>
      <c r="B29" s="72"/>
      <c r="C29" s="73"/>
      <c r="D29" s="71" t="s">
        <v>11</v>
      </c>
      <c r="E29" s="72"/>
      <c r="F29" s="73"/>
      <c r="G29" s="71" t="s">
        <v>472</v>
      </c>
      <c r="H29" s="72"/>
      <c r="I29" s="73"/>
      <c r="J29" s="86"/>
      <c r="K29" s="86" t="str">
        <f t="shared" ref="K29" si="1">+D30</f>
        <v xml:space="preserve">GOOGL </v>
      </c>
      <c r="L29" s="95">
        <v>44594</v>
      </c>
    </row>
    <row r="30" spans="1:14" x14ac:dyDescent="0.3">
      <c r="A30" s="74"/>
      <c r="B30" s="75"/>
      <c r="C30" s="76" t="s">
        <v>142</v>
      </c>
      <c r="D30" s="74" t="s">
        <v>166</v>
      </c>
      <c r="E30" s="75"/>
      <c r="F30" s="76"/>
      <c r="G30" s="74" t="str">
        <f>+D33</f>
        <v>META</v>
      </c>
      <c r="H30" s="75"/>
      <c r="I30" s="76"/>
      <c r="J30" s="86"/>
      <c r="K30" s="86"/>
      <c r="L30" s="93"/>
    </row>
    <row r="31" spans="1:14" ht="15" thickBot="1" x14ac:dyDescent="0.35">
      <c r="A31" s="77"/>
      <c r="B31" s="78"/>
      <c r="C31" s="79"/>
      <c r="D31" s="77"/>
      <c r="E31" s="78"/>
      <c r="F31" s="79"/>
      <c r="G31" s="77"/>
      <c r="H31" s="78"/>
      <c r="I31" s="79"/>
      <c r="J31" s="86"/>
      <c r="K31" s="86"/>
      <c r="L31" s="93"/>
    </row>
    <row r="32" spans="1:14" x14ac:dyDescent="0.3">
      <c r="A32" s="74" t="s">
        <v>10</v>
      </c>
      <c r="B32" s="75"/>
      <c r="C32" s="76"/>
      <c r="D32" s="74" t="s">
        <v>472</v>
      </c>
      <c r="E32" s="75"/>
      <c r="F32" s="76"/>
      <c r="G32" s="74" t="s">
        <v>11</v>
      </c>
      <c r="H32" s="75"/>
      <c r="I32" s="76"/>
      <c r="J32" s="86"/>
      <c r="K32" s="86" t="s">
        <v>471</v>
      </c>
      <c r="L32" s="95">
        <v>44595</v>
      </c>
      <c r="N32">
        <v>0</v>
      </c>
    </row>
    <row r="33" spans="1:12" x14ac:dyDescent="0.3">
      <c r="A33" s="74"/>
      <c r="B33" s="75"/>
      <c r="C33" s="76" t="s">
        <v>142</v>
      </c>
      <c r="D33" s="74" t="s">
        <v>471</v>
      </c>
      <c r="E33" s="75"/>
      <c r="F33" s="76"/>
      <c r="G33" s="74" t="str">
        <f>+D30</f>
        <v xml:space="preserve">GOOGL </v>
      </c>
      <c r="H33" s="75"/>
      <c r="I33" s="76"/>
      <c r="J33" s="86"/>
      <c r="K33" s="86"/>
      <c r="L33" s="93"/>
    </row>
    <row r="34" spans="1:12" ht="15" thickBot="1" x14ac:dyDescent="0.35">
      <c r="A34" s="77"/>
      <c r="B34" s="78"/>
      <c r="C34" s="79"/>
      <c r="D34" s="77"/>
      <c r="E34" s="78"/>
      <c r="F34" s="79"/>
      <c r="G34" s="77"/>
      <c r="H34" s="78"/>
      <c r="I34" s="79"/>
      <c r="J34" s="86"/>
      <c r="K34" s="86"/>
      <c r="L34" s="93"/>
    </row>
    <row r="35" spans="1:12" ht="15" thickBot="1" x14ac:dyDescent="0.35">
      <c r="J35" s="1"/>
      <c r="K35" s="1"/>
    </row>
    <row r="36" spans="1:12" x14ac:dyDescent="0.3">
      <c r="A36" s="179" t="s">
        <v>12</v>
      </c>
      <c r="B36" s="180"/>
      <c r="C36" s="181"/>
      <c r="D36" s="179" t="s">
        <v>13</v>
      </c>
      <c r="E36" s="180"/>
      <c r="F36" s="181"/>
      <c r="G36" s="179" t="s">
        <v>14</v>
      </c>
      <c r="H36" s="180"/>
      <c r="I36" s="181"/>
      <c r="J36" s="182"/>
      <c r="K36" s="182" t="str">
        <f t="shared" ref="K36" si="2">+D37</f>
        <v>HD</v>
      </c>
      <c r="L36" s="183">
        <v>44643</v>
      </c>
    </row>
    <row r="37" spans="1:12" x14ac:dyDescent="0.3">
      <c r="A37" s="184"/>
      <c r="B37" s="106"/>
      <c r="C37" s="185" t="s">
        <v>142</v>
      </c>
      <c r="D37" s="184" t="s">
        <v>147</v>
      </c>
      <c r="E37" s="106"/>
      <c r="F37" s="185"/>
      <c r="G37" s="184" t="str">
        <f>+D40</f>
        <v>LOW</v>
      </c>
      <c r="H37" s="106"/>
      <c r="I37" s="185"/>
      <c r="J37" s="182"/>
      <c r="K37" s="182"/>
      <c r="L37" s="186"/>
    </row>
    <row r="38" spans="1:12" ht="15" thickBot="1" x14ac:dyDescent="0.35">
      <c r="A38" s="187"/>
      <c r="B38" s="188"/>
      <c r="C38" s="189"/>
      <c r="D38" s="187"/>
      <c r="E38" s="188"/>
      <c r="F38" s="189"/>
      <c r="G38" s="187"/>
      <c r="H38" s="188"/>
      <c r="I38" s="189"/>
      <c r="J38" s="182"/>
      <c r="K38" s="182"/>
      <c r="L38" s="186"/>
    </row>
    <row r="39" spans="1:12" x14ac:dyDescent="0.3">
      <c r="A39" s="184" t="s">
        <v>12</v>
      </c>
      <c r="B39" s="106"/>
      <c r="C39" s="185"/>
      <c r="D39" s="184" t="s">
        <v>14</v>
      </c>
      <c r="E39" s="106"/>
      <c r="F39" s="185"/>
      <c r="G39" s="184" t="s">
        <v>13</v>
      </c>
      <c r="H39" s="106"/>
      <c r="I39" s="185"/>
      <c r="J39" s="182"/>
      <c r="K39" s="182" t="str">
        <f t="shared" ref="K39" si="3">+D40</f>
        <v>LOW</v>
      </c>
      <c r="L39" s="183">
        <v>44641</v>
      </c>
    </row>
    <row r="40" spans="1:12" x14ac:dyDescent="0.3">
      <c r="A40" s="184"/>
      <c r="B40" s="106"/>
      <c r="C40" s="185" t="s">
        <v>142</v>
      </c>
      <c r="D40" s="184" t="s">
        <v>148</v>
      </c>
      <c r="E40" s="106"/>
      <c r="F40" s="185"/>
      <c r="G40" s="184" t="str">
        <f>+D37</f>
        <v>HD</v>
      </c>
      <c r="H40" s="106"/>
      <c r="I40" s="185"/>
      <c r="J40" s="182"/>
      <c r="K40" s="182"/>
      <c r="L40" s="186"/>
    </row>
    <row r="41" spans="1:12" ht="15" thickBot="1" x14ac:dyDescent="0.35">
      <c r="A41" s="187"/>
      <c r="B41" s="188"/>
      <c r="C41" s="189"/>
      <c r="D41" s="187"/>
      <c r="E41" s="188"/>
      <c r="F41" s="189"/>
      <c r="G41" s="187"/>
      <c r="H41" s="188"/>
      <c r="I41" s="189"/>
      <c r="J41" s="182"/>
      <c r="K41" s="182"/>
      <c r="L41" s="186"/>
    </row>
    <row r="42" spans="1:12" ht="15" thickBot="1" x14ac:dyDescent="0.35"/>
    <row r="43" spans="1:12" x14ac:dyDescent="0.3">
      <c r="A43" s="142" t="s">
        <v>257</v>
      </c>
      <c r="B43" s="143"/>
      <c r="C43" s="144"/>
      <c r="D43" s="142" t="s">
        <v>256</v>
      </c>
      <c r="E43" s="143"/>
      <c r="F43" s="144"/>
      <c r="G43" s="142" t="s">
        <v>258</v>
      </c>
      <c r="H43" s="143"/>
      <c r="I43" s="144"/>
      <c r="J43" s="145"/>
      <c r="K43" s="145" t="str">
        <f t="shared" ref="K43" si="4">+D44</f>
        <v>NFLX</v>
      </c>
      <c r="L43" s="146">
        <v>44588</v>
      </c>
    </row>
    <row r="44" spans="1:12" x14ac:dyDescent="0.3">
      <c r="A44" s="147"/>
      <c r="B44" s="148"/>
      <c r="C44" s="149" t="s">
        <v>142</v>
      </c>
      <c r="D44" s="147" t="s">
        <v>259</v>
      </c>
      <c r="E44" s="148"/>
      <c r="F44" s="149"/>
      <c r="G44" s="147" t="str">
        <f>+D47</f>
        <v>DIS</v>
      </c>
      <c r="H44" s="148"/>
      <c r="I44" s="149"/>
      <c r="J44" s="145"/>
      <c r="K44" s="145"/>
      <c r="L44" s="150"/>
    </row>
    <row r="45" spans="1:12" ht="15" thickBot="1" x14ac:dyDescent="0.35">
      <c r="A45" s="151"/>
      <c r="B45" s="152"/>
      <c r="C45" s="153"/>
      <c r="D45" s="151"/>
      <c r="E45" s="152"/>
      <c r="F45" s="153"/>
      <c r="G45" s="151"/>
      <c r="H45" s="152"/>
      <c r="I45" s="153"/>
      <c r="J45" s="145"/>
      <c r="K45" s="145"/>
      <c r="L45" s="150"/>
    </row>
    <row r="46" spans="1:12" x14ac:dyDescent="0.3">
      <c r="A46" s="147" t="s">
        <v>257</v>
      </c>
      <c r="B46" s="148"/>
      <c r="C46" s="149"/>
      <c r="D46" s="147" t="s">
        <v>258</v>
      </c>
      <c r="E46" s="148"/>
      <c r="F46" s="149"/>
      <c r="G46" s="147" t="s">
        <v>256</v>
      </c>
      <c r="H46" s="148"/>
      <c r="I46" s="149"/>
      <c r="J46" s="145"/>
      <c r="K46" s="145" t="str">
        <f t="shared" ref="K46" si="5">+D47</f>
        <v>DIS</v>
      </c>
      <c r="L46" s="146">
        <v>44894</v>
      </c>
    </row>
    <row r="47" spans="1:12" x14ac:dyDescent="0.3">
      <c r="A47" s="147"/>
      <c r="B47" s="148"/>
      <c r="C47" s="149" t="s">
        <v>142</v>
      </c>
      <c r="D47" s="147" t="s">
        <v>260</v>
      </c>
      <c r="E47" s="148"/>
      <c r="F47" s="149"/>
      <c r="G47" s="147" t="str">
        <f>+D44</f>
        <v>NFLX</v>
      </c>
      <c r="H47" s="148"/>
      <c r="I47" s="149"/>
      <c r="J47" s="145"/>
      <c r="K47" s="145"/>
      <c r="L47" s="150"/>
    </row>
    <row r="48" spans="1:12" ht="15" thickBot="1" x14ac:dyDescent="0.35">
      <c r="A48" s="151"/>
      <c r="B48" s="152"/>
      <c r="C48" s="153"/>
      <c r="D48" s="151"/>
      <c r="E48" s="152"/>
      <c r="F48" s="153"/>
      <c r="G48" s="151"/>
      <c r="H48" s="152"/>
      <c r="I48" s="153"/>
      <c r="J48" s="145"/>
      <c r="K48" s="145"/>
      <c r="L48" s="150"/>
    </row>
  </sheetData>
  <mergeCells count="4">
    <mergeCell ref="A14:C14"/>
    <mergeCell ref="D14:F14"/>
    <mergeCell ref="G14:I14"/>
    <mergeCell ref="K13:L13"/>
  </mergeCells>
  <hyperlinks>
    <hyperlink ref="M7" r:id="rId1" display="https://www.sec.gov/edgar/searchedgar/companysearch.html" xr:uid="{66D63467-A43D-44A0-A2C4-29D4EA45D3F9}"/>
  </hyperlinks>
  <pageMargins left="0.7" right="0.7" top="0.75" bottom="0.75" header="0.3" footer="0.3"/>
  <pageSetup scale="78"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DF0D-09CA-4B62-91D3-5884F6543EAA}">
  <sheetPr>
    <pageSetUpPr fitToPage="1"/>
  </sheetPr>
  <dimension ref="A2:S28"/>
  <sheetViews>
    <sheetView topLeftCell="A8" workbookViewId="0">
      <selection activeCell="F16" sqref="F16"/>
    </sheetView>
  </sheetViews>
  <sheetFormatPr defaultRowHeight="14.4" x14ac:dyDescent="0.3"/>
  <cols>
    <col min="15" max="15" width="20.109375" customWidth="1"/>
    <col min="18" max="18" width="4" customWidth="1"/>
  </cols>
  <sheetData>
    <row r="2" spans="1:19" x14ac:dyDescent="0.3">
      <c r="A2" s="3" t="s">
        <v>15</v>
      </c>
      <c r="B2" s="3"/>
      <c r="C2" s="3"/>
    </row>
    <row r="3" spans="1:19" x14ac:dyDescent="0.3">
      <c r="S3" s="3" t="s">
        <v>178</v>
      </c>
    </row>
    <row r="4" spans="1:19" x14ac:dyDescent="0.3">
      <c r="A4" t="s">
        <v>167</v>
      </c>
    </row>
    <row r="5" spans="1:19" x14ac:dyDescent="0.3">
      <c r="A5" s="2" t="s">
        <v>16</v>
      </c>
    </row>
    <row r="6" spans="1:19" x14ac:dyDescent="0.3">
      <c r="A6" s="2" t="s">
        <v>330</v>
      </c>
      <c r="S6" t="s">
        <v>331</v>
      </c>
    </row>
    <row r="7" spans="1:19" x14ac:dyDescent="0.3">
      <c r="A7" s="2" t="s">
        <v>304</v>
      </c>
      <c r="S7" t="s">
        <v>332</v>
      </c>
    </row>
    <row r="8" spans="1:19" x14ac:dyDescent="0.3">
      <c r="A8" s="2" t="s">
        <v>305</v>
      </c>
      <c r="S8" t="s">
        <v>333</v>
      </c>
    </row>
    <row r="9" spans="1:19" x14ac:dyDescent="0.3">
      <c r="A9" s="2" t="s">
        <v>306</v>
      </c>
      <c r="S9" t="s">
        <v>334</v>
      </c>
    </row>
    <row r="10" spans="1:19" x14ac:dyDescent="0.3">
      <c r="A10" s="2" t="s">
        <v>307</v>
      </c>
      <c r="S10" t="s">
        <v>335</v>
      </c>
    </row>
    <row r="11" spans="1:19" x14ac:dyDescent="0.3">
      <c r="A11" s="2" t="s">
        <v>309</v>
      </c>
      <c r="S11" t="s">
        <v>308</v>
      </c>
    </row>
    <row r="12" spans="1:19" x14ac:dyDescent="0.3">
      <c r="A12" s="2" t="s">
        <v>310</v>
      </c>
      <c r="S12" t="s">
        <v>245</v>
      </c>
    </row>
    <row r="13" spans="1:19" ht="13.95" customHeight="1" x14ac:dyDescent="0.3">
      <c r="A13" s="2" t="s">
        <v>311</v>
      </c>
      <c r="S13" t="s">
        <v>232</v>
      </c>
    </row>
    <row r="14" spans="1:19" ht="13.95" customHeight="1" x14ac:dyDescent="0.3">
      <c r="A14" s="2" t="s">
        <v>312</v>
      </c>
    </row>
    <row r="15" spans="1:19" ht="13.95" customHeight="1" x14ac:dyDescent="0.3">
      <c r="A15" s="2"/>
      <c r="C15" s="58" t="s">
        <v>412</v>
      </c>
      <c r="D15" s="58"/>
      <c r="E15" s="58"/>
      <c r="F15" s="178" t="s">
        <v>455</v>
      </c>
      <c r="G15" s="58"/>
      <c r="H15" s="58"/>
      <c r="I15" s="58"/>
      <c r="J15" s="58"/>
      <c r="K15" s="58"/>
      <c r="L15" s="58"/>
      <c r="M15" s="58"/>
      <c r="N15" s="58"/>
      <c r="O15" s="58"/>
      <c r="P15" s="58"/>
    </row>
    <row r="16" spans="1:19" ht="13.95" customHeight="1" x14ac:dyDescent="0.3">
      <c r="A16" s="2"/>
      <c r="C16" s="58"/>
      <c r="D16" s="58"/>
      <c r="E16" s="58"/>
      <c r="F16" s="178" t="s">
        <v>456</v>
      </c>
      <c r="G16" s="58"/>
      <c r="H16" s="58"/>
      <c r="I16" s="58"/>
      <c r="J16" s="58"/>
      <c r="K16" s="58"/>
      <c r="L16" s="58"/>
      <c r="M16" s="58"/>
      <c r="N16" s="58"/>
      <c r="O16" s="58"/>
      <c r="P16" s="58"/>
    </row>
    <row r="17" spans="1:16" ht="13.95" customHeight="1" x14ac:dyDescent="0.3">
      <c r="A17" s="2"/>
      <c r="C17" s="58"/>
      <c r="D17" s="58"/>
      <c r="E17" s="58"/>
      <c r="F17" s="178" t="s">
        <v>407</v>
      </c>
      <c r="G17" s="58"/>
      <c r="H17" s="58"/>
      <c r="I17" s="58"/>
      <c r="J17" s="58"/>
      <c r="K17" s="58"/>
      <c r="L17" s="58"/>
      <c r="M17" s="58"/>
      <c r="N17" s="58"/>
      <c r="O17" s="58"/>
      <c r="P17" s="58"/>
    </row>
    <row r="18" spans="1:16" ht="13.95" customHeight="1" x14ac:dyDescent="0.3">
      <c r="A18" s="2"/>
      <c r="C18" s="58"/>
      <c r="D18" s="58"/>
      <c r="E18" s="58"/>
      <c r="F18" s="178" t="s">
        <v>406</v>
      </c>
      <c r="G18" s="58"/>
      <c r="H18" s="58"/>
      <c r="I18" s="58"/>
      <c r="J18" s="58"/>
      <c r="K18" s="58"/>
      <c r="L18" s="58"/>
      <c r="M18" s="58"/>
      <c r="N18" s="58"/>
      <c r="O18" s="58"/>
      <c r="P18" s="58"/>
    </row>
    <row r="19" spans="1:16" ht="13.95" customHeight="1" x14ac:dyDescent="0.3">
      <c r="A19" s="2"/>
      <c r="C19" s="58"/>
      <c r="D19" s="58"/>
      <c r="E19" s="58"/>
      <c r="F19" s="178" t="s">
        <v>413</v>
      </c>
      <c r="G19" s="58"/>
      <c r="H19" s="58"/>
      <c r="I19" s="58"/>
      <c r="J19" s="58"/>
      <c r="K19" s="58"/>
      <c r="L19" s="58"/>
      <c r="M19" s="58"/>
      <c r="N19" s="58"/>
      <c r="O19" s="58"/>
      <c r="P19" s="58"/>
    </row>
    <row r="21" spans="1:16" x14ac:dyDescent="0.3">
      <c r="A21" s="173" t="s">
        <v>358</v>
      </c>
      <c r="B21" s="173"/>
      <c r="C21" s="173"/>
      <c r="D21" s="173"/>
      <c r="E21" s="4"/>
    </row>
    <row r="22" spans="1:16" ht="13.95" customHeight="1" x14ac:dyDescent="0.3"/>
    <row r="23" spans="1:16" x14ac:dyDescent="0.3">
      <c r="A23" s="4" t="s">
        <v>346</v>
      </c>
      <c r="B23" s="4"/>
      <c r="C23" s="4"/>
      <c r="D23" s="4"/>
      <c r="E23" s="4"/>
    </row>
    <row r="24" spans="1:16" ht="18" x14ac:dyDescent="0.3">
      <c r="A24" s="96" t="s">
        <v>177</v>
      </c>
      <c r="B24" s="49"/>
      <c r="C24" s="49"/>
      <c r="D24" s="4"/>
      <c r="E24" s="4"/>
    </row>
    <row r="28" spans="1:16" ht="13.2" customHeight="1" x14ac:dyDescent="0.3"/>
  </sheetData>
  <hyperlinks>
    <hyperlink ref="A24" r:id="rId1" display="https://www.sec.gov/edgar/searchedgar/companysearch.html" xr:uid="{AC5AD041-1A2E-4645-A6E2-667F2F1F5364}"/>
  </hyperlinks>
  <pageMargins left="0.7" right="0.7" top="0.75" bottom="0.75" header="0.3" footer="0.3"/>
  <pageSetup scale="75"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B4A4D-8C0D-44AB-9146-EC0106AE52E3}">
  <dimension ref="A2:I135"/>
  <sheetViews>
    <sheetView topLeftCell="A114" workbookViewId="0">
      <selection activeCell="N106" sqref="N106"/>
    </sheetView>
  </sheetViews>
  <sheetFormatPr defaultRowHeight="14.4" x14ac:dyDescent="0.3"/>
  <sheetData>
    <row r="2" spans="1:3" x14ac:dyDescent="0.3">
      <c r="A2" s="35" t="s">
        <v>359</v>
      </c>
    </row>
    <row r="4" spans="1:3" x14ac:dyDescent="0.3">
      <c r="A4" t="s">
        <v>360</v>
      </c>
    </row>
    <row r="7" spans="1:3" x14ac:dyDescent="0.3">
      <c r="A7" s="175" t="s">
        <v>408</v>
      </c>
      <c r="B7" s="166"/>
      <c r="C7" s="166"/>
    </row>
    <row r="8" spans="1:3" x14ac:dyDescent="0.3">
      <c r="A8" t="s">
        <v>409</v>
      </c>
    </row>
    <row r="10" spans="1:3" x14ac:dyDescent="0.3">
      <c r="A10" t="s">
        <v>410</v>
      </c>
    </row>
    <row r="11" spans="1:3" x14ac:dyDescent="0.3">
      <c r="A11" t="s">
        <v>411</v>
      </c>
    </row>
    <row r="13" spans="1:3" x14ac:dyDescent="0.3">
      <c r="A13" t="s">
        <v>429</v>
      </c>
    </row>
    <row r="15" spans="1:3" x14ac:dyDescent="0.3">
      <c r="A15" s="175" t="s">
        <v>361</v>
      </c>
      <c r="B15" s="166"/>
      <c r="C15" s="166"/>
    </row>
    <row r="17" spans="1:1" x14ac:dyDescent="0.3">
      <c r="A17" s="174" t="s">
        <v>362</v>
      </c>
    </row>
    <row r="19" spans="1:1" x14ac:dyDescent="0.3">
      <c r="A19" t="s">
        <v>363</v>
      </c>
    </row>
    <row r="20" spans="1:1" x14ac:dyDescent="0.3">
      <c r="A20" t="s">
        <v>364</v>
      </c>
    </row>
    <row r="21" spans="1:1" x14ac:dyDescent="0.3">
      <c r="A21" t="s">
        <v>365</v>
      </c>
    </row>
    <row r="22" spans="1:1" x14ac:dyDescent="0.3">
      <c r="A22" t="s">
        <v>366</v>
      </c>
    </row>
    <row r="23" spans="1:1" x14ac:dyDescent="0.3">
      <c r="A23" t="s">
        <v>367</v>
      </c>
    </row>
    <row r="25" spans="1:1" x14ac:dyDescent="0.3">
      <c r="A25" s="174" t="s">
        <v>403</v>
      </c>
    </row>
    <row r="27" spans="1:1" x14ac:dyDescent="0.3">
      <c r="A27" t="s">
        <v>404</v>
      </c>
    </row>
    <row r="28" spans="1:1" x14ac:dyDescent="0.3">
      <c r="A28" t="s">
        <v>368</v>
      </c>
    </row>
    <row r="30" spans="1:1" x14ac:dyDescent="0.3">
      <c r="A30" s="174" t="s">
        <v>369</v>
      </c>
    </row>
    <row r="31" spans="1:1" x14ac:dyDescent="0.3">
      <c r="A31" s="45" t="s">
        <v>370</v>
      </c>
    </row>
    <row r="33" spans="1:1" x14ac:dyDescent="0.3">
      <c r="A33" t="s">
        <v>371</v>
      </c>
    </row>
    <row r="35" spans="1:1" x14ac:dyDescent="0.3">
      <c r="A35" s="174" t="s">
        <v>445</v>
      </c>
    </row>
    <row r="37" spans="1:1" x14ac:dyDescent="0.3">
      <c r="A37" t="s">
        <v>397</v>
      </c>
    </row>
    <row r="38" spans="1:1" x14ac:dyDescent="0.3">
      <c r="A38" t="s">
        <v>398</v>
      </c>
    </row>
    <row r="39" spans="1:1" x14ac:dyDescent="0.3">
      <c r="A39" t="s">
        <v>399</v>
      </c>
    </row>
    <row r="41" spans="1:1" x14ac:dyDescent="0.3">
      <c r="A41" t="s">
        <v>435</v>
      </c>
    </row>
    <row r="42" spans="1:1" x14ac:dyDescent="0.3">
      <c r="A42" t="s">
        <v>436</v>
      </c>
    </row>
    <row r="43" spans="1:1" x14ac:dyDescent="0.3">
      <c r="A43" t="s">
        <v>437</v>
      </c>
    </row>
    <row r="45" spans="1:1" x14ac:dyDescent="0.3">
      <c r="A45" s="174" t="s">
        <v>454</v>
      </c>
    </row>
    <row r="47" spans="1:1" x14ac:dyDescent="0.3">
      <c r="A47" t="s">
        <v>452</v>
      </c>
    </row>
    <row r="48" spans="1:1" x14ac:dyDescent="0.3">
      <c r="A48" t="s">
        <v>453</v>
      </c>
    </row>
    <row r="50" spans="1:4" x14ac:dyDescent="0.3">
      <c r="A50" s="175" t="s">
        <v>374</v>
      </c>
      <c r="B50" s="166"/>
      <c r="C50" s="166"/>
      <c r="D50" s="166"/>
    </row>
    <row r="52" spans="1:4" x14ac:dyDescent="0.3">
      <c r="A52" s="174" t="s">
        <v>400</v>
      </c>
    </row>
    <row r="53" spans="1:4" x14ac:dyDescent="0.3">
      <c r="A53" s="45" t="s">
        <v>401</v>
      </c>
    </row>
    <row r="55" spans="1:4" x14ac:dyDescent="0.3">
      <c r="A55" s="174" t="s">
        <v>402</v>
      </c>
    </row>
    <row r="57" spans="1:4" x14ac:dyDescent="0.3">
      <c r="A57" t="s">
        <v>372</v>
      </c>
    </row>
    <row r="58" spans="1:4" x14ac:dyDescent="0.3">
      <c r="A58" t="s">
        <v>373</v>
      </c>
    </row>
    <row r="60" spans="1:4" x14ac:dyDescent="0.3">
      <c r="A60" s="174" t="s">
        <v>418</v>
      </c>
    </row>
    <row r="62" spans="1:4" x14ac:dyDescent="0.3">
      <c r="A62" t="s">
        <v>419</v>
      </c>
    </row>
    <row r="63" spans="1:4" x14ac:dyDescent="0.3">
      <c r="A63" t="s">
        <v>421</v>
      </c>
    </row>
    <row r="64" spans="1:4" x14ac:dyDescent="0.3">
      <c r="A64" t="s">
        <v>420</v>
      </c>
    </row>
    <row r="65" spans="1:1" x14ac:dyDescent="0.3">
      <c r="A65" t="s">
        <v>422</v>
      </c>
    </row>
    <row r="66" spans="1:1" x14ac:dyDescent="0.3">
      <c r="A66" t="s">
        <v>423</v>
      </c>
    </row>
    <row r="67" spans="1:1" ht="13.95" customHeight="1" x14ac:dyDescent="0.3"/>
    <row r="68" spans="1:1" ht="13.95" customHeight="1" x14ac:dyDescent="0.3">
      <c r="A68" s="174" t="s">
        <v>438</v>
      </c>
    </row>
    <row r="69" spans="1:1" ht="13.95" customHeight="1" x14ac:dyDescent="0.3"/>
    <row r="70" spans="1:1" ht="13.95" customHeight="1" x14ac:dyDescent="0.3">
      <c r="A70" t="s">
        <v>439</v>
      </c>
    </row>
    <row r="71" spans="1:1" ht="13.95" customHeight="1" x14ac:dyDescent="0.3">
      <c r="A71" t="s">
        <v>440</v>
      </c>
    </row>
    <row r="72" spans="1:1" ht="13.95" customHeight="1" x14ac:dyDescent="0.3"/>
    <row r="73" spans="1:1" ht="13.95" customHeight="1" x14ac:dyDescent="0.3">
      <c r="A73" s="174" t="s">
        <v>444</v>
      </c>
    </row>
    <row r="74" spans="1:1" ht="13.95" customHeight="1" x14ac:dyDescent="0.3"/>
    <row r="75" spans="1:1" ht="13.95" customHeight="1" x14ac:dyDescent="0.3">
      <c r="A75" t="s">
        <v>441</v>
      </c>
    </row>
    <row r="76" spans="1:1" ht="13.95" customHeight="1" x14ac:dyDescent="0.3"/>
    <row r="77" spans="1:1" ht="13.95" customHeight="1" x14ac:dyDescent="0.3">
      <c r="A77" s="45" t="s">
        <v>443</v>
      </c>
    </row>
    <row r="78" spans="1:1" ht="13.95" customHeight="1" x14ac:dyDescent="0.3"/>
    <row r="79" spans="1:1" ht="13.95" customHeight="1" x14ac:dyDescent="0.3">
      <c r="A79" t="s">
        <v>442</v>
      </c>
    </row>
    <row r="80" spans="1:1" ht="13.95" customHeight="1" x14ac:dyDescent="0.3"/>
    <row r="81" spans="1:1" x14ac:dyDescent="0.3">
      <c r="A81" s="174" t="s">
        <v>424</v>
      </c>
    </row>
    <row r="83" spans="1:1" x14ac:dyDescent="0.3">
      <c r="A83" t="s">
        <v>375</v>
      </c>
    </row>
    <row r="84" spans="1:1" x14ac:dyDescent="0.3">
      <c r="A84" t="s">
        <v>433</v>
      </c>
    </row>
    <row r="85" spans="1:1" x14ac:dyDescent="0.3">
      <c r="A85" t="s">
        <v>434</v>
      </c>
    </row>
    <row r="87" spans="1:1" x14ac:dyDescent="0.3">
      <c r="A87" s="174" t="s">
        <v>425</v>
      </c>
    </row>
    <row r="89" spans="1:1" x14ac:dyDescent="0.3">
      <c r="A89" t="s">
        <v>376</v>
      </c>
    </row>
    <row r="91" spans="1:1" x14ac:dyDescent="0.3">
      <c r="A91" s="174" t="s">
        <v>426</v>
      </c>
    </row>
    <row r="93" spans="1:1" x14ac:dyDescent="0.3">
      <c r="A93" t="s">
        <v>377</v>
      </c>
    </row>
    <row r="94" spans="1:1" x14ac:dyDescent="0.3">
      <c r="A94" t="s">
        <v>378</v>
      </c>
    </row>
    <row r="96" spans="1:1" x14ac:dyDescent="0.3">
      <c r="A96" s="174" t="s">
        <v>450</v>
      </c>
    </row>
    <row r="98" spans="1:1" x14ac:dyDescent="0.3">
      <c r="A98" t="s">
        <v>446</v>
      </c>
    </row>
    <row r="99" spans="1:1" ht="13.95" customHeight="1" x14ac:dyDescent="0.3">
      <c r="A99" t="s">
        <v>447</v>
      </c>
    </row>
    <row r="100" spans="1:1" ht="13.95" customHeight="1" x14ac:dyDescent="0.3">
      <c r="A100" t="s">
        <v>448</v>
      </c>
    </row>
    <row r="102" spans="1:1" x14ac:dyDescent="0.3">
      <c r="A102" s="174" t="s">
        <v>449</v>
      </c>
    </row>
    <row r="104" spans="1:1" x14ac:dyDescent="0.3">
      <c r="A104" t="s">
        <v>379</v>
      </c>
    </row>
    <row r="105" spans="1:1" x14ac:dyDescent="0.3">
      <c r="A105" t="s">
        <v>380</v>
      </c>
    </row>
    <row r="107" spans="1:1" x14ac:dyDescent="0.3">
      <c r="A107" s="174" t="s">
        <v>427</v>
      </c>
    </row>
    <row r="109" spans="1:1" x14ac:dyDescent="0.3">
      <c r="A109" t="s">
        <v>381</v>
      </c>
    </row>
    <row r="110" spans="1:1" x14ac:dyDescent="0.3">
      <c r="A110" t="s">
        <v>382</v>
      </c>
    </row>
    <row r="111" spans="1:1" x14ac:dyDescent="0.3">
      <c r="A111" t="s">
        <v>383</v>
      </c>
    </row>
    <row r="113" spans="1:9" x14ac:dyDescent="0.3">
      <c r="A113" s="174" t="s">
        <v>428</v>
      </c>
      <c r="B113" s="50"/>
      <c r="C113" s="50"/>
      <c r="D113" s="50"/>
      <c r="E113" s="50"/>
      <c r="F113" s="50"/>
      <c r="G113" s="50"/>
      <c r="H113" s="50"/>
      <c r="I113" s="50"/>
    </row>
    <row r="114" spans="1:9" x14ac:dyDescent="0.3">
      <c r="A114" s="45" t="s">
        <v>384</v>
      </c>
      <c r="B114" s="50"/>
      <c r="C114" s="50"/>
      <c r="D114" s="50"/>
      <c r="E114" s="50"/>
      <c r="F114" s="50"/>
      <c r="G114" s="50"/>
      <c r="H114" s="50"/>
      <c r="I114" s="50"/>
    </row>
    <row r="116" spans="1:9" x14ac:dyDescent="0.3">
      <c r="A116" t="s">
        <v>385</v>
      </c>
    </row>
    <row r="117" spans="1:9" x14ac:dyDescent="0.3">
      <c r="A117" t="s">
        <v>386</v>
      </c>
    </row>
    <row r="118" spans="1:9" x14ac:dyDescent="0.3">
      <c r="A118" t="s">
        <v>387</v>
      </c>
    </row>
    <row r="120" spans="1:9" x14ac:dyDescent="0.3">
      <c r="A120" t="s">
        <v>388</v>
      </c>
    </row>
    <row r="121" spans="1:9" x14ac:dyDescent="0.3">
      <c r="A121" t="s">
        <v>389</v>
      </c>
    </row>
    <row r="123" spans="1:9" x14ac:dyDescent="0.3">
      <c r="A123" s="1" t="s">
        <v>390</v>
      </c>
    </row>
    <row r="125" spans="1:9" x14ac:dyDescent="0.3">
      <c r="A125" t="s">
        <v>430</v>
      </c>
    </row>
    <row r="126" spans="1:9" x14ac:dyDescent="0.3">
      <c r="A126" t="s">
        <v>391</v>
      </c>
    </row>
    <row r="128" spans="1:9" x14ac:dyDescent="0.3">
      <c r="A128" s="2" t="s">
        <v>431</v>
      </c>
    </row>
    <row r="129" spans="1:1" x14ac:dyDescent="0.3">
      <c r="A129" t="s">
        <v>392</v>
      </c>
    </row>
    <row r="130" spans="1:1" x14ac:dyDescent="0.3">
      <c r="A130" t="s">
        <v>393</v>
      </c>
    </row>
    <row r="131" spans="1:1" x14ac:dyDescent="0.3">
      <c r="A131" t="s">
        <v>395</v>
      </c>
    </row>
    <row r="132" spans="1:1" x14ac:dyDescent="0.3">
      <c r="A132" t="s">
        <v>396</v>
      </c>
    </row>
    <row r="134" spans="1:1" x14ac:dyDescent="0.3">
      <c r="A134" s="2" t="s">
        <v>394</v>
      </c>
    </row>
    <row r="135" spans="1:1" x14ac:dyDescent="0.3">
      <c r="A135" t="s">
        <v>432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B2C3D-B092-4BCA-A887-339D8F9C4320}">
  <sheetPr>
    <pageSetUpPr fitToPage="1"/>
  </sheetPr>
  <dimension ref="B2:P60"/>
  <sheetViews>
    <sheetView topLeftCell="A36" zoomScale="65" zoomScaleNormal="90" workbookViewId="0">
      <selection activeCell="T48" sqref="T48"/>
    </sheetView>
  </sheetViews>
  <sheetFormatPr defaultRowHeight="14.4" x14ac:dyDescent="0.3"/>
  <sheetData>
    <row r="2" spans="3:3" ht="15.6" x14ac:dyDescent="0.3">
      <c r="C2" s="113" t="s">
        <v>474</v>
      </c>
    </row>
    <row r="24" spans="16:16" x14ac:dyDescent="0.3">
      <c r="P24" s="190" t="s">
        <v>414</v>
      </c>
    </row>
    <row r="25" spans="16:16" x14ac:dyDescent="0.3">
      <c r="P25" s="190" t="s">
        <v>415</v>
      </c>
    </row>
    <row r="26" spans="16:16" x14ac:dyDescent="0.3">
      <c r="P26" s="190"/>
    </row>
    <row r="27" spans="16:16" x14ac:dyDescent="0.3">
      <c r="P27" s="190"/>
    </row>
    <row r="28" spans="16:16" x14ac:dyDescent="0.3">
      <c r="P28" s="190"/>
    </row>
    <row r="29" spans="16:16" x14ac:dyDescent="0.3">
      <c r="P29" s="190" t="s">
        <v>416</v>
      </c>
    </row>
    <row r="30" spans="16:16" x14ac:dyDescent="0.3">
      <c r="P30" s="190" t="s">
        <v>417</v>
      </c>
    </row>
    <row r="59" spans="2:14" ht="21" x14ac:dyDescent="0.4">
      <c r="B59" s="177" t="s">
        <v>278</v>
      </c>
      <c r="C59" s="177"/>
      <c r="D59" s="177"/>
      <c r="E59" s="177"/>
      <c r="F59" s="177"/>
      <c r="G59" s="177"/>
      <c r="H59" s="177"/>
      <c r="I59" s="177"/>
      <c r="J59" s="177"/>
      <c r="K59" s="177"/>
      <c r="L59" s="177"/>
      <c r="M59" s="177"/>
      <c r="N59" s="177"/>
    </row>
    <row r="60" spans="2:14" ht="21" x14ac:dyDescent="0.4">
      <c r="B60" s="177"/>
      <c r="C60" s="177"/>
      <c r="D60" s="177"/>
      <c r="E60" s="177"/>
      <c r="F60" s="177"/>
      <c r="G60" s="177"/>
      <c r="H60" s="177"/>
      <c r="I60" s="177"/>
      <c r="J60" s="177"/>
      <c r="K60" s="177"/>
      <c r="L60" s="177"/>
      <c r="M60" s="177"/>
      <c r="N60" s="177"/>
    </row>
  </sheetData>
  <pageMargins left="0.7" right="0.7" top="0.75" bottom="0.75" header="0.3" footer="0.3"/>
  <pageSetup scale="6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5019-3400-443C-86C7-A1162B4C17DB}">
  <sheetPr>
    <tabColor rgb="FFFFC000"/>
    <pageSetUpPr fitToPage="1"/>
  </sheetPr>
  <dimension ref="A1:N61"/>
  <sheetViews>
    <sheetView zoomScale="86" zoomScaleNormal="86" workbookViewId="0">
      <pane xSplit="3" ySplit="9" topLeftCell="D17" activePane="bottomRight" state="frozen"/>
      <selection pane="topRight" activeCell="D1" sqref="D1"/>
      <selection pane="bottomLeft" activeCell="A10" sqref="A10"/>
      <selection pane="bottomRight" activeCell="H18" sqref="H18"/>
    </sheetView>
  </sheetViews>
  <sheetFormatPr defaultRowHeight="14.4" x14ac:dyDescent="0.3"/>
  <cols>
    <col min="3" max="3" width="23.33203125" customWidth="1"/>
    <col min="4" max="4" width="22" customWidth="1"/>
    <col min="5" max="5" width="21.33203125" customWidth="1"/>
    <col min="6" max="7" width="11.33203125" customWidth="1"/>
    <col min="8" max="8" width="14.33203125" customWidth="1"/>
    <col min="9" max="9" width="14.44140625" customWidth="1"/>
    <col min="12" max="12" width="13.5546875" customWidth="1"/>
    <col min="13" max="13" width="9.5546875" customWidth="1"/>
  </cols>
  <sheetData>
    <row r="1" spans="1:14" x14ac:dyDescent="0.3">
      <c r="A1" t="s">
        <v>17</v>
      </c>
    </row>
    <row r="2" spans="1:14" ht="18" x14ac:dyDescent="0.35">
      <c r="A2" s="13" t="s">
        <v>1</v>
      </c>
      <c r="C2" s="4" t="s">
        <v>11</v>
      </c>
      <c r="D2" s="14" t="s">
        <v>47</v>
      </c>
    </row>
    <row r="4" spans="1:14" ht="18" x14ac:dyDescent="0.35">
      <c r="A4" s="13" t="s">
        <v>45</v>
      </c>
      <c r="B4" s="1"/>
      <c r="C4" s="1"/>
      <c r="D4" s="1"/>
      <c r="E4" s="1"/>
    </row>
    <row r="5" spans="1:14" x14ac:dyDescent="0.3">
      <c r="A5" s="1" t="s">
        <v>153</v>
      </c>
      <c r="B5" s="1"/>
      <c r="C5" s="1"/>
      <c r="D5" s="1"/>
      <c r="E5" s="1"/>
    </row>
    <row r="6" spans="1:14" x14ac:dyDescent="0.3">
      <c r="H6" s="1" t="s">
        <v>155</v>
      </c>
      <c r="I6" s="1"/>
      <c r="J6" s="1"/>
      <c r="K6" s="1"/>
      <c r="L6" s="1" t="s">
        <v>169</v>
      </c>
      <c r="M6" s="1"/>
      <c r="N6" s="1"/>
    </row>
    <row r="7" spans="1:14" x14ac:dyDescent="0.3">
      <c r="D7" s="5" t="s">
        <v>122</v>
      </c>
      <c r="E7" s="5" t="s">
        <v>123</v>
      </c>
      <c r="H7" s="14" t="s">
        <v>19</v>
      </c>
      <c r="I7" s="14"/>
      <c r="L7" s="14" t="s">
        <v>19</v>
      </c>
      <c r="M7" s="15"/>
      <c r="N7" s="15"/>
    </row>
    <row r="8" spans="1:14" x14ac:dyDescent="0.3">
      <c r="D8" s="5" t="s">
        <v>48</v>
      </c>
      <c r="E8" s="5" t="s">
        <v>48</v>
      </c>
      <c r="H8" t="str">
        <f>+D8</f>
        <v>Balances as of</v>
      </c>
      <c r="I8" t="str">
        <f>+E8</f>
        <v>Balances as of</v>
      </c>
      <c r="L8" s="16" t="str">
        <f>+H9</f>
        <v>Dec. 31, 2021</v>
      </c>
      <c r="M8" t="s">
        <v>170</v>
      </c>
    </row>
    <row r="9" spans="1:14" x14ac:dyDescent="0.3">
      <c r="C9" s="14" t="s">
        <v>46</v>
      </c>
      <c r="D9" s="191" t="s">
        <v>476</v>
      </c>
      <c r="E9" s="191" t="s">
        <v>477</v>
      </c>
      <c r="F9" s="16"/>
      <c r="G9" s="16"/>
      <c r="H9" s="17" t="str">
        <f>+D9</f>
        <v>Dec. 31, 2021</v>
      </c>
      <c r="I9" s="17" t="str">
        <f>+E9</f>
        <v>Dec. 31, 2020</v>
      </c>
      <c r="L9" s="17" t="str">
        <f>+I9</f>
        <v>Dec. 31, 2020</v>
      </c>
    </row>
    <row r="10" spans="1:14" x14ac:dyDescent="0.3">
      <c r="A10" s="8" t="s">
        <v>44</v>
      </c>
      <c r="B10" s="8"/>
      <c r="C10" s="8"/>
      <c r="D10" s="192">
        <v>20945</v>
      </c>
      <c r="E10" s="192">
        <v>26465</v>
      </c>
      <c r="H10" s="9">
        <f>(D10/D22)</f>
        <v>5.8299097052896445E-2</v>
      </c>
      <c r="I10" s="9">
        <f>E10/E22</f>
        <v>8.2802487985582693E-2</v>
      </c>
      <c r="L10" s="9">
        <f>(D10-E10)/E10</f>
        <v>-0.20857736633289251</v>
      </c>
    </row>
    <row r="11" spans="1:14" x14ac:dyDescent="0.3">
      <c r="A11" s="8" t="s">
        <v>207</v>
      </c>
      <c r="B11" s="8"/>
      <c r="C11" s="8"/>
      <c r="D11" s="193">
        <v>118704</v>
      </c>
      <c r="E11" s="193">
        <v>110229</v>
      </c>
      <c r="H11" s="9">
        <f>(D11/D22)</f>
        <v>0.33040515715287749</v>
      </c>
      <c r="I11" s="9">
        <f>E11/E22</f>
        <v>0.34487948037645172</v>
      </c>
      <c r="L11" s="9">
        <f t="shared" ref="L11:L42" si="0">(D11-E11)/E11</f>
        <v>7.6885393136107552E-2</v>
      </c>
    </row>
    <row r="12" spans="1:14" x14ac:dyDescent="0.3">
      <c r="A12" s="8" t="s">
        <v>26</v>
      </c>
      <c r="B12" s="8"/>
      <c r="C12" s="8"/>
      <c r="D12" s="193">
        <v>39304</v>
      </c>
      <c r="E12" s="193">
        <v>30930</v>
      </c>
      <c r="H12" s="9">
        <f>(D12/D22)</f>
        <v>0.10940022490174466</v>
      </c>
      <c r="I12" s="9">
        <f>E12/E22</f>
        <v>9.6772376852222661E-2</v>
      </c>
      <c r="L12" s="9">
        <f t="shared" si="0"/>
        <v>0.27074038150662788</v>
      </c>
    </row>
    <row r="13" spans="1:14" x14ac:dyDescent="0.3">
      <c r="A13" s="8" t="s">
        <v>27</v>
      </c>
      <c r="B13" s="8"/>
      <c r="C13" s="8"/>
      <c r="D13" s="193">
        <v>966</v>
      </c>
      <c r="E13" s="193">
        <v>454</v>
      </c>
      <c r="H13" s="9">
        <f>(D13/D22)</f>
        <v>2.6888005611409868E-3</v>
      </c>
      <c r="I13" s="9">
        <f>E13/E22</f>
        <v>1.4204545454545455E-3</v>
      </c>
      <c r="L13" s="9">
        <f t="shared" si="0"/>
        <v>1.1277533039647578</v>
      </c>
    </row>
    <row r="14" spans="1:14" x14ac:dyDescent="0.3">
      <c r="A14" s="8" t="s">
        <v>20</v>
      </c>
      <c r="B14" s="8"/>
      <c r="C14" s="8"/>
      <c r="D14" s="193">
        <v>1170</v>
      </c>
      <c r="E14" s="193">
        <v>728</v>
      </c>
      <c r="H14" s="9">
        <f>(D14/D22)</f>
        <v>3.2566217976552321E-3</v>
      </c>
      <c r="I14" s="9">
        <f>E14/E22</f>
        <v>2.2777332799359231E-3</v>
      </c>
      <c r="L14" s="9">
        <f t="shared" si="0"/>
        <v>0.6071428571428571</v>
      </c>
    </row>
    <row r="15" spans="1:14" x14ac:dyDescent="0.3">
      <c r="A15" s="8" t="s">
        <v>21</v>
      </c>
      <c r="B15" s="8"/>
      <c r="C15" s="8"/>
      <c r="D15" s="193">
        <v>7054</v>
      </c>
      <c r="E15" s="193">
        <v>5490</v>
      </c>
      <c r="H15" s="9">
        <f>(D15/D22)</f>
        <v>1.9634367658683767E-2</v>
      </c>
      <c r="I15" s="9">
        <f>E15/E22</f>
        <v>1.7176862234681619E-2</v>
      </c>
      <c r="L15" s="9">
        <f t="shared" si="0"/>
        <v>0.2848816029143898</v>
      </c>
    </row>
    <row r="16" spans="1:14" x14ac:dyDescent="0.3">
      <c r="A16" s="8"/>
      <c r="B16" s="11" t="s">
        <v>22</v>
      </c>
      <c r="C16" s="11"/>
      <c r="D16" s="11">
        <f>SUM(D10:D15)</f>
        <v>188143</v>
      </c>
      <c r="E16" s="11">
        <f>SUM(E10:E15)</f>
        <v>174296</v>
      </c>
      <c r="H16" s="9">
        <f>(D16/D22)</f>
        <v>0.52368426912499866</v>
      </c>
      <c r="I16" s="9">
        <f>E16/E22</f>
        <v>0.54532939527432922</v>
      </c>
      <c r="L16" s="9">
        <f t="shared" si="0"/>
        <v>7.9445311424243811E-2</v>
      </c>
    </row>
    <row r="17" spans="1:12" x14ac:dyDescent="0.3">
      <c r="A17" s="8"/>
      <c r="B17" s="8"/>
      <c r="C17" s="8"/>
      <c r="D17" s="8"/>
      <c r="E17" s="8"/>
      <c r="L17" s="47"/>
    </row>
    <row r="18" spans="1:12" x14ac:dyDescent="0.3">
      <c r="A18" s="8" t="s">
        <v>25</v>
      </c>
      <c r="B18" s="8"/>
      <c r="C18" s="8"/>
      <c r="D18" s="193">
        <v>97599</v>
      </c>
      <c r="E18" s="193">
        <v>84749</v>
      </c>
      <c r="H18" s="9">
        <f>(D18/D22)</f>
        <v>0.27166071011055815</v>
      </c>
      <c r="I18" s="9">
        <f>E18/E22</f>
        <v>0.26515881557869442</v>
      </c>
      <c r="L18" s="9">
        <f t="shared" si="0"/>
        <v>0.15162420795525611</v>
      </c>
    </row>
    <row r="19" spans="1:12" x14ac:dyDescent="0.3">
      <c r="A19" s="8" t="s">
        <v>66</v>
      </c>
      <c r="B19" s="8"/>
      <c r="C19" s="8"/>
      <c r="D19" s="18">
        <v>24373</v>
      </c>
      <c r="E19" s="18">
        <v>22620</v>
      </c>
      <c r="H19" s="9">
        <f>(D19/D22)</f>
        <v>6.784072057628289E-2</v>
      </c>
      <c r="I19" s="9">
        <f>E19/E22</f>
        <v>7.0772426912294753E-2</v>
      </c>
      <c r="L19" s="9">
        <f t="shared" si="0"/>
        <v>7.7497789566755085E-2</v>
      </c>
    </row>
    <row r="20" spans="1:12" x14ac:dyDescent="0.3">
      <c r="A20" s="8" t="s">
        <v>34</v>
      </c>
      <c r="B20" s="8"/>
      <c r="C20" s="8"/>
      <c r="D20" s="18">
        <v>14796</v>
      </c>
      <c r="E20" s="18">
        <v>11563</v>
      </c>
      <c r="H20" s="9">
        <f>(D20/D22)</f>
        <v>4.118374027188617E-2</v>
      </c>
      <c r="I20" s="9">
        <f>E20/E22</f>
        <v>3.6177788346015219E-2</v>
      </c>
      <c r="L20" s="9">
        <f t="shared" si="0"/>
        <v>0.27959872005534897</v>
      </c>
    </row>
    <row r="21" spans="1:12" x14ac:dyDescent="0.3">
      <c r="A21" s="8" t="s">
        <v>23</v>
      </c>
      <c r="B21" s="8"/>
      <c r="C21" s="8"/>
      <c r="D21" s="195">
        <f>49153-D20</f>
        <v>34357</v>
      </c>
      <c r="E21" s="195">
        <f>37951-E20</f>
        <v>26388</v>
      </c>
      <c r="H21" s="9">
        <f>(D21/D22)</f>
        <v>9.5630559916274199E-2</v>
      </c>
      <c r="I21" s="9">
        <f>E21/E22</f>
        <v>8.2561573888666404E-2</v>
      </c>
      <c r="L21" s="9">
        <f t="shared" si="0"/>
        <v>0.30199333030165226</v>
      </c>
    </row>
    <row r="22" spans="1:12" x14ac:dyDescent="0.3">
      <c r="A22" s="8"/>
      <c r="B22" s="11" t="s">
        <v>24</v>
      </c>
      <c r="C22" s="11"/>
      <c r="D22" s="196">
        <f>SUM(D16:D21)</f>
        <v>359268</v>
      </c>
      <c r="E22" s="196">
        <f>SUM(E16:E21)</f>
        <v>319616</v>
      </c>
      <c r="F22" s="193"/>
      <c r="G22" s="193"/>
      <c r="H22" s="9">
        <f>(D22/D22)</f>
        <v>1</v>
      </c>
      <c r="I22" s="9">
        <f>E22/E22</f>
        <v>1</v>
      </c>
      <c r="J22" s="2" t="s">
        <v>173</v>
      </c>
      <c r="L22" s="9">
        <f t="shared" si="0"/>
        <v>0.12406137364837805</v>
      </c>
    </row>
    <row r="23" spans="1:12" x14ac:dyDescent="0.3">
      <c r="A23" s="8"/>
      <c r="B23" s="8"/>
      <c r="C23" s="8"/>
      <c r="D23" s="8"/>
      <c r="E23" s="8"/>
      <c r="F23" s="194"/>
      <c r="G23" s="194"/>
      <c r="L23" s="47"/>
    </row>
    <row r="24" spans="1:12" x14ac:dyDescent="0.3">
      <c r="A24" s="8" t="s">
        <v>28</v>
      </c>
      <c r="B24" s="8"/>
      <c r="C24" s="8"/>
      <c r="D24" s="195">
        <v>6037</v>
      </c>
      <c r="E24" s="195">
        <v>5589</v>
      </c>
      <c r="F24" s="193"/>
      <c r="G24" s="193"/>
      <c r="H24" s="9">
        <f>D24/D42</f>
        <v>1.6803611741642417E-2</v>
      </c>
      <c r="I24" s="9">
        <f>E24/E42</f>
        <v>1.7486608876005554E-2</v>
      </c>
      <c r="L24" s="9">
        <f t="shared" si="0"/>
        <v>8.0157452138128471E-2</v>
      </c>
    </row>
    <row r="25" spans="1:12" x14ac:dyDescent="0.3">
      <c r="A25" s="8" t="s">
        <v>29</v>
      </c>
      <c r="B25" s="8"/>
      <c r="C25" s="8"/>
      <c r="D25" s="18">
        <v>1104</v>
      </c>
      <c r="E25" s="18">
        <v>0</v>
      </c>
      <c r="H25" s="9">
        <f>D25/D42</f>
        <v>3.0729149184650041E-3</v>
      </c>
      <c r="I25" s="9">
        <f>E25/E42</f>
        <v>0</v>
      </c>
      <c r="L25" s="9"/>
    </row>
    <row r="26" spans="1:12" x14ac:dyDescent="0.3">
      <c r="A26" s="8" t="s">
        <v>30</v>
      </c>
      <c r="B26" s="8"/>
      <c r="C26" s="8"/>
      <c r="D26" s="19">
        <v>57113</v>
      </c>
      <c r="E26" s="19">
        <v>51245</v>
      </c>
      <c r="H26" s="9">
        <f>D26/D42</f>
        <v>0.15897046171946719</v>
      </c>
      <c r="I26" s="9">
        <f>E26/E42</f>
        <v>0.16033302412791281</v>
      </c>
      <c r="L26" s="9">
        <f t="shared" si="0"/>
        <v>0.11450873255927407</v>
      </c>
    </row>
    <row r="27" spans="1:12" x14ac:dyDescent="0.3">
      <c r="A27" s="8"/>
      <c r="B27" s="11" t="s">
        <v>36</v>
      </c>
      <c r="C27" s="11"/>
      <c r="D27" s="11">
        <f>SUM(D24:D26)</f>
        <v>64254</v>
      </c>
      <c r="E27" s="11">
        <f>SUM(E24:E26)</f>
        <v>56834</v>
      </c>
      <c r="H27" s="9">
        <f>D27/D42</f>
        <v>0.17884698837957461</v>
      </c>
      <c r="I27" s="9">
        <f>E27/E42</f>
        <v>0.17781963300391834</v>
      </c>
      <c r="L27" s="9">
        <f t="shared" si="0"/>
        <v>0.13055565330611957</v>
      </c>
    </row>
    <row r="28" spans="1:12" x14ac:dyDescent="0.3">
      <c r="A28" s="8"/>
      <c r="B28" s="8"/>
      <c r="C28" s="8"/>
      <c r="D28" s="8"/>
      <c r="E28" s="8"/>
      <c r="L28" s="9"/>
    </row>
    <row r="29" spans="1:12" x14ac:dyDescent="0.3">
      <c r="A29" s="8" t="s">
        <v>31</v>
      </c>
      <c r="B29" s="8"/>
      <c r="C29" s="8"/>
      <c r="D29" s="195">
        <v>14817</v>
      </c>
      <c r="E29" s="195">
        <v>13932</v>
      </c>
      <c r="H29" s="9">
        <f>D29/D42</f>
        <v>4.1242192343202866E-2</v>
      </c>
      <c r="I29" s="9">
        <f>E29/E42</f>
        <v>4.3589807632941381E-2</v>
      </c>
      <c r="L29" s="9">
        <f t="shared" si="0"/>
        <v>6.3522825150732126E-2</v>
      </c>
    </row>
    <row r="30" spans="1:12" x14ac:dyDescent="0.3">
      <c r="A30" s="8" t="s">
        <v>32</v>
      </c>
      <c r="B30" s="8"/>
      <c r="C30" s="8"/>
      <c r="D30" s="18">
        <v>0</v>
      </c>
      <c r="E30" s="18">
        <v>0</v>
      </c>
      <c r="H30" s="9">
        <f>D30/D42</f>
        <v>0</v>
      </c>
      <c r="I30" s="9">
        <f>E30/E42</f>
        <v>0</v>
      </c>
      <c r="L30" s="9"/>
    </row>
    <row r="31" spans="1:12" x14ac:dyDescent="0.3">
      <c r="A31" s="8" t="s">
        <v>33</v>
      </c>
      <c r="B31" s="8"/>
      <c r="C31" s="8"/>
      <c r="D31" s="195">
        <v>5257</v>
      </c>
      <c r="E31" s="195">
        <v>3561</v>
      </c>
      <c r="H31" s="9">
        <f>D31/D42</f>
        <v>1.4632530549248665E-2</v>
      </c>
      <c r="I31" s="9">
        <f>E31/E42</f>
        <v>1.1141494758893502E-2</v>
      </c>
      <c r="L31" s="9">
        <f t="shared" si="0"/>
        <v>0.4762707104745858</v>
      </c>
    </row>
    <row r="32" spans="1:12" x14ac:dyDescent="0.3">
      <c r="A32" s="8" t="s">
        <v>35</v>
      </c>
      <c r="B32" s="8"/>
      <c r="C32" s="8"/>
      <c r="D32" s="197">
        <v>23305</v>
      </c>
      <c r="E32" s="197">
        <v>22745</v>
      </c>
      <c r="H32" s="9">
        <f>D32/D42</f>
        <v>6.4868009216328737E-2</v>
      </c>
      <c r="I32" s="9">
        <f>E32/E42</f>
        <v>7.1163521002817379E-2</v>
      </c>
      <c r="L32" s="9">
        <f t="shared" si="0"/>
        <v>2.4620795779292153E-2</v>
      </c>
    </row>
    <row r="33" spans="1:12" x14ac:dyDescent="0.3">
      <c r="A33" s="8"/>
      <c r="B33" s="11" t="s">
        <v>37</v>
      </c>
      <c r="C33" s="11"/>
      <c r="D33" s="196">
        <f>SUM(D27:D32)</f>
        <v>107633</v>
      </c>
      <c r="E33" s="196">
        <f>SUM(E27:E32)</f>
        <v>97072</v>
      </c>
      <c r="H33" s="9">
        <f>D33/D42</f>
        <v>0.29958972048835486</v>
      </c>
      <c r="I33" s="9">
        <f>E33/E42</f>
        <v>0.30371445639857064</v>
      </c>
      <c r="L33" s="9">
        <f t="shared" si="0"/>
        <v>0.10879553321246085</v>
      </c>
    </row>
    <row r="34" spans="1:12" x14ac:dyDescent="0.3">
      <c r="A34" s="8"/>
      <c r="B34" s="8"/>
      <c r="C34" s="8"/>
      <c r="D34" s="8"/>
      <c r="E34" s="8"/>
      <c r="L34" s="47"/>
    </row>
    <row r="35" spans="1:12" x14ac:dyDescent="0.3">
      <c r="A35" s="8" t="s">
        <v>38</v>
      </c>
      <c r="B35" s="8"/>
      <c r="C35" s="8"/>
      <c r="D35" s="18">
        <v>1E-3</v>
      </c>
      <c r="E35" s="18">
        <v>1E-3</v>
      </c>
      <c r="H35" s="9">
        <f>D35/D42</f>
        <v>2.7834374261458371E-9</v>
      </c>
      <c r="I35" s="9">
        <f>E35/E42</f>
        <v>3.128754495617383E-9</v>
      </c>
      <c r="L35" s="9">
        <f t="shared" si="0"/>
        <v>0</v>
      </c>
    </row>
    <row r="36" spans="1:12" x14ac:dyDescent="0.3">
      <c r="A36" s="8" t="s">
        <v>39</v>
      </c>
      <c r="B36" s="8"/>
      <c r="C36" s="8"/>
      <c r="D36" s="18">
        <v>58510</v>
      </c>
      <c r="E36" s="18">
        <v>50552</v>
      </c>
      <c r="H36" s="9">
        <f>D36/D42</f>
        <v>0.16285892380379294</v>
      </c>
      <c r="I36" s="9">
        <f>E36/E42</f>
        <v>0.15816479726244995</v>
      </c>
      <c r="L36" s="9">
        <f t="shared" si="0"/>
        <v>0.15742206045260326</v>
      </c>
    </row>
    <row r="37" spans="1:12" x14ac:dyDescent="0.3">
      <c r="A37" s="8" t="s">
        <v>40</v>
      </c>
      <c r="B37" s="8"/>
      <c r="C37" s="8"/>
      <c r="D37" s="18">
        <v>191484</v>
      </c>
      <c r="E37" s="18">
        <v>163401</v>
      </c>
      <c r="H37" s="9">
        <f>D37/D42</f>
        <v>0.53298373210810945</v>
      </c>
      <c r="I37" s="9">
        <f>E37/E42</f>
        <v>0.51124161333837603</v>
      </c>
      <c r="L37" s="9">
        <f t="shared" si="0"/>
        <v>0.17186553325867038</v>
      </c>
    </row>
    <row r="38" spans="1:12" x14ac:dyDescent="0.3">
      <c r="A38" s="8" t="s">
        <v>208</v>
      </c>
      <c r="B38" s="8"/>
      <c r="C38" s="8"/>
      <c r="D38" s="18">
        <v>-2324</v>
      </c>
      <c r="E38" s="18">
        <v>-2159</v>
      </c>
      <c r="H38" s="9">
        <f>D38/D42</f>
        <v>-6.4687085783629254E-3</v>
      </c>
      <c r="I38" s="9">
        <f>E38/E42</f>
        <v>-6.7549809560379301E-3</v>
      </c>
      <c r="L38" s="9">
        <f t="shared" si="0"/>
        <v>7.6424270495599814E-2</v>
      </c>
    </row>
    <row r="39" spans="1:12" x14ac:dyDescent="0.3">
      <c r="A39" s="8" t="s">
        <v>41</v>
      </c>
      <c r="B39" s="8"/>
      <c r="C39" s="8"/>
      <c r="D39" s="19">
        <v>3965</v>
      </c>
      <c r="E39" s="19">
        <v>10750</v>
      </c>
      <c r="F39" s="198"/>
      <c r="G39" s="198"/>
      <c r="H39" s="9">
        <f>D39/D42</f>
        <v>1.1036329394668244E-2</v>
      </c>
      <c r="I39" s="9">
        <f>E39/E42</f>
        <v>3.3634110827886872E-2</v>
      </c>
      <c r="L39" s="9">
        <f t="shared" si="0"/>
        <v>-0.63116279069767445</v>
      </c>
    </row>
    <row r="40" spans="1:12" x14ac:dyDescent="0.3">
      <c r="A40" s="8"/>
      <c r="B40" s="11" t="s">
        <v>42</v>
      </c>
      <c r="C40" s="8"/>
      <c r="D40" s="11">
        <f>SUM(D35:D39)</f>
        <v>251635.00099999999</v>
      </c>
      <c r="E40" s="11">
        <f>SUM(E35:E39)</f>
        <v>222544.00099999999</v>
      </c>
      <c r="F40" s="193"/>
      <c r="G40" s="193"/>
      <c r="H40" s="9">
        <f>D40/D42</f>
        <v>0.70041027951164514</v>
      </c>
      <c r="I40" s="9">
        <f>E40/E42</f>
        <v>0.69628554360142936</v>
      </c>
      <c r="L40" s="9">
        <f t="shared" si="0"/>
        <v>0.1307202165382117</v>
      </c>
    </row>
    <row r="41" spans="1:12" x14ac:dyDescent="0.3">
      <c r="A41" s="8"/>
      <c r="B41" s="8"/>
      <c r="C41" s="8"/>
      <c r="D41" s="8"/>
      <c r="E41" s="8"/>
      <c r="L41" s="47"/>
    </row>
    <row r="42" spans="1:12" x14ac:dyDescent="0.3">
      <c r="A42" s="8"/>
      <c r="B42" s="11" t="s">
        <v>135</v>
      </c>
      <c r="C42" s="11"/>
      <c r="D42" s="11">
        <f>+D33+D40</f>
        <v>359268.00099999999</v>
      </c>
      <c r="E42" s="11">
        <f>+E33+E40</f>
        <v>319616.00099999999</v>
      </c>
      <c r="F42" s="192"/>
      <c r="G42" s="192"/>
      <c r="H42" s="9">
        <f>D42/D42</f>
        <v>1</v>
      </c>
      <c r="I42" s="9">
        <f>E42/E42</f>
        <v>1</v>
      </c>
      <c r="L42" s="9">
        <f t="shared" si="0"/>
        <v>0.12406137326022047</v>
      </c>
    </row>
    <row r="43" spans="1:12" x14ac:dyDescent="0.3">
      <c r="A43" s="8"/>
      <c r="B43" s="8"/>
      <c r="C43" s="8"/>
      <c r="D43" s="8"/>
      <c r="E43" s="8"/>
      <c r="L43" s="6"/>
    </row>
    <row r="44" spans="1:12" x14ac:dyDescent="0.3">
      <c r="A44" s="12" t="s">
        <v>43</v>
      </c>
      <c r="B44" s="12"/>
      <c r="C44" s="12"/>
      <c r="D44" s="12">
        <f>+D22-D33-D40</f>
        <v>-9.9999998928979039E-4</v>
      </c>
      <c r="E44" s="12">
        <f>+E22-E33-E40</f>
        <v>-9.9999998928979039E-4</v>
      </c>
    </row>
    <row r="45" spans="1:12" x14ac:dyDescent="0.3">
      <c r="A45" s="12"/>
      <c r="B45" s="8"/>
      <c r="C45" s="8"/>
      <c r="D45" s="8"/>
      <c r="E45" s="8"/>
    </row>
    <row r="46" spans="1:12" ht="15" thickBot="1" x14ac:dyDescent="0.35">
      <c r="A46" s="8"/>
      <c r="B46" s="8"/>
      <c r="C46" s="8"/>
      <c r="D46" s="8"/>
      <c r="E46" s="8"/>
      <c r="H46" s="6"/>
      <c r="I46" s="6"/>
      <c r="L46" s="6"/>
    </row>
    <row r="47" spans="1:12" ht="15.6" x14ac:dyDescent="0.3">
      <c r="A47" s="8"/>
      <c r="C47" s="130" t="s">
        <v>192</v>
      </c>
      <c r="D47" s="115"/>
      <c r="E47" s="131" t="s">
        <v>206</v>
      </c>
      <c r="F47" s="132"/>
      <c r="H47" s="6"/>
      <c r="I47" s="6"/>
      <c r="L47" s="6"/>
    </row>
    <row r="48" spans="1:12" x14ac:dyDescent="0.3">
      <c r="C48" s="118" t="s">
        <v>193</v>
      </c>
      <c r="D48" s="119"/>
      <c r="E48" s="119"/>
      <c r="F48" s="133"/>
    </row>
    <row r="49" spans="3:6" x14ac:dyDescent="0.3">
      <c r="C49" s="118" t="s">
        <v>194</v>
      </c>
      <c r="D49" s="119"/>
      <c r="E49" s="119"/>
      <c r="F49" s="133"/>
    </row>
    <row r="50" spans="3:6" x14ac:dyDescent="0.3">
      <c r="C50" s="118"/>
      <c r="D50" s="134" t="s">
        <v>195</v>
      </c>
      <c r="E50" s="134" t="s">
        <v>196</v>
      </c>
      <c r="F50" s="135" t="s">
        <v>197</v>
      </c>
    </row>
    <row r="51" spans="3:6" x14ac:dyDescent="0.3">
      <c r="C51" s="118" t="s">
        <v>198</v>
      </c>
      <c r="D51" s="119"/>
      <c r="E51" s="119"/>
      <c r="F51" s="133"/>
    </row>
    <row r="52" spans="3:6" x14ac:dyDescent="0.3">
      <c r="C52" s="118" t="s">
        <v>199</v>
      </c>
      <c r="D52" s="119"/>
      <c r="E52" s="119"/>
      <c r="F52" s="133"/>
    </row>
    <row r="53" spans="3:6" x14ac:dyDescent="0.3">
      <c r="C53" s="118" t="s">
        <v>200</v>
      </c>
      <c r="D53" s="119">
        <v>46</v>
      </c>
      <c r="E53" s="119">
        <v>36</v>
      </c>
      <c r="F53" s="133">
        <v>55</v>
      </c>
    </row>
    <row r="54" spans="3:6" x14ac:dyDescent="0.3">
      <c r="C54" s="118" t="s">
        <v>201</v>
      </c>
      <c r="D54" s="123">
        <f>+D52/D53</f>
        <v>0</v>
      </c>
      <c r="E54" s="123">
        <f t="shared" ref="E54:F54" si="1">+E52/E53</f>
        <v>0</v>
      </c>
      <c r="F54" s="136">
        <f t="shared" si="1"/>
        <v>0</v>
      </c>
    </row>
    <row r="55" spans="3:6" x14ac:dyDescent="0.3">
      <c r="C55" s="118"/>
      <c r="D55" s="119"/>
      <c r="E55" s="119"/>
      <c r="F55" s="133"/>
    </row>
    <row r="56" spans="3:6" x14ac:dyDescent="0.3">
      <c r="C56" s="118" t="s">
        <v>202</v>
      </c>
      <c r="D56" s="120">
        <f>AVERAGE(D54:F54)</f>
        <v>0</v>
      </c>
      <c r="E56" s="119"/>
      <c r="F56" s="133"/>
    </row>
    <row r="57" spans="3:6" x14ac:dyDescent="0.3">
      <c r="C57" s="118"/>
      <c r="D57" s="120"/>
      <c r="E57" s="119"/>
      <c r="F57" s="133"/>
    </row>
    <row r="58" spans="3:6" x14ac:dyDescent="0.3">
      <c r="C58" s="118" t="s">
        <v>203</v>
      </c>
      <c r="D58" s="137">
        <v>3</v>
      </c>
      <c r="E58" s="119" t="s">
        <v>204</v>
      </c>
      <c r="F58" s="133"/>
    </row>
    <row r="59" spans="3:6" x14ac:dyDescent="0.3">
      <c r="C59" s="118"/>
      <c r="D59" s="119"/>
      <c r="E59" s="119"/>
      <c r="F59" s="133"/>
    </row>
    <row r="60" spans="3:6" x14ac:dyDescent="0.3">
      <c r="C60" s="138"/>
      <c r="D60" s="158">
        <f>+D56*D58</f>
        <v>0</v>
      </c>
      <c r="E60" s="124" t="s">
        <v>205</v>
      </c>
      <c r="F60" s="133"/>
    </row>
    <row r="61" spans="3:6" ht="15" thickBot="1" x14ac:dyDescent="0.35">
      <c r="C61" s="125"/>
      <c r="D61" s="126"/>
      <c r="E61" s="126"/>
      <c r="F61" s="139"/>
    </row>
  </sheetData>
  <pageMargins left="0.7" right="0.7" top="0.75" bottom="0.75" header="0.3" footer="0.3"/>
  <pageSetup scale="7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5EB29-E95F-4AC8-9EBF-AF3CBC78CBA4}">
  <sheetPr>
    <tabColor rgb="FFFFC000"/>
    <pageSetUpPr fitToPage="1"/>
  </sheetPr>
  <dimension ref="A1:Q70"/>
  <sheetViews>
    <sheetView topLeftCell="A7" zoomScale="87" zoomScaleNormal="115" workbookViewId="0">
      <selection activeCell="L13" sqref="L13"/>
    </sheetView>
  </sheetViews>
  <sheetFormatPr defaultRowHeight="14.4" x14ac:dyDescent="0.3"/>
  <cols>
    <col min="3" max="3" width="20.109375" customWidth="1"/>
    <col min="4" max="4" width="12.44140625" customWidth="1"/>
    <col min="5" max="5" width="13.33203125" customWidth="1"/>
    <col min="6" max="6" width="11.88671875" customWidth="1"/>
    <col min="8" max="9" width="12.44140625" customWidth="1"/>
    <col min="10" max="10" width="12.33203125" customWidth="1"/>
    <col min="11" max="11" width="12.6640625" customWidth="1"/>
    <col min="12" max="13" width="12.44140625" customWidth="1"/>
    <col min="15" max="15" width="12.6640625" customWidth="1"/>
  </cols>
  <sheetData>
    <row r="1" spans="1:13" x14ac:dyDescent="0.3">
      <c r="A1" t="s">
        <v>49</v>
      </c>
    </row>
    <row r="2" spans="1:13" ht="18" x14ac:dyDescent="0.35">
      <c r="A2" s="13" t="s">
        <v>1</v>
      </c>
      <c r="C2" t="str">
        <f>+BSCo1!C2</f>
        <v>Alphabet</v>
      </c>
      <c r="D2" s="14" t="s">
        <v>50</v>
      </c>
      <c r="E2" s="15"/>
    </row>
    <row r="4" spans="1:13" ht="18" x14ac:dyDescent="0.35">
      <c r="A4" s="13" t="s">
        <v>45</v>
      </c>
      <c r="B4" s="1"/>
      <c r="C4" s="1"/>
      <c r="D4" s="1"/>
      <c r="E4" s="1"/>
    </row>
    <row r="5" spans="1:13" x14ac:dyDescent="0.3">
      <c r="A5" s="1" t="s">
        <v>153</v>
      </c>
      <c r="B5" s="1"/>
      <c r="C5" s="1"/>
      <c r="D5" s="1"/>
      <c r="E5" s="1"/>
    </row>
    <row r="6" spans="1:13" x14ac:dyDescent="0.3">
      <c r="A6" s="1"/>
      <c r="B6" s="1"/>
      <c r="C6" s="1"/>
      <c r="D6" s="1"/>
      <c r="E6" s="1"/>
    </row>
    <row r="7" spans="1:13" x14ac:dyDescent="0.3">
      <c r="L7" s="1" t="s">
        <v>171</v>
      </c>
      <c r="M7" s="1"/>
    </row>
    <row r="8" spans="1:13" x14ac:dyDescent="0.3">
      <c r="D8" s="5" t="s">
        <v>118</v>
      </c>
      <c r="E8" s="5" t="s">
        <v>118</v>
      </c>
      <c r="F8" s="5" t="s">
        <v>118</v>
      </c>
      <c r="H8" s="1" t="s">
        <v>156</v>
      </c>
      <c r="I8" s="1"/>
      <c r="J8" s="1"/>
      <c r="L8" s="14" t="s">
        <v>19</v>
      </c>
      <c r="M8" s="14"/>
    </row>
    <row r="9" spans="1:13" x14ac:dyDescent="0.3">
      <c r="D9" s="5" t="s">
        <v>119</v>
      </c>
      <c r="E9" s="5" t="s">
        <v>120</v>
      </c>
      <c r="F9" s="5" t="s">
        <v>121</v>
      </c>
      <c r="H9" s="14" t="s">
        <v>19</v>
      </c>
      <c r="I9" s="14"/>
      <c r="L9" s="16" t="str">
        <f>+H11</f>
        <v>Dec. 31, 2021</v>
      </c>
      <c r="M9" s="16" t="str">
        <f>+I11</f>
        <v>Dec. 31, 2020</v>
      </c>
    </row>
    <row r="10" spans="1:13" x14ac:dyDescent="0.3">
      <c r="D10" s="5" t="s">
        <v>18</v>
      </c>
      <c r="E10" s="5" t="str">
        <f>+D10</f>
        <v>Year Ended</v>
      </c>
      <c r="F10" t="str">
        <f>+E10</f>
        <v>Year Ended</v>
      </c>
      <c r="H10" t="str">
        <f>+D10</f>
        <v>Year Ended</v>
      </c>
      <c r="I10" t="str">
        <f>+E10</f>
        <v>Year Ended</v>
      </c>
      <c r="J10" t="str">
        <f>+F10</f>
        <v>Year Ended</v>
      </c>
      <c r="L10" s="80" t="s">
        <v>170</v>
      </c>
      <c r="M10" s="80" t="s">
        <v>170</v>
      </c>
    </row>
    <row r="11" spans="1:13" x14ac:dyDescent="0.3">
      <c r="C11" s="14" t="s">
        <v>141</v>
      </c>
      <c r="D11" s="17" t="str">
        <f>+BSCo1!D9</f>
        <v>Dec. 31, 2021</v>
      </c>
      <c r="E11" s="17" t="str">
        <f>+BSCo1!E9</f>
        <v>Dec. 31, 2020</v>
      </c>
      <c r="F11" s="17" t="s">
        <v>478</v>
      </c>
      <c r="H11" s="17" t="str">
        <f t="shared" ref="H11:J11" si="0">+D11</f>
        <v>Dec. 31, 2021</v>
      </c>
      <c r="I11" s="17" t="str">
        <f t="shared" si="0"/>
        <v>Dec. 31, 2020</v>
      </c>
      <c r="J11" s="17" t="str">
        <f t="shared" si="0"/>
        <v>Dec. 31, 2019</v>
      </c>
      <c r="L11" s="17" t="str">
        <f>+I11</f>
        <v>Dec. 31, 2020</v>
      </c>
      <c r="M11" s="17" t="str">
        <f>+J11</f>
        <v>Dec. 31, 2019</v>
      </c>
    </row>
    <row r="12" spans="1:13" x14ac:dyDescent="0.3">
      <c r="D12" s="8"/>
      <c r="E12" s="8"/>
      <c r="F12" s="8"/>
      <c r="H12" s="6"/>
      <c r="I12" s="6"/>
      <c r="J12" s="6"/>
      <c r="L12" s="6"/>
      <c r="M12" s="6"/>
    </row>
    <row r="13" spans="1:13" x14ac:dyDescent="0.3">
      <c r="A13" t="s">
        <v>51</v>
      </c>
      <c r="D13" s="18">
        <v>257637</v>
      </c>
      <c r="E13" s="18">
        <v>182527</v>
      </c>
      <c r="F13" s="18">
        <v>161857</v>
      </c>
      <c r="H13" s="9">
        <f>D13/D13</f>
        <v>1</v>
      </c>
      <c r="I13" s="9">
        <f>E13/E13</f>
        <v>1</v>
      </c>
      <c r="J13" s="9">
        <f>F13/F13</f>
        <v>1</v>
      </c>
      <c r="K13" s="2" t="s">
        <v>173</v>
      </c>
      <c r="L13" s="9">
        <f>(D13-E13)/E13</f>
        <v>0.41150076427049148</v>
      </c>
      <c r="M13" s="9">
        <f>(E13-F13)/F13</f>
        <v>0.12770532012826136</v>
      </c>
    </row>
    <row r="14" spans="1:13" x14ac:dyDescent="0.3">
      <c r="D14" s="8"/>
      <c r="E14" s="8"/>
      <c r="F14" s="8"/>
      <c r="H14" s="6"/>
      <c r="I14" s="6"/>
      <c r="J14" s="6"/>
      <c r="L14" s="47"/>
      <c r="M14" s="47"/>
    </row>
    <row r="15" spans="1:13" x14ac:dyDescent="0.3">
      <c r="A15" t="s">
        <v>52</v>
      </c>
      <c r="D15" s="8"/>
      <c r="E15" s="8"/>
      <c r="F15" s="8"/>
      <c r="H15" s="6"/>
      <c r="I15" s="6"/>
      <c r="J15" s="6"/>
      <c r="L15" s="47"/>
      <c r="M15" s="47"/>
    </row>
    <row r="16" spans="1:13" x14ac:dyDescent="0.3">
      <c r="B16" t="s">
        <v>53</v>
      </c>
      <c r="D16" s="195">
        <v>110939</v>
      </c>
      <c r="E16" s="195">
        <v>84732</v>
      </c>
      <c r="F16" s="195">
        <v>71896</v>
      </c>
      <c r="H16" s="9">
        <f>D16/D13</f>
        <v>0.43060197099019165</v>
      </c>
      <c r="I16" s="9">
        <f>E16/E13</f>
        <v>0.46421625293792151</v>
      </c>
      <c r="J16" s="9">
        <f>F16/F13</f>
        <v>0.44419456680897335</v>
      </c>
      <c r="L16" s="9">
        <f t="shared" ref="L16:L37" si="1">(D16-E16)/E16</f>
        <v>0.30929282915545486</v>
      </c>
      <c r="M16" s="9">
        <f t="shared" ref="M16:M37" si="2">(E16-F16)/F16</f>
        <v>0.17853566262378992</v>
      </c>
    </row>
    <row r="17" spans="1:17" x14ac:dyDescent="0.3">
      <c r="B17" t="s">
        <v>54</v>
      </c>
      <c r="D17" s="195">
        <v>22912</v>
      </c>
      <c r="E17" s="195">
        <v>17946</v>
      </c>
      <c r="F17" s="195">
        <v>18464</v>
      </c>
      <c r="H17" s="9">
        <f>D17/D13</f>
        <v>8.8931325857699015E-2</v>
      </c>
      <c r="I17" s="9">
        <f>E7/E13</f>
        <v>0</v>
      </c>
      <c r="J17" s="9">
        <f>F17/F13</f>
        <v>0.11407600536275848</v>
      </c>
      <c r="L17" s="9">
        <f t="shared" si="1"/>
        <v>0.27671904602696978</v>
      </c>
      <c r="M17" s="9">
        <f t="shared" si="2"/>
        <v>-2.8054592720970536E-2</v>
      </c>
    </row>
    <row r="18" spans="1:17" x14ac:dyDescent="0.3">
      <c r="B18" t="s">
        <v>55</v>
      </c>
      <c r="D18" s="195">
        <v>31562</v>
      </c>
      <c r="E18" s="195">
        <v>27573</v>
      </c>
      <c r="F18" s="195">
        <v>26018</v>
      </c>
      <c r="H18" s="9">
        <f>D18/D13</f>
        <v>0.12250569599863374</v>
      </c>
      <c r="I18" s="9">
        <f>E18/E13</f>
        <v>0.15106258252203783</v>
      </c>
      <c r="J18" s="9">
        <f>F18/F13</f>
        <v>0.16074683208016954</v>
      </c>
      <c r="L18" s="9">
        <f t="shared" si="1"/>
        <v>0.14467051100714468</v>
      </c>
      <c r="M18" s="9">
        <f t="shared" si="2"/>
        <v>5.9766315627642404E-2</v>
      </c>
    </row>
    <row r="19" spans="1:17" x14ac:dyDescent="0.3">
      <c r="B19" t="s">
        <v>67</v>
      </c>
      <c r="D19" s="195">
        <v>13510</v>
      </c>
      <c r="E19" s="195">
        <v>11052</v>
      </c>
      <c r="F19" s="195">
        <v>9551</v>
      </c>
      <c r="H19" s="9">
        <f>D19/D13</f>
        <v>5.2438120301043716E-2</v>
      </c>
      <c r="I19" s="9">
        <f>E19/E13</f>
        <v>6.0549946035381066E-2</v>
      </c>
      <c r="J19" s="9">
        <f>F19/F13</f>
        <v>5.9008878207306451E-2</v>
      </c>
      <c r="L19" s="9">
        <f t="shared" si="1"/>
        <v>0.22240318494390154</v>
      </c>
      <c r="M19" s="9">
        <f t="shared" si="2"/>
        <v>0.1571563187100827</v>
      </c>
    </row>
    <row r="20" spans="1:17" x14ac:dyDescent="0.3">
      <c r="B20" t="s">
        <v>56</v>
      </c>
      <c r="D20" s="18">
        <v>0</v>
      </c>
      <c r="E20" s="18">
        <v>0</v>
      </c>
      <c r="F20" s="18">
        <v>0</v>
      </c>
      <c r="H20" s="9">
        <f>D20/D13</f>
        <v>0</v>
      </c>
      <c r="I20" s="9">
        <f>E20/E13</f>
        <v>0</v>
      </c>
      <c r="J20" s="9">
        <f>F20/F13</f>
        <v>0</v>
      </c>
      <c r="L20" s="9">
        <v>0</v>
      </c>
      <c r="M20" s="9">
        <v>0</v>
      </c>
    </row>
    <row r="21" spans="1:17" x14ac:dyDescent="0.3">
      <c r="B21" t="s">
        <v>124</v>
      </c>
      <c r="D21" s="19">
        <v>0</v>
      </c>
      <c r="E21" s="19">
        <v>0</v>
      </c>
      <c r="F21" s="200">
        <v>1697</v>
      </c>
      <c r="H21" s="9">
        <f>D21/D13</f>
        <v>0</v>
      </c>
      <c r="I21" s="9">
        <f>E21/E13</f>
        <v>0</v>
      </c>
      <c r="J21" s="9">
        <f>F2/F13</f>
        <v>0</v>
      </c>
      <c r="L21" s="9">
        <v>0</v>
      </c>
      <c r="M21" s="9">
        <f t="shared" si="2"/>
        <v>-1</v>
      </c>
    </row>
    <row r="22" spans="1:17" x14ac:dyDescent="0.3">
      <c r="B22" t="s">
        <v>58</v>
      </c>
      <c r="D22" s="8">
        <f>SUM(D16:D21)</f>
        <v>178923</v>
      </c>
      <c r="E22" s="8">
        <f t="shared" ref="E22:F22" si="3">SUM(E16:E21)</f>
        <v>141303</v>
      </c>
      <c r="F22" s="8">
        <f t="shared" si="3"/>
        <v>127626</v>
      </c>
      <c r="G22" s="199"/>
      <c r="H22" s="9">
        <f>D22/D13</f>
        <v>0.6944771131475681</v>
      </c>
      <c r="I22" s="9">
        <f>E22/E13</f>
        <v>0.77414848214236798</v>
      </c>
      <c r="J22" s="9">
        <f>F22/F13</f>
        <v>0.78851084599368582</v>
      </c>
      <c r="L22" s="9">
        <v>0</v>
      </c>
      <c r="M22" s="9">
        <f t="shared" si="2"/>
        <v>0.10716468431197405</v>
      </c>
    </row>
    <row r="23" spans="1:17" x14ac:dyDescent="0.3">
      <c r="D23" s="10"/>
      <c r="E23" s="10"/>
      <c r="F23" s="10"/>
      <c r="H23" s="6"/>
      <c r="I23" s="6"/>
      <c r="J23" s="6"/>
      <c r="L23" s="47"/>
      <c r="M23" s="47"/>
    </row>
    <row r="24" spans="1:17" x14ac:dyDescent="0.3">
      <c r="A24" t="s">
        <v>61</v>
      </c>
      <c r="D24" s="8">
        <f>+D13-D22</f>
        <v>78714</v>
      </c>
      <c r="E24" s="8">
        <f>+E13-E22</f>
        <v>41224</v>
      </c>
      <c r="F24" s="8">
        <f>+F13-F22</f>
        <v>34231</v>
      </c>
      <c r="H24" s="9">
        <f>D24/D13</f>
        <v>0.3055228868524319</v>
      </c>
      <c r="I24" s="9">
        <f>E24/E13</f>
        <v>0.22585151785763202</v>
      </c>
      <c r="J24" s="9">
        <f>F24/F13</f>
        <v>0.21148915400631421</v>
      </c>
      <c r="L24" s="9">
        <f t="shared" si="1"/>
        <v>0.90942169609935963</v>
      </c>
      <c r="M24" s="9">
        <f t="shared" si="2"/>
        <v>0.20428851041453652</v>
      </c>
      <c r="O24" s="198"/>
      <c r="P24" s="198"/>
      <c r="Q24" s="198"/>
    </row>
    <row r="25" spans="1:17" x14ac:dyDescent="0.3">
      <c r="D25" s="8"/>
      <c r="E25" s="8"/>
      <c r="F25" s="8"/>
      <c r="H25" s="6"/>
      <c r="I25" s="6"/>
      <c r="J25" s="6"/>
      <c r="L25" s="47"/>
      <c r="M25" s="47"/>
    </row>
    <row r="26" spans="1:17" x14ac:dyDescent="0.3">
      <c r="B26" t="s">
        <v>62</v>
      </c>
      <c r="D26" s="193">
        <f>-(12020-346)</f>
        <v>-11674</v>
      </c>
      <c r="E26" s="193">
        <v>-6723</v>
      </c>
      <c r="F26" s="193">
        <f>-(5394-100)</f>
        <v>-5294</v>
      </c>
      <c r="H26" s="9">
        <f>D26/D13</f>
        <v>-4.531181468500254E-2</v>
      </c>
      <c r="I26" s="9">
        <f>E26/E13</f>
        <v>-3.6832906912402E-2</v>
      </c>
      <c r="J26" s="9">
        <f>F26/F13</f>
        <v>-3.2707884119933028E-2</v>
      </c>
      <c r="L26" s="9">
        <f t="shared" si="1"/>
        <v>0.73642719024245129</v>
      </c>
      <c r="M26" s="9">
        <f t="shared" si="2"/>
        <v>0.26992822062712507</v>
      </c>
    </row>
    <row r="27" spans="1:17" x14ac:dyDescent="0.3">
      <c r="B27" t="s">
        <v>136</v>
      </c>
      <c r="D27" s="19">
        <v>-346</v>
      </c>
      <c r="E27" s="19">
        <v>-135</v>
      </c>
      <c r="F27" s="19">
        <v>-100</v>
      </c>
      <c r="H27" s="9">
        <f>E27/E13</f>
        <v>-7.396166046667068E-4</v>
      </c>
      <c r="I27" s="9">
        <f>E27/E13</f>
        <v>-7.396166046667068E-4</v>
      </c>
      <c r="J27" s="9">
        <f>F27/F13</f>
        <v>-6.1782931847247883E-4</v>
      </c>
      <c r="L27" s="9">
        <f t="shared" si="1"/>
        <v>1.5629629629629629</v>
      </c>
      <c r="M27" s="9">
        <f t="shared" si="2"/>
        <v>0.35</v>
      </c>
    </row>
    <row r="28" spans="1:17" x14ac:dyDescent="0.3">
      <c r="A28" t="s">
        <v>59</v>
      </c>
      <c r="D28" s="8">
        <f>+D24-SUM(D26:D27)</f>
        <v>90734</v>
      </c>
      <c r="E28" s="8">
        <f>+E24-SUM(E26:E27)</f>
        <v>48082</v>
      </c>
      <c r="F28" s="8">
        <f>+F24-SUM(F26:F27)</f>
        <v>39625</v>
      </c>
      <c r="G28" s="194"/>
      <c r="H28" s="9">
        <f>D28/D13</f>
        <v>0.35217767634307184</v>
      </c>
      <c r="I28" s="9">
        <f>E28/E13</f>
        <v>0.26342404137470071</v>
      </c>
      <c r="J28" s="9">
        <f>F28/F13</f>
        <v>0.24481486744471972</v>
      </c>
      <c r="L28" s="9">
        <f t="shared" si="1"/>
        <v>0.88706792562705383</v>
      </c>
      <c r="M28" s="9">
        <f t="shared" si="2"/>
        <v>0.21342586750788645</v>
      </c>
    </row>
    <row r="29" spans="1:17" x14ac:dyDescent="0.3">
      <c r="D29" s="8"/>
      <c r="E29" s="8"/>
      <c r="F29" s="8"/>
      <c r="H29" s="6"/>
      <c r="I29" s="6"/>
      <c r="J29" s="6"/>
      <c r="L29" s="47"/>
      <c r="M29" s="47"/>
    </row>
    <row r="30" spans="1:17" x14ac:dyDescent="0.3">
      <c r="B30" t="s">
        <v>60</v>
      </c>
      <c r="D30" s="19">
        <v>14701</v>
      </c>
      <c r="E30" s="19">
        <v>7813</v>
      </c>
      <c r="F30" s="19">
        <v>5282</v>
      </c>
      <c r="H30" s="9">
        <f>D30/D13</f>
        <v>5.7060903519292647E-2</v>
      </c>
      <c r="I30" s="9">
        <f>E30/E13</f>
        <v>4.2804626164896151E-2</v>
      </c>
      <c r="J30" s="9">
        <f>F30/F13</f>
        <v>3.2633744601716329E-2</v>
      </c>
      <c r="L30" s="9">
        <f t="shared" si="1"/>
        <v>0.88160757711506466</v>
      </c>
      <c r="M30" s="9">
        <f t="shared" si="2"/>
        <v>0.47917455509276791</v>
      </c>
    </row>
    <row r="31" spans="1:17" ht="13.95" customHeight="1" x14ac:dyDescent="0.3">
      <c r="A31" t="s">
        <v>138</v>
      </c>
      <c r="D31" s="8">
        <f>+D28-D30</f>
        <v>76033</v>
      </c>
      <c r="E31" s="8">
        <f t="shared" ref="E31:F31" si="4">+E28-E30</f>
        <v>40269</v>
      </c>
      <c r="F31" s="8">
        <f t="shared" si="4"/>
        <v>34343</v>
      </c>
      <c r="H31" s="9">
        <f>D31/D13</f>
        <v>0.29511677282377918</v>
      </c>
      <c r="I31" s="9">
        <f>E31/E13</f>
        <v>0.22061941520980458</v>
      </c>
      <c r="J31" s="9">
        <f>F31/F13</f>
        <v>0.21218112284300339</v>
      </c>
      <c r="L31" s="9">
        <f t="shared" si="1"/>
        <v>0.88812734361419454</v>
      </c>
      <c r="M31" s="9">
        <f t="shared" si="2"/>
        <v>0.17255335876306671</v>
      </c>
    </row>
    <row r="32" spans="1:17" x14ac:dyDescent="0.3">
      <c r="D32" s="8"/>
      <c r="E32" s="8"/>
      <c r="F32" s="8"/>
      <c r="H32" s="6"/>
      <c r="I32" s="6"/>
      <c r="J32" s="6"/>
      <c r="L32" s="47"/>
      <c r="M32" s="47"/>
    </row>
    <row r="33" spans="1:13" x14ac:dyDescent="0.3">
      <c r="A33" t="s">
        <v>139</v>
      </c>
      <c r="D33" s="19">
        <v>0</v>
      </c>
      <c r="E33" s="19">
        <v>0</v>
      </c>
      <c r="F33" s="19">
        <v>0</v>
      </c>
      <c r="H33" s="9">
        <f>D33/D13</f>
        <v>0</v>
      </c>
      <c r="I33" s="9">
        <f>E33/E13</f>
        <v>0</v>
      </c>
      <c r="J33" s="9">
        <f>F33/F13</f>
        <v>0</v>
      </c>
      <c r="L33" s="9"/>
      <c r="M33" s="9"/>
    </row>
    <row r="34" spans="1:13" x14ac:dyDescent="0.3">
      <c r="A34" t="s">
        <v>209</v>
      </c>
      <c r="D34" s="46">
        <f>+D31-D33</f>
        <v>76033</v>
      </c>
      <c r="E34" s="46">
        <f t="shared" ref="E34:F34" si="5">+E31-E33</f>
        <v>40269</v>
      </c>
      <c r="F34" s="46">
        <f t="shared" si="5"/>
        <v>34343</v>
      </c>
      <c r="H34" s="47"/>
      <c r="I34" s="47"/>
      <c r="J34" s="47"/>
      <c r="L34" s="9">
        <f t="shared" si="1"/>
        <v>0.88812734361419454</v>
      </c>
      <c r="M34" s="9">
        <f t="shared" si="2"/>
        <v>0.17255335876306671</v>
      </c>
    </row>
    <row r="35" spans="1:13" x14ac:dyDescent="0.3">
      <c r="D35" s="46"/>
      <c r="E35" s="46"/>
      <c r="F35" s="46"/>
      <c r="H35" s="47"/>
      <c r="I35" s="47"/>
      <c r="J35" s="47"/>
      <c r="L35" s="47"/>
      <c r="M35" s="47"/>
    </row>
    <row r="36" spans="1:13" x14ac:dyDescent="0.3">
      <c r="A36" t="s">
        <v>210</v>
      </c>
      <c r="D36" s="19">
        <v>0</v>
      </c>
      <c r="E36" s="19">
        <v>0</v>
      </c>
      <c r="F36" s="19">
        <v>0</v>
      </c>
      <c r="H36" s="9">
        <f>D36/D13</f>
        <v>0</v>
      </c>
      <c r="I36" s="9">
        <f>E36/E13</f>
        <v>0</v>
      </c>
      <c r="J36" s="9">
        <f>F36/F13</f>
        <v>0</v>
      </c>
      <c r="L36" s="9">
        <v>0</v>
      </c>
      <c r="M36" s="9">
        <v>0</v>
      </c>
    </row>
    <row r="37" spans="1:13" x14ac:dyDescent="0.3">
      <c r="A37" t="s">
        <v>64</v>
      </c>
      <c r="D37" s="8">
        <f>+D34-D36</f>
        <v>76033</v>
      </c>
      <c r="E37" s="8">
        <f t="shared" ref="E37:F37" si="6">+E34-E36</f>
        <v>40269</v>
      </c>
      <c r="F37" s="8">
        <f t="shared" si="6"/>
        <v>34343</v>
      </c>
      <c r="H37" s="9">
        <f>D37/D13</f>
        <v>0.29511677282377918</v>
      </c>
      <c r="I37" s="9">
        <f>E37/E13</f>
        <v>0.22061941520980458</v>
      </c>
      <c r="J37" s="9">
        <f>F37/F13</f>
        <v>0.21218112284300339</v>
      </c>
      <c r="L37" s="9">
        <f t="shared" si="1"/>
        <v>0.88812734361419454</v>
      </c>
      <c r="M37" s="9">
        <f t="shared" si="2"/>
        <v>0.17255335876306671</v>
      </c>
    </row>
    <row r="38" spans="1:13" x14ac:dyDescent="0.3">
      <c r="D38" s="8"/>
      <c r="E38" s="8"/>
      <c r="F38" s="8"/>
      <c r="H38" s="6"/>
      <c r="I38" s="6"/>
      <c r="J38" s="6"/>
      <c r="L38" s="6"/>
      <c r="M38" s="6"/>
    </row>
    <row r="39" spans="1:13" x14ac:dyDescent="0.3">
      <c r="D39" s="8"/>
      <c r="E39" s="8"/>
      <c r="F39" s="8"/>
      <c r="H39" s="6"/>
      <c r="I39" s="6"/>
      <c r="J39" s="6"/>
      <c r="L39" s="6"/>
      <c r="M39" s="6"/>
    </row>
    <row r="40" spans="1:13" x14ac:dyDescent="0.3">
      <c r="A40" t="s">
        <v>65</v>
      </c>
      <c r="D40" s="8"/>
      <c r="E40" s="8"/>
      <c r="F40" s="8"/>
      <c r="H40" s="6"/>
      <c r="I40" s="6"/>
      <c r="J40" s="6"/>
      <c r="L40" s="6"/>
      <c r="M40" s="6"/>
    </row>
    <row r="41" spans="1:13" x14ac:dyDescent="0.3">
      <c r="A41" t="s">
        <v>68</v>
      </c>
      <c r="D41" s="8"/>
      <c r="E41" s="8"/>
      <c r="F41" s="8"/>
      <c r="H41" s="6"/>
      <c r="I41" s="6"/>
      <c r="J41" s="6"/>
      <c r="L41" s="6"/>
      <c r="M41" s="6"/>
    </row>
    <row r="42" spans="1:13" x14ac:dyDescent="0.3">
      <c r="D42" s="8"/>
      <c r="E42" s="8"/>
      <c r="F42" s="8"/>
      <c r="H42" s="6"/>
      <c r="I42" s="6"/>
      <c r="J42" s="6"/>
      <c r="L42" s="6"/>
      <c r="M42" s="6"/>
    </row>
    <row r="43" spans="1:13" x14ac:dyDescent="0.3">
      <c r="D43" s="8"/>
      <c r="E43" s="8"/>
      <c r="F43" s="8"/>
      <c r="H43" s="6"/>
      <c r="I43" s="6"/>
      <c r="J43" s="6"/>
      <c r="L43" s="6"/>
      <c r="M43" s="6"/>
    </row>
    <row r="44" spans="1:13" x14ac:dyDescent="0.3">
      <c r="D44" s="8"/>
      <c r="E44" s="8"/>
      <c r="F44" s="8"/>
      <c r="H44" s="6"/>
      <c r="I44" s="6"/>
      <c r="J44" s="6"/>
      <c r="L44" s="6"/>
      <c r="M44" s="6"/>
    </row>
    <row r="45" spans="1:13" x14ac:dyDescent="0.3">
      <c r="D45" s="8"/>
      <c r="E45" s="8"/>
      <c r="F45" s="8"/>
      <c r="L45" s="6"/>
      <c r="M45" s="6"/>
    </row>
    <row r="46" spans="1:13" x14ac:dyDescent="0.3">
      <c r="D46" s="8"/>
      <c r="E46" s="8"/>
      <c r="F46" s="8"/>
      <c r="L46" s="6"/>
      <c r="M46" s="6"/>
    </row>
    <row r="47" spans="1:13" x14ac:dyDescent="0.3">
      <c r="D47" s="8"/>
      <c r="E47" s="8"/>
      <c r="F47" s="8"/>
      <c r="L47" s="6"/>
      <c r="M47" s="6"/>
    </row>
    <row r="48" spans="1:13" x14ac:dyDescent="0.3">
      <c r="D48" s="8"/>
      <c r="E48" s="8"/>
      <c r="F48" s="8"/>
      <c r="L48" s="6"/>
      <c r="M48" s="6"/>
    </row>
    <row r="49" spans="4:13" x14ac:dyDescent="0.3">
      <c r="D49" s="8"/>
      <c r="E49" s="8"/>
      <c r="F49" s="8"/>
      <c r="L49" s="6"/>
      <c r="M49" s="6"/>
    </row>
    <row r="50" spans="4:13" x14ac:dyDescent="0.3">
      <c r="D50" s="8"/>
      <c r="E50" s="8"/>
      <c r="F50" s="8"/>
      <c r="L50" s="6"/>
      <c r="M50" s="6"/>
    </row>
    <row r="51" spans="4:13" x14ac:dyDescent="0.3">
      <c r="D51" s="8"/>
      <c r="E51" s="8"/>
      <c r="F51" s="8"/>
      <c r="L51" s="6"/>
      <c r="M51" s="6"/>
    </row>
    <row r="52" spans="4:13" x14ac:dyDescent="0.3">
      <c r="D52" s="8"/>
      <c r="E52" s="8"/>
      <c r="F52" s="8"/>
      <c r="L52" s="6"/>
      <c r="M52" s="6"/>
    </row>
    <row r="53" spans="4:13" x14ac:dyDescent="0.3">
      <c r="D53" s="8"/>
      <c r="E53" s="8"/>
      <c r="F53" s="8"/>
      <c r="L53" s="6"/>
      <c r="M53" s="6"/>
    </row>
    <row r="54" spans="4:13" x14ac:dyDescent="0.3">
      <c r="D54" s="8"/>
      <c r="E54" s="8"/>
      <c r="F54" s="8"/>
      <c r="L54" s="6"/>
      <c r="M54" s="6"/>
    </row>
    <row r="55" spans="4:13" x14ac:dyDescent="0.3">
      <c r="D55" s="8"/>
      <c r="E55" s="8"/>
      <c r="F55" s="8"/>
    </row>
    <row r="56" spans="4:13" x14ac:dyDescent="0.3">
      <c r="D56" s="8"/>
      <c r="E56" s="8"/>
      <c r="F56" s="8"/>
    </row>
    <row r="57" spans="4:13" x14ac:dyDescent="0.3">
      <c r="D57" s="8"/>
      <c r="E57" s="8"/>
      <c r="F57" s="8"/>
    </row>
    <row r="58" spans="4:13" x14ac:dyDescent="0.3">
      <c r="D58" s="8"/>
      <c r="E58" s="8"/>
      <c r="F58" s="8"/>
    </row>
    <row r="59" spans="4:13" x14ac:dyDescent="0.3">
      <c r="D59" s="8"/>
      <c r="E59" s="8"/>
      <c r="F59" s="8"/>
    </row>
    <row r="60" spans="4:13" x14ac:dyDescent="0.3">
      <c r="D60" s="8"/>
      <c r="E60" s="8"/>
      <c r="F60" s="8"/>
    </row>
    <row r="61" spans="4:13" x14ac:dyDescent="0.3">
      <c r="D61" s="8"/>
      <c r="E61" s="8"/>
      <c r="F61" s="8"/>
    </row>
    <row r="62" spans="4:13" x14ac:dyDescent="0.3">
      <c r="D62" s="8"/>
      <c r="E62" s="8"/>
      <c r="F62" s="8"/>
    </row>
    <row r="63" spans="4:13" x14ac:dyDescent="0.3">
      <c r="D63" s="8"/>
      <c r="E63" s="8"/>
      <c r="F63" s="8"/>
    </row>
    <row r="64" spans="4:13" x14ac:dyDescent="0.3">
      <c r="D64" s="8"/>
      <c r="E64" s="8"/>
      <c r="F64" s="8"/>
    </row>
    <row r="65" spans="4:6" x14ac:dyDescent="0.3">
      <c r="D65" s="8"/>
      <c r="E65" s="8"/>
      <c r="F65" s="8"/>
    </row>
    <row r="66" spans="4:6" x14ac:dyDescent="0.3">
      <c r="D66" s="8"/>
      <c r="E66" s="8"/>
      <c r="F66" s="8"/>
    </row>
    <row r="67" spans="4:6" x14ac:dyDescent="0.3">
      <c r="D67" s="8"/>
      <c r="E67" s="8"/>
      <c r="F67" s="8"/>
    </row>
    <row r="68" spans="4:6" x14ac:dyDescent="0.3">
      <c r="D68" s="8"/>
      <c r="E68" s="8"/>
      <c r="F68" s="8"/>
    </row>
    <row r="69" spans="4:6" x14ac:dyDescent="0.3">
      <c r="D69" s="8"/>
      <c r="E69" s="8"/>
      <c r="F69" s="8"/>
    </row>
    <row r="70" spans="4:6" x14ac:dyDescent="0.3">
      <c r="D70" s="8"/>
      <c r="E70" s="8"/>
      <c r="F70" s="8"/>
    </row>
  </sheetData>
  <pageMargins left="0.7" right="0.7" top="0.75" bottom="0.75" header="0.3" footer="0.3"/>
  <pageSetup scale="7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5EB6A-2B64-4B3D-9AC6-CBB28D31ADB8}">
  <sheetPr>
    <tabColor rgb="FFFFC000"/>
    <pageSetUpPr fitToPage="1"/>
  </sheetPr>
  <dimension ref="A1:L47"/>
  <sheetViews>
    <sheetView zoomScale="85" zoomScaleNormal="85" workbookViewId="0">
      <pane xSplit="3" ySplit="11" topLeftCell="D13" activePane="bottomRight" state="frozen"/>
      <selection pane="topRight" activeCell="D1" sqref="D1"/>
      <selection pane="bottomLeft" activeCell="A11" sqref="A11"/>
      <selection pane="bottomRight" activeCell="H13" sqref="H13"/>
    </sheetView>
  </sheetViews>
  <sheetFormatPr defaultRowHeight="14.4" x14ac:dyDescent="0.3"/>
  <cols>
    <col min="2" max="2" width="29.5546875" customWidth="1"/>
    <col min="3" max="3" width="17.33203125" customWidth="1"/>
    <col min="4" max="6" width="10.6640625" customWidth="1"/>
    <col min="8" max="9" width="11.6640625" customWidth="1"/>
  </cols>
  <sheetData>
    <row r="1" spans="1:9" x14ac:dyDescent="0.3">
      <c r="A1" t="s">
        <v>70</v>
      </c>
    </row>
    <row r="2" spans="1:9" ht="18" x14ac:dyDescent="0.35">
      <c r="A2" s="13" t="s">
        <v>1</v>
      </c>
      <c r="C2" t="str">
        <f>+BSCo1!C2</f>
        <v>Alphabet</v>
      </c>
      <c r="D2" s="14" t="s">
        <v>50</v>
      </c>
      <c r="E2" s="15"/>
    </row>
    <row r="4" spans="1:9" ht="18" x14ac:dyDescent="0.35">
      <c r="A4" s="13" t="s">
        <v>45</v>
      </c>
      <c r="B4" s="1"/>
      <c r="C4" s="1"/>
      <c r="D4" s="1"/>
      <c r="E4" s="1"/>
    </row>
    <row r="5" spans="1:9" x14ac:dyDescent="0.3">
      <c r="A5" s="1" t="s">
        <v>153</v>
      </c>
      <c r="B5" s="1"/>
      <c r="C5" s="1"/>
      <c r="D5" s="1"/>
      <c r="E5" s="1"/>
    </row>
    <row r="6" spans="1:9" x14ac:dyDescent="0.3">
      <c r="A6" s="1"/>
      <c r="B6" s="1"/>
      <c r="C6" s="1"/>
      <c r="D6" s="1"/>
      <c r="E6" s="1"/>
    </row>
    <row r="7" spans="1:9" x14ac:dyDescent="0.3">
      <c r="D7" s="5" t="s">
        <v>118</v>
      </c>
      <c r="E7" s="5" t="s">
        <v>118</v>
      </c>
      <c r="F7" s="5" t="s">
        <v>118</v>
      </c>
      <c r="H7" s="1" t="s">
        <v>191</v>
      </c>
      <c r="I7" s="1"/>
    </row>
    <row r="8" spans="1:9" x14ac:dyDescent="0.3">
      <c r="D8" s="5" t="s">
        <v>119</v>
      </c>
      <c r="E8" s="5" t="s">
        <v>120</v>
      </c>
      <c r="F8" s="5" t="s">
        <v>121</v>
      </c>
      <c r="H8" s="14" t="s">
        <v>19</v>
      </c>
      <c r="I8" s="15"/>
    </row>
    <row r="9" spans="1:9" x14ac:dyDescent="0.3">
      <c r="D9" s="5" t="s">
        <v>18</v>
      </c>
      <c r="E9" s="5" t="str">
        <f>+D9</f>
        <v>Year Ended</v>
      </c>
      <c r="F9" t="str">
        <f>+E9</f>
        <v>Year Ended</v>
      </c>
      <c r="H9" s="16" t="str">
        <f>+D10</f>
        <v>Dec. 31, 2021</v>
      </c>
      <c r="I9" s="16" t="str">
        <f>+E10</f>
        <v>Dec. 31, 2020</v>
      </c>
    </row>
    <row r="10" spans="1:9" x14ac:dyDescent="0.3">
      <c r="C10" s="14" t="s">
        <v>140</v>
      </c>
      <c r="D10" s="17" t="str">
        <f>+ISCo1!D11</f>
        <v>Dec. 31, 2021</v>
      </c>
      <c r="E10" s="17" t="str">
        <f>+ISCo1!E11</f>
        <v>Dec. 31, 2020</v>
      </c>
      <c r="F10" s="17" t="str">
        <f>+ISCo1!F11</f>
        <v>Dec. 31, 2019</v>
      </c>
      <c r="G10" s="16"/>
      <c r="H10" s="17" t="str">
        <f>+E10</f>
        <v>Dec. 31, 2020</v>
      </c>
      <c r="I10" s="17" t="str">
        <f>+F10</f>
        <v>Dec. 31, 2019</v>
      </c>
    </row>
    <row r="12" spans="1:9" x14ac:dyDescent="0.3">
      <c r="A12" s="3" t="s">
        <v>80</v>
      </c>
      <c r="B12" s="3"/>
      <c r="D12" s="8"/>
      <c r="E12" s="8"/>
      <c r="F12" s="8"/>
    </row>
    <row r="13" spans="1:9" x14ac:dyDescent="0.3">
      <c r="B13" t="s">
        <v>63</v>
      </c>
      <c r="D13" s="8">
        <f>+ISCo1!D34</f>
        <v>76033</v>
      </c>
      <c r="E13" s="8">
        <f>+ISCo1!E34</f>
        <v>40269</v>
      </c>
      <c r="F13" s="8">
        <f>+ISCo1!F34</f>
        <v>34343</v>
      </c>
      <c r="H13" s="9">
        <f>(D13-E13)/E13</f>
        <v>0.88812734361419454</v>
      </c>
      <c r="I13" s="9">
        <f>(E13-F13)/F13</f>
        <v>0.17255335876306671</v>
      </c>
    </row>
    <row r="14" spans="1:9" x14ac:dyDescent="0.3">
      <c r="B14" t="s">
        <v>69</v>
      </c>
      <c r="D14" s="18">
        <v>12441</v>
      </c>
      <c r="E14" s="18">
        <v>13697</v>
      </c>
      <c r="F14" s="18">
        <v>11781</v>
      </c>
      <c r="H14" s="9">
        <f t="shared" ref="H14:H39" si="0">(D14-E14)/E14</f>
        <v>-9.1698912170548291E-2</v>
      </c>
      <c r="I14" s="9">
        <f t="shared" ref="I14:I39" si="1">(E14-F14)/F14</f>
        <v>0.16263475087004498</v>
      </c>
    </row>
    <row r="15" spans="1:9" x14ac:dyDescent="0.3">
      <c r="B15" t="s">
        <v>92</v>
      </c>
      <c r="D15" s="18">
        <v>15376</v>
      </c>
      <c r="E15" s="18">
        <v>12991</v>
      </c>
      <c r="F15" s="18">
        <v>10794</v>
      </c>
      <c r="H15" s="9">
        <f t="shared" si="0"/>
        <v>0.18358863828804556</v>
      </c>
      <c r="I15" s="9">
        <f t="shared" si="1"/>
        <v>0.20353900314989809</v>
      </c>
    </row>
    <row r="16" spans="1:9" x14ac:dyDescent="0.3">
      <c r="B16" t="s">
        <v>76</v>
      </c>
      <c r="D16" s="19">
        <v>-12198</v>
      </c>
      <c r="E16" s="19">
        <v>-1833</v>
      </c>
      <c r="F16" s="19">
        <v>-2398</v>
      </c>
      <c r="H16" s="9">
        <f t="shared" si="0"/>
        <v>5.6546644844517182</v>
      </c>
      <c r="I16" s="9">
        <f t="shared" si="1"/>
        <v>-0.23561301084236863</v>
      </c>
    </row>
    <row r="17" spans="1:12" x14ac:dyDescent="0.3">
      <c r="B17" s="1" t="s">
        <v>71</v>
      </c>
      <c r="D17" s="8">
        <f>SUM(D13:D16)</f>
        <v>91652</v>
      </c>
      <c r="E17" s="8">
        <f t="shared" ref="E17:F17" si="2">SUM(E13:E16)</f>
        <v>65124</v>
      </c>
      <c r="F17" s="8">
        <f t="shared" si="2"/>
        <v>54520</v>
      </c>
      <c r="H17" s="9">
        <f t="shared" si="0"/>
        <v>0.40734598611878875</v>
      </c>
      <c r="I17" s="9">
        <f t="shared" si="1"/>
        <v>0.19449743213499635</v>
      </c>
    </row>
    <row r="18" spans="1:12" x14ac:dyDescent="0.3">
      <c r="D18" s="8"/>
      <c r="E18" s="8"/>
      <c r="F18" s="8"/>
      <c r="H18" s="47"/>
      <c r="I18" s="47"/>
    </row>
    <row r="19" spans="1:12" x14ac:dyDescent="0.3">
      <c r="A19" s="3" t="s">
        <v>79</v>
      </c>
      <c r="B19" s="3"/>
      <c r="D19" s="8"/>
      <c r="E19" s="8"/>
      <c r="F19" s="8"/>
      <c r="H19" s="47"/>
      <c r="I19" s="47"/>
    </row>
    <row r="20" spans="1:12" x14ac:dyDescent="0.3">
      <c r="B20" t="s">
        <v>72</v>
      </c>
      <c r="D20" s="18">
        <v>-138034</v>
      </c>
      <c r="E20" s="18">
        <v>-143751</v>
      </c>
      <c r="F20" s="18">
        <v>-102247</v>
      </c>
      <c r="H20" s="9">
        <f t="shared" si="0"/>
        <v>-3.9770158120639158E-2</v>
      </c>
      <c r="I20" s="9">
        <f t="shared" si="1"/>
        <v>0.40591900006846166</v>
      </c>
    </row>
    <row r="21" spans="1:12" x14ac:dyDescent="0.3">
      <c r="B21" t="s">
        <v>73</v>
      </c>
      <c r="D21" s="201">
        <v>129228</v>
      </c>
      <c r="E21" s="18">
        <v>133929</v>
      </c>
      <c r="F21" s="18">
        <v>98230</v>
      </c>
      <c r="H21" s="9">
        <f t="shared" si="0"/>
        <v>-3.5100687677799433E-2</v>
      </c>
      <c r="I21" s="9">
        <f t="shared" si="1"/>
        <v>0.36342257965998165</v>
      </c>
    </row>
    <row r="22" spans="1:12" x14ac:dyDescent="0.3">
      <c r="B22" t="s">
        <v>185</v>
      </c>
      <c r="D22" s="195">
        <v>-24640</v>
      </c>
      <c r="E22" s="195">
        <v>-22281</v>
      </c>
      <c r="F22" s="195">
        <v>-23548</v>
      </c>
      <c r="H22" s="9">
        <f t="shared" si="0"/>
        <v>0.10587496072887213</v>
      </c>
      <c r="I22" s="9">
        <f t="shared" si="1"/>
        <v>-5.3804994054696791E-2</v>
      </c>
    </row>
    <row r="23" spans="1:12" x14ac:dyDescent="0.3">
      <c r="B23" t="s">
        <v>75</v>
      </c>
      <c r="D23" s="18">
        <v>-2618</v>
      </c>
      <c r="E23" s="18">
        <v>-738</v>
      </c>
      <c r="F23" s="18">
        <v>-2515</v>
      </c>
      <c r="H23" s="9">
        <f t="shared" si="0"/>
        <v>2.5474254742547426</v>
      </c>
      <c r="I23" s="9">
        <f t="shared" si="1"/>
        <v>-0.70656063618290255</v>
      </c>
    </row>
    <row r="24" spans="1:12" x14ac:dyDescent="0.3">
      <c r="B24" t="s">
        <v>74</v>
      </c>
      <c r="D24" s="18">
        <v>0</v>
      </c>
      <c r="E24" s="18">
        <v>0</v>
      </c>
      <c r="F24" s="18">
        <v>0</v>
      </c>
      <c r="H24" s="9">
        <v>0</v>
      </c>
      <c r="I24" s="9">
        <v>0</v>
      </c>
    </row>
    <row r="25" spans="1:12" x14ac:dyDescent="0.3">
      <c r="B25" t="s">
        <v>76</v>
      </c>
      <c r="D25" s="19">
        <v>541</v>
      </c>
      <c r="E25" s="19">
        <v>68</v>
      </c>
      <c r="F25" s="19">
        <v>589</v>
      </c>
      <c r="H25" s="9">
        <f t="shared" si="0"/>
        <v>6.9558823529411766</v>
      </c>
      <c r="I25" s="9">
        <f t="shared" si="1"/>
        <v>-0.88455008488964348</v>
      </c>
    </row>
    <row r="26" spans="1:12" x14ac:dyDescent="0.3">
      <c r="B26" s="1" t="s">
        <v>77</v>
      </c>
      <c r="D26" s="8">
        <f>SUM(D20:D25)</f>
        <v>-35523</v>
      </c>
      <c r="E26" s="8">
        <f t="shared" ref="E26:F26" si="3">SUM(E20:E25)</f>
        <v>-32773</v>
      </c>
      <c r="F26" s="8">
        <f t="shared" si="3"/>
        <v>-29491</v>
      </c>
      <c r="H26" s="9">
        <f t="shared" si="0"/>
        <v>8.3910536112043452E-2</v>
      </c>
      <c r="I26" s="9">
        <f t="shared" si="1"/>
        <v>0.11128818961717134</v>
      </c>
    </row>
    <row r="27" spans="1:12" x14ac:dyDescent="0.3">
      <c r="D27" s="8"/>
      <c r="E27" s="8"/>
      <c r="F27" s="8"/>
      <c r="H27" s="47"/>
      <c r="I27" s="47"/>
    </row>
    <row r="28" spans="1:12" x14ac:dyDescent="0.3">
      <c r="A28" s="3" t="s">
        <v>78</v>
      </c>
      <c r="D28" s="8"/>
      <c r="E28" s="8"/>
      <c r="F28" s="8"/>
      <c r="H28" s="47"/>
      <c r="I28" s="47"/>
    </row>
    <row r="29" spans="1:12" x14ac:dyDescent="0.3">
      <c r="B29" t="s">
        <v>81</v>
      </c>
      <c r="D29" s="18">
        <v>0</v>
      </c>
      <c r="E29" s="18">
        <v>0</v>
      </c>
      <c r="F29" s="18">
        <v>0</v>
      </c>
      <c r="H29" s="9">
        <v>0</v>
      </c>
      <c r="I29" s="9">
        <v>0</v>
      </c>
    </row>
    <row r="30" spans="1:12" x14ac:dyDescent="0.3">
      <c r="B30" t="s">
        <v>82</v>
      </c>
      <c r="D30" s="195">
        <v>-50274</v>
      </c>
      <c r="E30" s="195">
        <v>-31149</v>
      </c>
      <c r="F30" s="195">
        <v>-18396</v>
      </c>
      <c r="H30" s="9">
        <f t="shared" si="0"/>
        <v>0.61398439757295575</v>
      </c>
      <c r="I30" s="9">
        <f t="shared" si="1"/>
        <v>0.69324853228962813</v>
      </c>
      <c r="L30" s="202"/>
    </row>
    <row r="31" spans="1:12" x14ac:dyDescent="0.3">
      <c r="B31" t="s">
        <v>137</v>
      </c>
      <c r="D31" s="195">
        <v>-10162</v>
      </c>
      <c r="E31" s="195">
        <v>-5720</v>
      </c>
      <c r="F31" s="195">
        <v>-4765</v>
      </c>
      <c r="H31" s="9">
        <f t="shared" si="0"/>
        <v>0.77657342657342654</v>
      </c>
      <c r="I31" s="9">
        <f t="shared" si="1"/>
        <v>0.20041972717733472</v>
      </c>
    </row>
    <row r="32" spans="1:12" x14ac:dyDescent="0.3">
      <c r="B32" t="s">
        <v>83</v>
      </c>
      <c r="D32" s="195">
        <v>20199</v>
      </c>
      <c r="E32" s="195">
        <v>11761</v>
      </c>
      <c r="F32" s="195">
        <v>317</v>
      </c>
      <c r="H32" s="9">
        <f t="shared" si="0"/>
        <v>0.71745599863957144</v>
      </c>
      <c r="I32" s="9">
        <f t="shared" si="1"/>
        <v>36.100946372239747</v>
      </c>
    </row>
    <row r="33" spans="1:9" x14ac:dyDescent="0.3">
      <c r="B33" t="s">
        <v>84</v>
      </c>
      <c r="D33" s="195">
        <v>-21435</v>
      </c>
      <c r="E33" s="195">
        <v>-2100</v>
      </c>
      <c r="F33" s="195">
        <v>-585</v>
      </c>
      <c r="H33" s="9">
        <f t="shared" si="0"/>
        <v>9.2071428571428573</v>
      </c>
      <c r="I33" s="9">
        <f t="shared" si="1"/>
        <v>2.5897435897435899</v>
      </c>
    </row>
    <row r="34" spans="1:9" x14ac:dyDescent="0.3">
      <c r="B34" t="s">
        <v>57</v>
      </c>
      <c r="D34" s="19">
        <v>310</v>
      </c>
      <c r="E34" s="19">
        <v>2800</v>
      </c>
      <c r="F34" s="19">
        <v>220</v>
      </c>
      <c r="G34" s="199"/>
      <c r="H34" s="9">
        <f t="shared" si="0"/>
        <v>-0.88928571428571423</v>
      </c>
      <c r="I34" s="9">
        <f t="shared" si="1"/>
        <v>11.727272727272727</v>
      </c>
    </row>
    <row r="35" spans="1:9" x14ac:dyDescent="0.3">
      <c r="B35" s="1" t="s">
        <v>85</v>
      </c>
      <c r="D35" s="8">
        <f>SUM(D29:D34)</f>
        <v>-61362</v>
      </c>
      <c r="E35" s="8">
        <f t="shared" ref="E35:F35" si="4">SUM(E29:E34)</f>
        <v>-24408</v>
      </c>
      <c r="F35" s="8">
        <f t="shared" si="4"/>
        <v>-23209</v>
      </c>
      <c r="H35" s="9">
        <f t="shared" si="0"/>
        <v>1.5140117994100295</v>
      </c>
      <c r="I35" s="9">
        <f t="shared" si="1"/>
        <v>5.1660993580076697E-2</v>
      </c>
    </row>
    <row r="36" spans="1:9" x14ac:dyDescent="0.3">
      <c r="D36" s="8"/>
      <c r="E36" s="8"/>
      <c r="F36" s="8"/>
      <c r="H36" s="47"/>
      <c r="I36" s="47"/>
    </row>
    <row r="37" spans="1:9" x14ac:dyDescent="0.3">
      <c r="A37" t="s">
        <v>86</v>
      </c>
      <c r="D37" s="193">
        <v>-287</v>
      </c>
      <c r="E37" s="193">
        <v>24</v>
      </c>
      <c r="F37" s="193">
        <v>-23</v>
      </c>
      <c r="H37" s="9">
        <f t="shared" si="0"/>
        <v>-12.958333333333334</v>
      </c>
      <c r="I37" s="9">
        <f t="shared" si="1"/>
        <v>-2.0434782608695654</v>
      </c>
    </row>
    <row r="38" spans="1:9" x14ac:dyDescent="0.3">
      <c r="D38" s="10"/>
      <c r="E38" s="10"/>
      <c r="F38" s="10"/>
      <c r="H38" s="47"/>
      <c r="I38" s="47"/>
    </row>
    <row r="39" spans="1:9" x14ac:dyDescent="0.3">
      <c r="A39" t="s">
        <v>87</v>
      </c>
      <c r="D39" s="8">
        <f>+D17+D26+D35+D37</f>
        <v>-5520</v>
      </c>
      <c r="E39" s="8">
        <f t="shared" ref="E39:F39" si="5">+E17+E26+E35+E37</f>
        <v>7967</v>
      </c>
      <c r="F39" s="8">
        <f t="shared" si="5"/>
        <v>1797</v>
      </c>
      <c r="H39" s="9">
        <f t="shared" si="0"/>
        <v>-1.692858039412577</v>
      </c>
      <c r="I39" s="9">
        <f t="shared" si="1"/>
        <v>3.4335002782415138</v>
      </c>
    </row>
    <row r="40" spans="1:9" x14ac:dyDescent="0.3">
      <c r="D40" s="8"/>
      <c r="E40" s="8"/>
      <c r="F40" s="8"/>
      <c r="H40" s="6"/>
      <c r="I40" s="6"/>
    </row>
    <row r="41" spans="1:9" x14ac:dyDescent="0.3">
      <c r="A41" t="s">
        <v>88</v>
      </c>
      <c r="D41" s="10">
        <f>+E42</f>
        <v>26465</v>
      </c>
      <c r="E41" s="10">
        <f>+F42</f>
        <v>18498</v>
      </c>
      <c r="F41" s="19">
        <v>16701</v>
      </c>
      <c r="H41" s="6"/>
      <c r="I41" s="6"/>
    </row>
    <row r="42" spans="1:9" ht="13.2" customHeight="1" x14ac:dyDescent="0.3">
      <c r="A42" t="s">
        <v>89</v>
      </c>
      <c r="D42" s="8">
        <f>+D39+D41</f>
        <v>20945</v>
      </c>
      <c r="E42" s="8">
        <f t="shared" ref="E42:F42" si="6">+E39+E41</f>
        <v>26465</v>
      </c>
      <c r="F42" s="8">
        <f t="shared" si="6"/>
        <v>18498</v>
      </c>
      <c r="I42" s="6"/>
    </row>
    <row r="43" spans="1:9" ht="13.2" customHeight="1" x14ac:dyDescent="0.3">
      <c r="D43" s="8"/>
      <c r="E43" s="8"/>
      <c r="F43" s="8"/>
      <c r="H43" s="6"/>
      <c r="I43" s="6"/>
    </row>
    <row r="44" spans="1:9" x14ac:dyDescent="0.3">
      <c r="D44" s="8"/>
      <c r="E44" s="8"/>
      <c r="F44" s="8"/>
      <c r="H44" s="6"/>
      <c r="I44" s="6"/>
    </row>
    <row r="45" spans="1:9" x14ac:dyDescent="0.3">
      <c r="A45" s="20" t="s">
        <v>90</v>
      </c>
      <c r="B45" s="20"/>
      <c r="C45" s="20"/>
      <c r="D45" s="12">
        <f>+D13-ISCo1!D37</f>
        <v>0</v>
      </c>
      <c r="E45" s="12">
        <f>+E13-ISCo1!E37</f>
        <v>0</v>
      </c>
      <c r="F45" s="12">
        <f>+F13-ISCo1!F37</f>
        <v>0</v>
      </c>
      <c r="H45" t="s">
        <v>279</v>
      </c>
    </row>
    <row r="46" spans="1:9" x14ac:dyDescent="0.3">
      <c r="A46" s="20" t="s">
        <v>91</v>
      </c>
      <c r="B46" s="20"/>
      <c r="C46" s="20"/>
      <c r="D46" s="12">
        <f>+D42-BSCo1!D10</f>
        <v>0</v>
      </c>
      <c r="E46" s="12">
        <f>+E42-BSCo1!E10</f>
        <v>0</v>
      </c>
      <c r="F46" s="48"/>
      <c r="H46" t="s">
        <v>280</v>
      </c>
    </row>
    <row r="47" spans="1:9" x14ac:dyDescent="0.3">
      <c r="D47" s="8"/>
      <c r="E47" s="8"/>
      <c r="F47" s="8"/>
    </row>
  </sheetData>
  <pageMargins left="0.7" right="0.7" top="0.75" bottom="0.75" header="0.3" footer="0.3"/>
  <pageSetup scale="6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EnterStudentNameAbove</vt:lpstr>
      <vt:lpstr>Rubric</vt:lpstr>
      <vt:lpstr>CoList</vt:lpstr>
      <vt:lpstr>Assgnmt</vt:lpstr>
      <vt:lpstr>Tips and FAQs</vt:lpstr>
      <vt:lpstr>RatioFormulas</vt:lpstr>
      <vt:lpstr>BSCo1</vt:lpstr>
      <vt:lpstr>ISCo1</vt:lpstr>
      <vt:lpstr>CFCo1</vt:lpstr>
      <vt:lpstr>RatioCo1</vt:lpstr>
      <vt:lpstr>10kInsights</vt:lpstr>
      <vt:lpstr>SusGro</vt:lpstr>
      <vt:lpstr>CoRatio</vt:lpstr>
      <vt:lpstr>'10kInsights'!Print_Area</vt:lpstr>
      <vt:lpstr>Assgnmt!Print_Area</vt:lpstr>
      <vt:lpstr>BSCo1!Print_Area</vt:lpstr>
      <vt:lpstr>CFCo1!Print_Area</vt:lpstr>
      <vt:lpstr>CoList!Print_Area</vt:lpstr>
      <vt:lpstr>EnterStudentNameAbove!Print_Area</vt:lpstr>
      <vt:lpstr>ISCo1!Print_Area</vt:lpstr>
      <vt:lpstr>RatioCo1!Print_Area</vt:lpstr>
      <vt:lpstr>RatioFormulas!Print_Area</vt:lpstr>
      <vt:lpstr>Rubric!Print_Area</vt:lpstr>
      <vt:lpstr>SusGro!Print_Area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Learman</dc:creator>
  <cp:lastModifiedBy>Brian Che</cp:lastModifiedBy>
  <cp:lastPrinted>2023-01-11T16:20:20Z</cp:lastPrinted>
  <dcterms:created xsi:type="dcterms:W3CDTF">2021-03-24T15:02:44Z</dcterms:created>
  <dcterms:modified xsi:type="dcterms:W3CDTF">2023-02-25T04:22:24Z</dcterms:modified>
</cp:coreProperties>
</file>