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ohong/Documents/001_SIT/Stevens_Institute_Technology/2016fall/EM_660_Decision_RiskAnalysis/Final_proj/sys660_release/sys660_v2/"/>
    </mc:Choice>
  </mc:AlternateContent>
  <bookViews>
    <workbookView xWindow="1720" yWindow="900" windowWidth="26660" windowHeight="15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2" i="1"/>
  <c r="N3" i="1"/>
  <c r="O3" i="1"/>
  <c r="P3" i="1"/>
  <c r="Q3" i="1"/>
  <c r="R3" i="1"/>
  <c r="S3" i="1"/>
  <c r="T3" i="1"/>
  <c r="U3" i="1"/>
  <c r="V3" i="1"/>
  <c r="N4" i="1"/>
  <c r="O4" i="1"/>
  <c r="P4" i="1"/>
  <c r="Q4" i="1"/>
  <c r="R4" i="1"/>
  <c r="S4" i="1"/>
  <c r="T4" i="1"/>
  <c r="U4" i="1"/>
  <c r="V4" i="1"/>
  <c r="N5" i="1"/>
  <c r="O5" i="1"/>
  <c r="P5" i="1"/>
  <c r="Q5" i="1"/>
  <c r="R5" i="1"/>
  <c r="S5" i="1"/>
  <c r="T5" i="1"/>
  <c r="U5" i="1"/>
  <c r="V5" i="1"/>
  <c r="N6" i="1"/>
  <c r="O6" i="1"/>
  <c r="P6" i="1"/>
  <c r="Q6" i="1"/>
  <c r="R6" i="1"/>
  <c r="S6" i="1"/>
  <c r="T6" i="1"/>
  <c r="U6" i="1"/>
  <c r="V6" i="1"/>
  <c r="N7" i="1"/>
  <c r="O7" i="1"/>
  <c r="P7" i="1"/>
  <c r="Q7" i="1"/>
  <c r="R7" i="1"/>
  <c r="S7" i="1"/>
  <c r="T7" i="1"/>
  <c r="U7" i="1"/>
  <c r="V7" i="1"/>
  <c r="N8" i="1"/>
  <c r="O8" i="1"/>
  <c r="P8" i="1"/>
  <c r="Q8" i="1"/>
  <c r="R8" i="1"/>
  <c r="S8" i="1"/>
  <c r="T8" i="1"/>
  <c r="U8" i="1"/>
  <c r="V8" i="1"/>
  <c r="N9" i="1"/>
  <c r="O9" i="1"/>
  <c r="P9" i="1"/>
  <c r="Q9" i="1"/>
  <c r="R9" i="1"/>
  <c r="S9" i="1"/>
  <c r="T9" i="1"/>
  <c r="U9" i="1"/>
  <c r="V9" i="1"/>
  <c r="N10" i="1"/>
  <c r="O10" i="1"/>
  <c r="P10" i="1"/>
  <c r="Q10" i="1"/>
  <c r="R10" i="1"/>
  <c r="S10" i="1"/>
  <c r="T10" i="1"/>
  <c r="U10" i="1"/>
  <c r="V10" i="1"/>
  <c r="N11" i="1"/>
  <c r="O11" i="1"/>
  <c r="P11" i="1"/>
  <c r="Q11" i="1"/>
  <c r="R11" i="1"/>
  <c r="S11" i="1"/>
  <c r="T11" i="1"/>
  <c r="U11" i="1"/>
  <c r="V11" i="1"/>
  <c r="N12" i="1"/>
  <c r="O12" i="1"/>
  <c r="P12" i="1"/>
  <c r="Q12" i="1"/>
  <c r="R12" i="1"/>
  <c r="S12" i="1"/>
  <c r="T12" i="1"/>
  <c r="U12" i="1"/>
  <c r="V12" i="1"/>
  <c r="N13" i="1"/>
  <c r="O13" i="1"/>
  <c r="P13" i="1"/>
  <c r="Q13" i="1"/>
  <c r="R13" i="1"/>
  <c r="S13" i="1"/>
  <c r="T13" i="1"/>
  <c r="U13" i="1"/>
  <c r="V13" i="1"/>
  <c r="N14" i="1"/>
  <c r="O14" i="1"/>
  <c r="P14" i="1"/>
  <c r="Q14" i="1"/>
  <c r="R14" i="1"/>
  <c r="S14" i="1"/>
  <c r="T14" i="1"/>
  <c r="U14" i="1"/>
  <c r="V14" i="1"/>
  <c r="N15" i="1"/>
  <c r="O15" i="1"/>
  <c r="P15" i="1"/>
  <c r="Q15" i="1"/>
  <c r="R15" i="1"/>
  <c r="S15" i="1"/>
  <c r="T15" i="1"/>
  <c r="U15" i="1"/>
  <c r="V15" i="1"/>
  <c r="N16" i="1"/>
  <c r="O16" i="1"/>
  <c r="P16" i="1"/>
  <c r="Q16" i="1"/>
  <c r="R16" i="1"/>
  <c r="S16" i="1"/>
  <c r="T16" i="1"/>
  <c r="U16" i="1"/>
  <c r="V16" i="1"/>
  <c r="N17" i="1"/>
  <c r="O17" i="1"/>
  <c r="P17" i="1"/>
  <c r="Q17" i="1"/>
  <c r="R17" i="1"/>
  <c r="S17" i="1"/>
  <c r="T17" i="1"/>
  <c r="U17" i="1"/>
  <c r="V17" i="1"/>
  <c r="N18" i="1"/>
  <c r="O18" i="1"/>
  <c r="P18" i="1"/>
  <c r="Q18" i="1"/>
  <c r="R18" i="1"/>
  <c r="S18" i="1"/>
  <c r="T18" i="1"/>
  <c r="U18" i="1"/>
  <c r="V18" i="1"/>
  <c r="N19" i="1"/>
  <c r="O19" i="1"/>
  <c r="P19" i="1"/>
  <c r="Q19" i="1"/>
  <c r="R19" i="1"/>
  <c r="S19" i="1"/>
  <c r="T19" i="1"/>
  <c r="U19" i="1"/>
  <c r="V19" i="1"/>
  <c r="N20" i="1"/>
  <c r="O20" i="1"/>
  <c r="P20" i="1"/>
  <c r="Q20" i="1"/>
  <c r="R20" i="1"/>
  <c r="S20" i="1"/>
  <c r="T20" i="1"/>
  <c r="U20" i="1"/>
  <c r="V20" i="1"/>
  <c r="N21" i="1"/>
  <c r="O21" i="1"/>
  <c r="P21" i="1"/>
  <c r="Q21" i="1"/>
  <c r="R21" i="1"/>
  <c r="S21" i="1"/>
  <c r="T21" i="1"/>
  <c r="U21" i="1"/>
  <c r="V21" i="1"/>
  <c r="N22" i="1"/>
  <c r="O22" i="1"/>
  <c r="P22" i="1"/>
  <c r="Q22" i="1"/>
  <c r="R22" i="1"/>
  <c r="S22" i="1"/>
  <c r="T22" i="1"/>
  <c r="U22" i="1"/>
  <c r="V22" i="1"/>
  <c r="N23" i="1"/>
  <c r="O23" i="1"/>
  <c r="P23" i="1"/>
  <c r="Q23" i="1"/>
  <c r="R23" i="1"/>
  <c r="S23" i="1"/>
  <c r="T23" i="1"/>
  <c r="U23" i="1"/>
  <c r="V23" i="1"/>
  <c r="N24" i="1"/>
  <c r="O24" i="1"/>
  <c r="P24" i="1"/>
  <c r="Q24" i="1"/>
  <c r="R24" i="1"/>
  <c r="S24" i="1"/>
  <c r="T24" i="1"/>
  <c r="U24" i="1"/>
  <c r="V24" i="1"/>
  <c r="N25" i="1"/>
  <c r="O25" i="1"/>
  <c r="P25" i="1"/>
  <c r="Q25" i="1"/>
  <c r="R25" i="1"/>
  <c r="S25" i="1"/>
  <c r="T25" i="1"/>
  <c r="U25" i="1"/>
  <c r="V25" i="1"/>
  <c r="N26" i="1"/>
  <c r="O26" i="1"/>
  <c r="P26" i="1"/>
  <c r="Q26" i="1"/>
  <c r="R26" i="1"/>
  <c r="S26" i="1"/>
  <c r="T26" i="1"/>
  <c r="U26" i="1"/>
  <c r="V26" i="1"/>
  <c r="N27" i="1"/>
  <c r="O27" i="1"/>
  <c r="P27" i="1"/>
  <c r="Q27" i="1"/>
  <c r="R27" i="1"/>
  <c r="S27" i="1"/>
  <c r="T27" i="1"/>
  <c r="U27" i="1"/>
  <c r="V27" i="1"/>
  <c r="N28" i="1"/>
  <c r="O28" i="1"/>
  <c r="P28" i="1"/>
  <c r="Q28" i="1"/>
  <c r="R28" i="1"/>
  <c r="S28" i="1"/>
  <c r="T28" i="1"/>
  <c r="U28" i="1"/>
  <c r="V28" i="1"/>
  <c r="N29" i="1"/>
  <c r="O29" i="1"/>
  <c r="P29" i="1"/>
  <c r="Q29" i="1"/>
  <c r="R29" i="1"/>
  <c r="S29" i="1"/>
  <c r="T29" i="1"/>
  <c r="U29" i="1"/>
  <c r="V29" i="1"/>
  <c r="N30" i="1"/>
  <c r="O30" i="1"/>
  <c r="P30" i="1"/>
  <c r="Q30" i="1"/>
  <c r="R30" i="1"/>
  <c r="S30" i="1"/>
  <c r="T30" i="1"/>
  <c r="U30" i="1"/>
  <c r="V30" i="1"/>
  <c r="N31" i="1"/>
  <c r="O31" i="1"/>
  <c r="P31" i="1"/>
  <c r="Q31" i="1"/>
  <c r="R31" i="1"/>
  <c r="S31" i="1"/>
  <c r="T31" i="1"/>
  <c r="U31" i="1"/>
  <c r="V31" i="1"/>
  <c r="N32" i="1"/>
  <c r="O32" i="1"/>
  <c r="P32" i="1"/>
  <c r="Q32" i="1"/>
  <c r="R32" i="1"/>
  <c r="S32" i="1"/>
  <c r="T32" i="1"/>
  <c r="U32" i="1"/>
  <c r="V32" i="1"/>
  <c r="N33" i="1"/>
  <c r="O33" i="1"/>
  <c r="P33" i="1"/>
  <c r="Q33" i="1"/>
  <c r="R33" i="1"/>
  <c r="S33" i="1"/>
  <c r="T33" i="1"/>
  <c r="U33" i="1"/>
  <c r="V33" i="1"/>
  <c r="N34" i="1"/>
  <c r="O34" i="1"/>
  <c r="P34" i="1"/>
  <c r="Q34" i="1"/>
  <c r="R34" i="1"/>
  <c r="S34" i="1"/>
  <c r="T34" i="1"/>
  <c r="U34" i="1"/>
  <c r="V34" i="1"/>
  <c r="N35" i="1"/>
  <c r="O35" i="1"/>
  <c r="P35" i="1"/>
  <c r="Q35" i="1"/>
  <c r="R35" i="1"/>
  <c r="S35" i="1"/>
  <c r="T35" i="1"/>
  <c r="U35" i="1"/>
  <c r="V35" i="1"/>
  <c r="N36" i="1"/>
  <c r="O36" i="1"/>
  <c r="P36" i="1"/>
  <c r="Q36" i="1"/>
  <c r="R36" i="1"/>
  <c r="S36" i="1"/>
  <c r="T36" i="1"/>
  <c r="U36" i="1"/>
  <c r="V36" i="1"/>
  <c r="N37" i="1"/>
  <c r="O37" i="1"/>
  <c r="P37" i="1"/>
  <c r="Q37" i="1"/>
  <c r="R37" i="1"/>
  <c r="S37" i="1"/>
  <c r="T37" i="1"/>
  <c r="U37" i="1"/>
  <c r="V37" i="1"/>
  <c r="N38" i="1"/>
  <c r="O38" i="1"/>
  <c r="P38" i="1"/>
  <c r="Q38" i="1"/>
  <c r="R38" i="1"/>
  <c r="S38" i="1"/>
  <c r="T38" i="1"/>
  <c r="U38" i="1"/>
  <c r="V38" i="1"/>
  <c r="N39" i="1"/>
  <c r="O39" i="1"/>
  <c r="P39" i="1"/>
  <c r="Q39" i="1"/>
  <c r="R39" i="1"/>
  <c r="S39" i="1"/>
  <c r="T39" i="1"/>
  <c r="U39" i="1"/>
  <c r="V39" i="1"/>
  <c r="N40" i="1"/>
  <c r="O40" i="1"/>
  <c r="P40" i="1"/>
  <c r="Q40" i="1"/>
  <c r="R40" i="1"/>
  <c r="S40" i="1"/>
  <c r="T40" i="1"/>
  <c r="U40" i="1"/>
  <c r="V40" i="1"/>
  <c r="N41" i="1"/>
  <c r="O41" i="1"/>
  <c r="P41" i="1"/>
  <c r="Q41" i="1"/>
  <c r="R41" i="1"/>
  <c r="S41" i="1"/>
  <c r="T41" i="1"/>
  <c r="U41" i="1"/>
  <c r="V41" i="1"/>
  <c r="N42" i="1"/>
  <c r="O42" i="1"/>
  <c r="P42" i="1"/>
  <c r="Q42" i="1"/>
  <c r="R42" i="1"/>
  <c r="S42" i="1"/>
  <c r="T42" i="1"/>
  <c r="U42" i="1"/>
  <c r="V42" i="1"/>
  <c r="N43" i="1"/>
  <c r="O43" i="1"/>
  <c r="P43" i="1"/>
  <c r="Q43" i="1"/>
  <c r="R43" i="1"/>
  <c r="S43" i="1"/>
  <c r="T43" i="1"/>
  <c r="U43" i="1"/>
  <c r="V43" i="1"/>
  <c r="N44" i="1"/>
  <c r="O44" i="1"/>
  <c r="P44" i="1"/>
  <c r="Q44" i="1"/>
  <c r="R44" i="1"/>
  <c r="S44" i="1"/>
  <c r="T44" i="1"/>
  <c r="U44" i="1"/>
  <c r="V44" i="1"/>
  <c r="N45" i="1"/>
  <c r="O45" i="1"/>
  <c r="P45" i="1"/>
  <c r="Q45" i="1"/>
  <c r="R45" i="1"/>
  <c r="S45" i="1"/>
  <c r="T45" i="1"/>
  <c r="U45" i="1"/>
  <c r="V45" i="1"/>
  <c r="N46" i="1"/>
  <c r="O46" i="1"/>
  <c r="P46" i="1"/>
  <c r="Q46" i="1"/>
  <c r="R46" i="1"/>
  <c r="S46" i="1"/>
  <c r="T46" i="1"/>
  <c r="U46" i="1"/>
  <c r="V46" i="1"/>
  <c r="N47" i="1"/>
  <c r="O47" i="1"/>
  <c r="P47" i="1"/>
  <c r="Q47" i="1"/>
  <c r="R47" i="1"/>
  <c r="S47" i="1"/>
  <c r="T47" i="1"/>
  <c r="U47" i="1"/>
  <c r="V47" i="1"/>
  <c r="N48" i="1"/>
  <c r="O48" i="1"/>
  <c r="P48" i="1"/>
  <c r="Q48" i="1"/>
  <c r="R48" i="1"/>
  <c r="S48" i="1"/>
  <c r="T48" i="1"/>
  <c r="U48" i="1"/>
  <c r="V48" i="1"/>
  <c r="N49" i="1"/>
  <c r="O49" i="1"/>
  <c r="P49" i="1"/>
  <c r="Q49" i="1"/>
  <c r="R49" i="1"/>
  <c r="S49" i="1"/>
  <c r="T49" i="1"/>
  <c r="U49" i="1"/>
  <c r="V49" i="1"/>
  <c r="N50" i="1"/>
  <c r="O50" i="1"/>
  <c r="P50" i="1"/>
  <c r="Q50" i="1"/>
  <c r="R50" i="1"/>
  <c r="S50" i="1"/>
  <c r="T50" i="1"/>
  <c r="U50" i="1"/>
  <c r="V50" i="1"/>
  <c r="N51" i="1"/>
  <c r="O51" i="1"/>
  <c r="P51" i="1"/>
  <c r="Q51" i="1"/>
  <c r="R51" i="1"/>
  <c r="S51" i="1"/>
  <c r="T51" i="1"/>
  <c r="U51" i="1"/>
  <c r="V51" i="1"/>
  <c r="N52" i="1"/>
  <c r="O52" i="1"/>
  <c r="P52" i="1"/>
  <c r="Q52" i="1"/>
  <c r="R52" i="1"/>
  <c r="S52" i="1"/>
  <c r="T52" i="1"/>
  <c r="U52" i="1"/>
  <c r="V52" i="1"/>
  <c r="N53" i="1"/>
  <c r="O53" i="1"/>
  <c r="P53" i="1"/>
  <c r="Q53" i="1"/>
  <c r="R53" i="1"/>
  <c r="S53" i="1"/>
  <c r="T53" i="1"/>
  <c r="U53" i="1"/>
  <c r="V53" i="1"/>
  <c r="N54" i="1"/>
  <c r="O54" i="1"/>
  <c r="P54" i="1"/>
  <c r="Q54" i="1"/>
  <c r="R54" i="1"/>
  <c r="S54" i="1"/>
  <c r="T54" i="1"/>
  <c r="U54" i="1"/>
  <c r="V54" i="1"/>
  <c r="O2" i="1"/>
  <c r="P2" i="1"/>
  <c r="Q2" i="1"/>
  <c r="R2" i="1"/>
  <c r="S2" i="1"/>
  <c r="T2" i="1"/>
  <c r="U2" i="1"/>
  <c r="V2" i="1"/>
  <c r="N2" i="1"/>
  <c r="M52" i="1"/>
  <c r="M53" i="1"/>
  <c r="M54" i="1"/>
  <c r="L52" i="1"/>
  <c r="L53" i="1"/>
  <c r="L54" i="1"/>
  <c r="G3" i="1"/>
  <c r="M3" i="1"/>
  <c r="G27" i="1"/>
  <c r="M27" i="1"/>
  <c r="G25" i="1"/>
  <c r="M25" i="1"/>
  <c r="G40" i="1"/>
  <c r="M40" i="1"/>
  <c r="G8" i="1"/>
  <c r="M8" i="1"/>
  <c r="G26" i="1"/>
  <c r="M26" i="1"/>
  <c r="G22" i="1"/>
  <c r="M22" i="1"/>
  <c r="G14" i="1"/>
  <c r="M14" i="1"/>
  <c r="G9" i="1"/>
  <c r="M9" i="1"/>
  <c r="G7" i="1"/>
  <c r="M7" i="1"/>
  <c r="G13" i="1"/>
  <c r="M13" i="1"/>
  <c r="G6" i="1"/>
  <c r="M6" i="1"/>
  <c r="G42" i="1"/>
  <c r="M42" i="1"/>
  <c r="G39" i="1"/>
  <c r="M39" i="1"/>
  <c r="G15" i="1"/>
  <c r="M15" i="1"/>
  <c r="G34" i="1"/>
  <c r="M34" i="1"/>
  <c r="G43" i="1"/>
  <c r="M43" i="1"/>
  <c r="G23" i="1"/>
  <c r="M23" i="1"/>
  <c r="G16" i="1"/>
  <c r="M16" i="1"/>
  <c r="G24" i="1"/>
  <c r="M24" i="1"/>
  <c r="G31" i="1"/>
  <c r="M31" i="1"/>
  <c r="G50" i="1"/>
  <c r="M50" i="1"/>
  <c r="G38" i="1"/>
  <c r="M38" i="1"/>
  <c r="G35" i="1"/>
  <c r="M35" i="1"/>
  <c r="G29" i="1"/>
  <c r="M29" i="1"/>
  <c r="G44" i="1"/>
  <c r="M44" i="1"/>
  <c r="G4" i="1"/>
  <c r="M4" i="1"/>
  <c r="G45" i="1"/>
  <c r="M45" i="1"/>
  <c r="G11" i="1"/>
  <c r="M11" i="1"/>
  <c r="G5" i="1"/>
  <c r="M5" i="1"/>
  <c r="G32" i="1"/>
  <c r="M32" i="1"/>
  <c r="G2" i="1"/>
  <c r="M2" i="1"/>
  <c r="G20" i="1"/>
  <c r="M20" i="1"/>
  <c r="G12" i="1"/>
  <c r="M12" i="1"/>
  <c r="G17" i="1"/>
  <c r="M17" i="1"/>
  <c r="G21" i="1"/>
  <c r="M21" i="1"/>
  <c r="G41" i="1"/>
  <c r="M41" i="1"/>
  <c r="G48" i="1"/>
  <c r="M48" i="1"/>
  <c r="G37" i="1"/>
  <c r="M37" i="1"/>
  <c r="G47" i="1"/>
  <c r="M47" i="1"/>
  <c r="G18" i="1"/>
  <c r="M18" i="1"/>
  <c r="G30" i="1"/>
  <c r="M30" i="1"/>
  <c r="G49" i="1"/>
  <c r="M49" i="1"/>
  <c r="G33" i="1"/>
  <c r="M33" i="1"/>
  <c r="G46" i="1"/>
  <c r="M46" i="1"/>
  <c r="G51" i="1"/>
  <c r="M51" i="1"/>
  <c r="G19" i="1"/>
  <c r="M19" i="1"/>
  <c r="G36" i="1"/>
  <c r="M36" i="1"/>
  <c r="G10" i="1"/>
  <c r="M10" i="1"/>
  <c r="G28" i="1"/>
  <c r="M28" i="1"/>
  <c r="I3" i="1"/>
  <c r="L3" i="1"/>
  <c r="I27" i="1"/>
  <c r="L27" i="1"/>
  <c r="I25" i="1"/>
  <c r="L25" i="1"/>
  <c r="I40" i="1"/>
  <c r="L40" i="1"/>
  <c r="I8" i="1"/>
  <c r="L8" i="1"/>
  <c r="I26" i="1"/>
  <c r="L26" i="1"/>
  <c r="I22" i="1"/>
  <c r="L22" i="1"/>
  <c r="I14" i="1"/>
  <c r="L14" i="1"/>
  <c r="I9" i="1"/>
  <c r="L9" i="1"/>
  <c r="L7" i="1"/>
  <c r="I13" i="1"/>
  <c r="L13" i="1"/>
  <c r="I6" i="1"/>
  <c r="L6" i="1"/>
  <c r="I42" i="1"/>
  <c r="L42" i="1"/>
  <c r="I39" i="1"/>
  <c r="L39" i="1"/>
  <c r="I15" i="1"/>
  <c r="L15" i="1"/>
  <c r="I34" i="1"/>
  <c r="L34" i="1"/>
  <c r="I43" i="1"/>
  <c r="L43" i="1"/>
  <c r="I23" i="1"/>
  <c r="L23" i="1"/>
  <c r="I16" i="1"/>
  <c r="L16" i="1"/>
  <c r="I24" i="1"/>
  <c r="L24" i="1"/>
  <c r="I31" i="1"/>
  <c r="L31" i="1"/>
  <c r="I50" i="1"/>
  <c r="L50" i="1"/>
  <c r="I38" i="1"/>
  <c r="L38" i="1"/>
  <c r="I35" i="1"/>
  <c r="L35" i="1"/>
  <c r="I29" i="1"/>
  <c r="L29" i="1"/>
  <c r="I44" i="1"/>
  <c r="L44" i="1"/>
  <c r="I4" i="1"/>
  <c r="L4" i="1"/>
  <c r="I45" i="1"/>
  <c r="L45" i="1"/>
  <c r="I11" i="1"/>
  <c r="L11" i="1"/>
  <c r="I5" i="1"/>
  <c r="L5" i="1"/>
  <c r="I32" i="1"/>
  <c r="L32" i="1"/>
  <c r="L2" i="1"/>
  <c r="I20" i="1"/>
  <c r="L20" i="1"/>
  <c r="I12" i="1"/>
  <c r="L12" i="1"/>
  <c r="I17" i="1"/>
  <c r="L17" i="1"/>
  <c r="I21" i="1"/>
  <c r="L21" i="1"/>
  <c r="I41" i="1"/>
  <c r="L41" i="1"/>
  <c r="I48" i="1"/>
  <c r="L48" i="1"/>
  <c r="I37" i="1"/>
  <c r="L37" i="1"/>
  <c r="I47" i="1"/>
  <c r="L47" i="1"/>
  <c r="I18" i="1"/>
  <c r="L18" i="1"/>
  <c r="I30" i="1"/>
  <c r="L30" i="1"/>
  <c r="I49" i="1"/>
  <c r="L49" i="1"/>
  <c r="I33" i="1"/>
  <c r="L33" i="1"/>
  <c r="I46" i="1"/>
  <c r="L46" i="1"/>
  <c r="I51" i="1"/>
  <c r="L51" i="1"/>
  <c r="I19" i="1"/>
  <c r="L19" i="1"/>
  <c r="I36" i="1"/>
  <c r="L36" i="1"/>
  <c r="I10" i="1"/>
  <c r="L10" i="1"/>
  <c r="I28" i="1"/>
  <c r="L28" i="1"/>
  <c r="H3" i="1"/>
  <c r="H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</calcChain>
</file>

<file path=xl/sharedStrings.xml><?xml version="1.0" encoding="utf-8"?>
<sst xmlns="http://schemas.openxmlformats.org/spreadsheetml/2006/main" count="182" uniqueCount="111">
  <si>
    <t>Alternatives(city)</t>
  </si>
  <si>
    <t>Country</t>
  </si>
  <si>
    <t>Security</t>
  </si>
  <si>
    <t>Cost</t>
  </si>
  <si>
    <t>Restaurant</t>
  </si>
  <si>
    <t>Entertainment</t>
  </si>
  <si>
    <t>Culture&amp;History</t>
  </si>
  <si>
    <t>Beijing</t>
  </si>
  <si>
    <t>Shanghai</t>
  </si>
  <si>
    <t>Taipei</t>
  </si>
  <si>
    <t>Tokyo</t>
  </si>
  <si>
    <t>Kyoto</t>
  </si>
  <si>
    <t>Bangkok</t>
  </si>
  <si>
    <t>Chiang Mai</t>
  </si>
  <si>
    <t>Hong Kong</t>
  </si>
  <si>
    <t>Kuala Lumpur</t>
  </si>
  <si>
    <t>Singapore</t>
  </si>
  <si>
    <t>China</t>
  </si>
  <si>
    <t>Japan</t>
  </si>
  <si>
    <t>Thailand</t>
  </si>
  <si>
    <t>Malaysia</t>
  </si>
  <si>
    <t>New York</t>
  </si>
  <si>
    <t>Los Angeles</t>
  </si>
  <si>
    <t>Las Vegas</t>
  </si>
  <si>
    <t>Vancouver</t>
  </si>
  <si>
    <t>America</t>
  </si>
  <si>
    <t>Canada</t>
  </si>
  <si>
    <t>Buenos Aires</t>
  </si>
  <si>
    <t>Argentina</t>
  </si>
  <si>
    <t>Rio de Janerio</t>
  </si>
  <si>
    <t>Brazil</t>
  </si>
  <si>
    <t>Santiago</t>
  </si>
  <si>
    <t>Chile</t>
  </si>
  <si>
    <t>Bogota</t>
  </si>
  <si>
    <t>Colombia</t>
  </si>
  <si>
    <t>Lima</t>
  </si>
  <si>
    <t>Peru</t>
  </si>
  <si>
    <t>San Paulo</t>
  </si>
  <si>
    <t>Florianopolis</t>
  </si>
  <si>
    <t>Quito</t>
  </si>
  <si>
    <t>Ecuador</t>
  </si>
  <si>
    <t>Natal</t>
  </si>
  <si>
    <t>Cape Town</t>
  </si>
  <si>
    <t>San Francisco</t>
  </si>
  <si>
    <t>Chicago</t>
  </si>
  <si>
    <t>Miami</t>
  </si>
  <si>
    <t>Toronto</t>
  </si>
  <si>
    <t>London</t>
  </si>
  <si>
    <t>UK</t>
  </si>
  <si>
    <t>Edinburgh</t>
  </si>
  <si>
    <t>Paris</t>
  </si>
  <si>
    <t>France</t>
  </si>
  <si>
    <t>Marseille</t>
  </si>
  <si>
    <t>Rome</t>
  </si>
  <si>
    <t>Berlin</t>
  </si>
  <si>
    <t>Frankfurt</t>
  </si>
  <si>
    <t>Athens</t>
  </si>
  <si>
    <t>Greece</t>
  </si>
  <si>
    <t>Vienna</t>
  </si>
  <si>
    <t>Austria</t>
  </si>
  <si>
    <t>Barcelona</t>
  </si>
  <si>
    <t>Spain</t>
  </si>
  <si>
    <t>Prague</t>
  </si>
  <si>
    <t>Czech Republic</t>
  </si>
  <si>
    <t>Sydney</t>
  </si>
  <si>
    <t>Australia</t>
  </si>
  <si>
    <t>Brisbane</t>
  </si>
  <si>
    <t>Melbourne</t>
  </si>
  <si>
    <t>Auckland</t>
  </si>
  <si>
    <t>New Zealand</t>
  </si>
  <si>
    <t>Krakow</t>
  </si>
  <si>
    <t>Poland</t>
  </si>
  <si>
    <t>Florence</t>
  </si>
  <si>
    <t>Istanbul</t>
  </si>
  <si>
    <t>Turkey</t>
  </si>
  <si>
    <t>Budapest</t>
  </si>
  <si>
    <t>Hungary</t>
  </si>
  <si>
    <t>South Africa</t>
  </si>
  <si>
    <t>Shenzhen</t>
  </si>
  <si>
    <t>Italy</t>
  </si>
  <si>
    <t>Madrid</t>
  </si>
  <si>
    <t>Quebec City</t>
  </si>
  <si>
    <t>Germany</t>
  </si>
  <si>
    <t>Polution</t>
    <phoneticPr fontId="1" type="noConversion"/>
  </si>
  <si>
    <t>Natural landscape</t>
    <phoneticPr fontId="1" type="noConversion"/>
  </si>
  <si>
    <t>security_norm</t>
  </si>
  <si>
    <t>cost_norm</t>
  </si>
  <si>
    <t>gourmet_norm</t>
  </si>
  <si>
    <t>entertainment_norm</t>
  </si>
  <si>
    <t>culture_norm</t>
  </si>
  <si>
    <t>natural_norm</t>
  </si>
  <si>
    <t>polution_norm</t>
  </si>
  <si>
    <t>population(M)</t>
  </si>
  <si>
    <t>natural2_norm</t>
  </si>
  <si>
    <t>Nature_avg</t>
  </si>
  <si>
    <t>Entertainment_avg</t>
  </si>
  <si>
    <t>entertainment2_norm</t>
  </si>
  <si>
    <t>Cairo</t>
  </si>
  <si>
    <t>Egypt</t>
  </si>
  <si>
    <t>Dubai</t>
  </si>
  <si>
    <t>Amsterdam</t>
  </si>
  <si>
    <t>Netherlands</t>
  </si>
  <si>
    <t>is_met</t>
  </si>
  <si>
    <t>UAE</t>
  </si>
  <si>
    <t>Continent</t>
  </si>
  <si>
    <t>Asia</t>
  </si>
  <si>
    <t>North America</t>
  </si>
  <si>
    <t>South America</t>
  </si>
  <si>
    <t>Africa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</si>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</sst>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.1"/>
      <color rgb="FF000000"/>
      <name val="Calibri"/>
      <scheme val="minor"/>
    </font>
    <font>
      <sz val="1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topLeftCell="A31" workbookViewId="0">
      <selection activeCell="D10" sqref="D10"/>
    </sheetView>
  </sheetViews>
  <sheetFormatPr baseColWidth="10" defaultColWidth="8.83203125" defaultRowHeight="15" x14ac:dyDescent="0.2"/>
  <cols>
    <col min="1" max="1" width="16.5" bestFit="1" customWidth="1"/>
    <col min="2" max="2" width="14.5" bestFit="1" customWidth="1"/>
    <col min="3" max="3" width="10.83203125"/>
    <col min="6" max="6" width="10.5" bestFit="1" customWidth="1"/>
    <col min="7" max="7" width="7" customWidth="1"/>
    <col min="8" max="8" width="6.33203125" customWidth="1"/>
    <col min="9" max="9" width="7.6640625" customWidth="1"/>
  </cols>
  <sheetData>
    <row r="1" spans="1:23" x14ac:dyDescent="0.2">
      <c r="A1" t="s">
        <v>0</v>
      </c>
      <c r="B1" t="s">
        <v>1</v>
      </c>
      <c r="C1" t="s">
        <v>104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84</v>
      </c>
      <c r="J1" t="s">
        <v>83</v>
      </c>
      <c r="K1" t="s">
        <v>92</v>
      </c>
      <c r="L1" t="s">
        <v>94</v>
      </c>
      <c r="M1" t="s">
        <v>95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93</v>
      </c>
      <c r="V1" t="s">
        <v>96</v>
      </c>
      <c r="W1" t="s">
        <v>102</v>
      </c>
    </row>
    <row r="2" spans="1:23" x14ac:dyDescent="0.2">
      <c r="A2" t="s">
        <v>7</v>
      </c>
      <c r="B2" t="s">
        <v>17</v>
      </c>
      <c r="C2" t="s">
        <v>105</v>
      </c>
      <c r="D2">
        <v>63.27</v>
      </c>
      <c r="E2">
        <v>51.64</v>
      </c>
      <c r="F2">
        <v>12553</v>
      </c>
      <c r="G2">
        <f>52*10+36+44</f>
        <v>600</v>
      </c>
      <c r="H2">
        <f>285+200</f>
        <v>485</v>
      </c>
      <c r="I2">
        <v>180</v>
      </c>
      <c r="J2">
        <v>94.46</v>
      </c>
      <c r="K2">
        <v>8.6140000000000008</v>
      </c>
      <c r="L2">
        <f t="shared" ref="L2:L33" si="0">I2/K2</f>
        <v>20.896215463199439</v>
      </c>
      <c r="M2">
        <f t="shared" ref="M2:M33" si="1">G2/K2</f>
        <v>69.654051543998136</v>
      </c>
      <c r="N2">
        <f>10*(D2-MIN(D$2:D$54))/(MAX(D$2:D$54)-MIN(D$2:D$54))</f>
        <v>6.4080046069680403</v>
      </c>
      <c r="O2">
        <f t="shared" ref="O2:V2" si="2">10*(E2-MIN(E$2:E$54))/(MAX(E$2:E$54)-MIN(E$2:E$54))</f>
        <v>2.4069890043681283</v>
      </c>
      <c r="P2">
        <f t="shared" si="2"/>
        <v>4.135286670283957</v>
      </c>
      <c r="Q2">
        <f t="shared" si="2"/>
        <v>3.5959974984365228</v>
      </c>
      <c r="R2">
        <f t="shared" si="2"/>
        <v>8.231046931407942</v>
      </c>
      <c r="S2">
        <f t="shared" si="2"/>
        <v>8.9417989417989414</v>
      </c>
      <c r="T2">
        <f t="shared" si="2"/>
        <v>9.8047559449311628</v>
      </c>
      <c r="U2">
        <f t="shared" si="2"/>
        <v>2.5131703157830625</v>
      </c>
      <c r="V2">
        <f t="shared" si="2"/>
        <v>2.0899285076600163</v>
      </c>
      <c r="W2">
        <f>IF($K2&gt;5,1,0)</f>
        <v>1</v>
      </c>
    </row>
    <row r="3" spans="1:23" x14ac:dyDescent="0.2">
      <c r="A3" t="s">
        <v>8</v>
      </c>
      <c r="B3" t="s">
        <v>17</v>
      </c>
      <c r="C3" t="s">
        <v>105</v>
      </c>
      <c r="D3">
        <v>68.180000000000007</v>
      </c>
      <c r="E3">
        <v>54.36</v>
      </c>
      <c r="F3">
        <v>16728</v>
      </c>
      <c r="G3">
        <f>22*10+83+28</f>
        <v>331</v>
      </c>
      <c r="H3">
        <f>258+57</f>
        <v>315</v>
      </c>
      <c r="I3">
        <f>125</f>
        <v>125</v>
      </c>
      <c r="J3">
        <v>87.09</v>
      </c>
      <c r="K3">
        <v>10</v>
      </c>
      <c r="L3">
        <f t="shared" si="0"/>
        <v>12.5</v>
      </c>
      <c r="M3">
        <f t="shared" si="1"/>
        <v>33.1</v>
      </c>
      <c r="N3">
        <f t="shared" ref="N3:N54" si="3">10*(D3-MIN(D$2:D$54))/(MAX(D$2:D$54)-MIN(D$2:D$54))</f>
        <v>7.1148862654765344</v>
      </c>
      <c r="O3">
        <f t="shared" ref="O3:O54" si="4">10*(E3-MIN(E$2:E$54))/(MAX(E$2:E$54)-MIN(E$2:E$54))</f>
        <v>2.8166892604307883</v>
      </c>
      <c r="P3">
        <f t="shared" ref="P3:P54" si="5">10*(F3-MIN(F$2:F$54))/(MAX(F$2:F$54)-MIN(F$2:F$54))</f>
        <v>5.6455055163682406</v>
      </c>
      <c r="Q3">
        <f t="shared" ref="Q3:Q54" si="6">10*(G3-MIN(G$2:G$54))/(MAX(G$2:G$54)-MIN(G$2:G$54))</f>
        <v>1.9136960600375235</v>
      </c>
      <c r="R3">
        <f t="shared" ref="R3:R54" si="7">10*(H3-MIN(H$2:H$54))/(MAX(H$2:H$54)-MIN(H$2:H$54))</f>
        <v>5.162454873646209</v>
      </c>
      <c r="S3">
        <f t="shared" ref="S3:S54" si="8">10*(I3-MIN(I$2:I$54))/(MAX(I$2:I$54)-MIN(I$2:I$54))</f>
        <v>6.0317460317460316</v>
      </c>
      <c r="T3">
        <f t="shared" ref="T3:T54" si="9">10*(J3-MIN(J$2:J$54))/(MAX(J$2:J$54)-MIN(J$2:J$54))</f>
        <v>8.8823529411764728</v>
      </c>
      <c r="U3">
        <f t="shared" ref="U3:U54" si="10">10*(K3-MIN(K$2:K$54))/(MAX(K$2:K$54)-MIN(K$2:K$54))</f>
        <v>2.9352294527847977</v>
      </c>
      <c r="V3">
        <f t="shared" ref="V3:V54" si="11">10*(L3-MIN(L$2:L$54))/(MAX(L$2:L$54)-MIN(L$2:L$54))</f>
        <v>1.1839447449012834</v>
      </c>
      <c r="W3">
        <f t="shared" ref="W3:W54" si="12">IF($K3&gt;5,1,0)</f>
        <v>1</v>
      </c>
    </row>
    <row r="4" spans="1:23" x14ac:dyDescent="0.2">
      <c r="A4" t="s">
        <v>9</v>
      </c>
      <c r="B4" t="s">
        <v>17</v>
      </c>
      <c r="C4" t="s">
        <v>105</v>
      </c>
      <c r="D4">
        <v>81.66</v>
      </c>
      <c r="E4">
        <v>60.71</v>
      </c>
      <c r="F4">
        <v>11952</v>
      </c>
      <c r="G4">
        <f>4*10+37+9</f>
        <v>86</v>
      </c>
      <c r="H4">
        <f>58+43</f>
        <v>101</v>
      </c>
      <c r="I4">
        <f>98</f>
        <v>98</v>
      </c>
      <c r="J4">
        <v>65.95</v>
      </c>
      <c r="K4">
        <v>5.7</v>
      </c>
      <c r="L4">
        <f t="shared" si="0"/>
        <v>17.192982456140349</v>
      </c>
      <c r="M4">
        <f t="shared" si="1"/>
        <v>15.087719298245613</v>
      </c>
      <c r="N4">
        <f t="shared" si="3"/>
        <v>9.0555715519723581</v>
      </c>
      <c r="O4">
        <f t="shared" si="4"/>
        <v>3.7731586082241311</v>
      </c>
      <c r="P4">
        <f t="shared" si="5"/>
        <v>3.9178875022608066</v>
      </c>
      <c r="Q4">
        <f t="shared" si="6"/>
        <v>0.3814884302689181</v>
      </c>
      <c r="R4">
        <f t="shared" si="7"/>
        <v>1.2996389891696751</v>
      </c>
      <c r="S4">
        <f t="shared" si="8"/>
        <v>4.6031746031746028</v>
      </c>
      <c r="T4">
        <f t="shared" si="9"/>
        <v>6.2365456821026282</v>
      </c>
      <c r="U4">
        <f t="shared" si="10"/>
        <v>1.6258107737750842</v>
      </c>
      <c r="V4">
        <f t="shared" si="11"/>
        <v>1.6903355018810462</v>
      </c>
      <c r="W4">
        <f t="shared" si="12"/>
        <v>1</v>
      </c>
    </row>
    <row r="5" spans="1:23" x14ac:dyDescent="0.2">
      <c r="A5" t="s">
        <v>14</v>
      </c>
      <c r="B5" t="s">
        <v>17</v>
      </c>
      <c r="C5" t="s">
        <v>105</v>
      </c>
      <c r="D5">
        <v>79.69</v>
      </c>
      <c r="E5">
        <v>78.2</v>
      </c>
      <c r="F5">
        <v>7261</v>
      </c>
      <c r="G5">
        <f>7*10+63+15</f>
        <v>148</v>
      </c>
      <c r="H5">
        <f>84+42</f>
        <v>126</v>
      </c>
      <c r="I5">
        <f>137</f>
        <v>137</v>
      </c>
      <c r="J5">
        <v>69.33</v>
      </c>
      <c r="K5">
        <v>7.1879999999999997</v>
      </c>
      <c r="L5">
        <f t="shared" si="0"/>
        <v>19.059543683917642</v>
      </c>
      <c r="M5">
        <f t="shared" si="1"/>
        <v>20.589872008903729</v>
      </c>
      <c r="N5">
        <f t="shared" si="3"/>
        <v>8.7719550820616181</v>
      </c>
      <c r="O5">
        <f t="shared" si="4"/>
        <v>6.4075915047446914</v>
      </c>
      <c r="P5">
        <f t="shared" si="5"/>
        <v>2.2210164586724543</v>
      </c>
      <c r="Q5">
        <f t="shared" si="6"/>
        <v>0.76923076923076927</v>
      </c>
      <c r="R5">
        <f t="shared" si="7"/>
        <v>1.7509025270758123</v>
      </c>
      <c r="S5">
        <f t="shared" si="8"/>
        <v>6.666666666666667</v>
      </c>
      <c r="T5">
        <f t="shared" si="9"/>
        <v>6.6595744680851059</v>
      </c>
      <c r="U5">
        <f t="shared" si="10"/>
        <v>2.0789305399068176</v>
      </c>
      <c r="V5">
        <f t="shared" si="11"/>
        <v>1.8917445976782181</v>
      </c>
      <c r="W5">
        <f t="shared" si="12"/>
        <v>1</v>
      </c>
    </row>
    <row r="6" spans="1:23" x14ac:dyDescent="0.2">
      <c r="A6" t="s">
        <v>78</v>
      </c>
      <c r="B6" t="s">
        <v>17</v>
      </c>
      <c r="C6" t="s">
        <v>105</v>
      </c>
      <c r="D6">
        <v>61.58</v>
      </c>
      <c r="E6">
        <v>52.61</v>
      </c>
      <c r="F6">
        <v>4074</v>
      </c>
      <c r="G6">
        <f>13*10+10+3</f>
        <v>143</v>
      </c>
      <c r="H6">
        <f>42+16</f>
        <v>58</v>
      </c>
      <c r="I6">
        <f>57</f>
        <v>57</v>
      </c>
      <c r="J6">
        <v>81.19</v>
      </c>
      <c r="K6">
        <v>8</v>
      </c>
      <c r="L6">
        <f t="shared" si="0"/>
        <v>7.125</v>
      </c>
      <c r="M6">
        <f t="shared" si="1"/>
        <v>17.875</v>
      </c>
      <c r="N6">
        <f t="shared" si="3"/>
        <v>6.164699107399942</v>
      </c>
      <c r="O6">
        <f t="shared" si="4"/>
        <v>2.5530953456845915</v>
      </c>
      <c r="P6">
        <f t="shared" si="5"/>
        <v>1.0681859287393742</v>
      </c>
      <c r="Q6">
        <f t="shared" si="6"/>
        <v>0.73796122576610379</v>
      </c>
      <c r="R6">
        <f t="shared" si="7"/>
        <v>0.52346570397111913</v>
      </c>
      <c r="S6">
        <f t="shared" si="8"/>
        <v>2.4338624338624339</v>
      </c>
      <c r="T6">
        <f t="shared" si="9"/>
        <v>8.1439299123904885</v>
      </c>
      <c r="U6">
        <f t="shared" si="10"/>
        <v>2.3261975090593499</v>
      </c>
      <c r="V6">
        <f t="shared" si="11"/>
        <v>0.6039616863230598</v>
      </c>
      <c r="W6">
        <f t="shared" si="12"/>
        <v>1</v>
      </c>
    </row>
    <row r="7" spans="1:23" x14ac:dyDescent="0.2">
      <c r="A7" t="s">
        <v>10</v>
      </c>
      <c r="B7" t="s">
        <v>18</v>
      </c>
      <c r="C7" t="s">
        <v>105</v>
      </c>
      <c r="D7">
        <v>79.27</v>
      </c>
      <c r="E7">
        <v>102.05</v>
      </c>
      <c r="F7">
        <v>28766</v>
      </c>
      <c r="G7">
        <f>18*10+119+177</f>
        <v>476</v>
      </c>
      <c r="H7">
        <f>352+231</f>
        <v>583</v>
      </c>
      <c r="I7">
        <v>200</v>
      </c>
      <c r="J7">
        <v>42.22</v>
      </c>
      <c r="K7">
        <v>33.200000000000003</v>
      </c>
      <c r="L7">
        <f t="shared" si="0"/>
        <v>6.0240963855421681</v>
      </c>
      <c r="M7">
        <f t="shared" si="1"/>
        <v>14.33734939759036</v>
      </c>
      <c r="N7">
        <f t="shared" si="3"/>
        <v>8.7114886265476521</v>
      </c>
      <c r="O7">
        <f t="shared" si="4"/>
        <v>10</v>
      </c>
      <c r="P7">
        <f t="shared" si="5"/>
        <v>10</v>
      </c>
      <c r="Q7">
        <f t="shared" si="6"/>
        <v>2.8205128205128207</v>
      </c>
      <c r="R7">
        <f t="shared" si="7"/>
        <v>10</v>
      </c>
      <c r="S7">
        <f t="shared" si="8"/>
        <v>10</v>
      </c>
      <c r="T7">
        <f t="shared" si="9"/>
        <v>3.2665832290362955</v>
      </c>
      <c r="U7">
        <f t="shared" si="10"/>
        <v>10</v>
      </c>
      <c r="V7">
        <f t="shared" si="11"/>
        <v>0.48516997552992963</v>
      </c>
      <c r="W7">
        <f t="shared" si="12"/>
        <v>1</v>
      </c>
    </row>
    <row r="8" spans="1:23" x14ac:dyDescent="0.2">
      <c r="A8" t="s">
        <v>11</v>
      </c>
      <c r="B8" t="s">
        <v>18</v>
      </c>
      <c r="C8" t="s">
        <v>105</v>
      </c>
      <c r="D8">
        <v>88.22</v>
      </c>
      <c r="E8">
        <v>90.28</v>
      </c>
      <c r="F8">
        <v>11944</v>
      </c>
      <c r="G8">
        <f>2*10+33+23</f>
        <v>76</v>
      </c>
      <c r="H8">
        <f>93+129</f>
        <v>222</v>
      </c>
      <c r="I8">
        <f>82</f>
        <v>82</v>
      </c>
      <c r="J8">
        <v>43.05</v>
      </c>
      <c r="K8">
        <v>16.425000000000001</v>
      </c>
      <c r="L8">
        <f t="shared" si="0"/>
        <v>4.9923896499238962</v>
      </c>
      <c r="M8">
        <f t="shared" si="1"/>
        <v>4.6270928462709282</v>
      </c>
      <c r="N8">
        <f t="shared" si="3"/>
        <v>10</v>
      </c>
      <c r="O8">
        <f t="shared" si="4"/>
        <v>8.2271426419641518</v>
      </c>
      <c r="P8">
        <f t="shared" si="5"/>
        <v>3.9149936697413636</v>
      </c>
      <c r="Q8">
        <f t="shared" si="6"/>
        <v>0.31894934333958724</v>
      </c>
      <c r="R8">
        <f t="shared" si="7"/>
        <v>3.4837545126353793</v>
      </c>
      <c r="S8">
        <f t="shared" si="8"/>
        <v>3.7566137566137567</v>
      </c>
      <c r="T8">
        <f t="shared" si="9"/>
        <v>3.3704630788485606</v>
      </c>
      <c r="U8">
        <f t="shared" si="10"/>
        <v>4.8917445720027999</v>
      </c>
      <c r="V8">
        <f t="shared" si="11"/>
        <v>0.37384487263139193</v>
      </c>
      <c r="W8">
        <f t="shared" si="12"/>
        <v>1</v>
      </c>
    </row>
    <row r="9" spans="1:23" x14ac:dyDescent="0.2">
      <c r="A9" t="s">
        <v>12</v>
      </c>
      <c r="B9" t="s">
        <v>19</v>
      </c>
      <c r="C9" t="s">
        <v>105</v>
      </c>
      <c r="D9">
        <v>50.94</v>
      </c>
      <c r="E9">
        <v>49.83</v>
      </c>
      <c r="F9">
        <v>10351</v>
      </c>
      <c r="G9">
        <f>10*10+141+33</f>
        <v>274</v>
      </c>
      <c r="H9">
        <f>80+9</f>
        <v>89</v>
      </c>
      <c r="I9">
        <f>38</f>
        <v>38</v>
      </c>
      <c r="J9">
        <v>72.94</v>
      </c>
      <c r="K9">
        <v>6.5</v>
      </c>
      <c r="L9">
        <f t="shared" si="0"/>
        <v>5.8461538461538458</v>
      </c>
      <c r="M9">
        <f t="shared" si="1"/>
        <v>42.153846153846153</v>
      </c>
      <c r="N9">
        <f t="shared" si="3"/>
        <v>4.6328822343794984</v>
      </c>
      <c r="O9">
        <f t="shared" si="4"/>
        <v>2.1343575839734901</v>
      </c>
      <c r="P9">
        <f t="shared" si="5"/>
        <v>3.3387592693072889</v>
      </c>
      <c r="Q9">
        <f t="shared" si="6"/>
        <v>1.5572232645403377</v>
      </c>
      <c r="R9">
        <f t="shared" si="7"/>
        <v>1.0830324909747293</v>
      </c>
      <c r="S9">
        <f t="shared" si="8"/>
        <v>1.4285714285714286</v>
      </c>
      <c r="T9">
        <f t="shared" si="9"/>
        <v>7.1113892365456817</v>
      </c>
      <c r="U9">
        <f t="shared" si="10"/>
        <v>1.8694235512652635</v>
      </c>
      <c r="V9">
        <f t="shared" si="11"/>
        <v>0.46596929492609424</v>
      </c>
      <c r="W9">
        <f t="shared" si="12"/>
        <v>1</v>
      </c>
    </row>
    <row r="10" spans="1:23" x14ac:dyDescent="0.2">
      <c r="A10" t="s">
        <v>13</v>
      </c>
      <c r="B10" t="s">
        <v>19</v>
      </c>
      <c r="C10" t="s">
        <v>105</v>
      </c>
      <c r="D10">
        <v>65.790000000000006</v>
      </c>
      <c r="E10">
        <v>41.57</v>
      </c>
      <c r="F10">
        <v>1939</v>
      </c>
      <c r="G10">
        <f>0*10+36+8</f>
        <v>44</v>
      </c>
      <c r="H10">
        <f>33+4</f>
        <v>37</v>
      </c>
      <c r="I10">
        <f>36</f>
        <v>36</v>
      </c>
      <c r="J10">
        <v>77.83</v>
      </c>
      <c r="K10">
        <v>0.39800000000000002</v>
      </c>
      <c r="L10">
        <f t="shared" si="0"/>
        <v>90.452261306532662</v>
      </c>
      <c r="M10">
        <f t="shared" si="1"/>
        <v>110.55276381909547</v>
      </c>
      <c r="N10">
        <f t="shared" si="3"/>
        <v>6.7708033400518293</v>
      </c>
      <c r="O10">
        <f t="shared" si="4"/>
        <v>0.89019430637144203</v>
      </c>
      <c r="P10">
        <f t="shared" si="5"/>
        <v>0.29589437511304034</v>
      </c>
      <c r="Q10">
        <f t="shared" si="6"/>
        <v>0.11882426516572858</v>
      </c>
      <c r="R10">
        <f t="shared" si="7"/>
        <v>0.1444043321299639</v>
      </c>
      <c r="S10">
        <f t="shared" si="8"/>
        <v>1.3227513227513228</v>
      </c>
      <c r="T10">
        <f t="shared" si="9"/>
        <v>7.7234042553191484</v>
      </c>
      <c r="U10">
        <f t="shared" si="10"/>
        <v>1.1267090958920803E-2</v>
      </c>
      <c r="V10">
        <f t="shared" si="11"/>
        <v>9.5952918957202105</v>
      </c>
      <c r="W10">
        <f t="shared" si="12"/>
        <v>0</v>
      </c>
    </row>
    <row r="11" spans="1:23" x14ac:dyDescent="0.2">
      <c r="A11" t="s">
        <v>15</v>
      </c>
      <c r="B11" t="s">
        <v>20</v>
      </c>
      <c r="C11" t="s">
        <v>105</v>
      </c>
      <c r="D11">
        <v>29.64</v>
      </c>
      <c r="E11">
        <v>44.51</v>
      </c>
      <c r="F11">
        <v>3758</v>
      </c>
      <c r="G11">
        <f>2*10+42+12</f>
        <v>74</v>
      </c>
      <c r="H11">
        <f>41+4</f>
        <v>45</v>
      </c>
      <c r="I11">
        <f>29</f>
        <v>29</v>
      </c>
      <c r="J11">
        <v>74.650000000000006</v>
      </c>
      <c r="K11">
        <v>1.589</v>
      </c>
      <c r="L11">
        <f t="shared" si="0"/>
        <v>18.250471994965388</v>
      </c>
      <c r="M11">
        <f t="shared" si="1"/>
        <v>46.570169918187538</v>
      </c>
      <c r="N11">
        <f t="shared" si="3"/>
        <v>1.5663691333141376</v>
      </c>
      <c r="O11">
        <f t="shared" si="4"/>
        <v>1.3330320831450522</v>
      </c>
      <c r="P11">
        <f t="shared" si="5"/>
        <v>0.95387954422137822</v>
      </c>
      <c r="Q11">
        <f t="shared" si="6"/>
        <v>0.30644152595372109</v>
      </c>
      <c r="R11">
        <f t="shared" si="7"/>
        <v>0.28880866425992779</v>
      </c>
      <c r="S11">
        <f t="shared" si="8"/>
        <v>0.95238095238095233</v>
      </c>
      <c r="T11">
        <f t="shared" si="9"/>
        <v>7.32540675844806</v>
      </c>
      <c r="U11">
        <f t="shared" si="10"/>
        <v>0.37394561344742522</v>
      </c>
      <c r="V11">
        <f t="shared" si="11"/>
        <v>1.8044426678609942</v>
      </c>
      <c r="W11">
        <f t="shared" si="12"/>
        <v>0</v>
      </c>
    </row>
    <row r="12" spans="1:23" x14ac:dyDescent="0.2">
      <c r="A12" t="s">
        <v>16</v>
      </c>
      <c r="B12" t="s">
        <v>16</v>
      </c>
      <c r="C12" t="s">
        <v>105</v>
      </c>
      <c r="D12">
        <v>83.51</v>
      </c>
      <c r="E12">
        <v>87.83</v>
      </c>
      <c r="F12">
        <v>9894</v>
      </c>
      <c r="G12">
        <f>8*10+130+38</f>
        <v>248</v>
      </c>
      <c r="H12">
        <f>66+19</f>
        <v>85</v>
      </c>
      <c r="I12">
        <f>93</f>
        <v>93</v>
      </c>
      <c r="J12">
        <v>36.28</v>
      </c>
      <c r="K12">
        <v>4</v>
      </c>
      <c r="L12">
        <f t="shared" si="0"/>
        <v>23.25</v>
      </c>
      <c r="M12">
        <f t="shared" si="1"/>
        <v>62</v>
      </c>
      <c r="N12">
        <f t="shared" si="3"/>
        <v>9.3219118917362511</v>
      </c>
      <c r="O12">
        <f t="shared" si="4"/>
        <v>7.8581111613194761</v>
      </c>
      <c r="P12">
        <f t="shared" si="5"/>
        <v>3.1734490866341112</v>
      </c>
      <c r="Q12">
        <f t="shared" si="6"/>
        <v>1.3946216385240775</v>
      </c>
      <c r="R12">
        <f t="shared" si="7"/>
        <v>1.0108303249097472</v>
      </c>
      <c r="S12">
        <f t="shared" si="8"/>
        <v>4.3386243386243386</v>
      </c>
      <c r="T12">
        <f t="shared" si="9"/>
        <v>2.5231539424280354</v>
      </c>
      <c r="U12">
        <f t="shared" si="10"/>
        <v>1.1081336216084532</v>
      </c>
      <c r="V12">
        <f t="shared" si="11"/>
        <v>2.3439108620577311</v>
      </c>
      <c r="W12">
        <f t="shared" si="12"/>
        <v>0</v>
      </c>
    </row>
    <row r="13" spans="1:23" x14ac:dyDescent="0.2">
      <c r="A13" t="s">
        <v>21</v>
      </c>
      <c r="B13" t="s">
        <v>25</v>
      </c>
      <c r="C13" t="s">
        <v>106</v>
      </c>
      <c r="D13">
        <v>52.77</v>
      </c>
      <c r="E13">
        <v>100</v>
      </c>
      <c r="F13">
        <v>13238</v>
      </c>
      <c r="G13">
        <f>4*10+867+405</f>
        <v>1312</v>
      </c>
      <c r="H13">
        <f>263+50</f>
        <v>313</v>
      </c>
      <c r="I13">
        <f>103</f>
        <v>103</v>
      </c>
      <c r="J13">
        <v>59.75</v>
      </c>
      <c r="K13">
        <v>17</v>
      </c>
      <c r="L13">
        <f t="shared" si="0"/>
        <v>6.0588235294117645</v>
      </c>
      <c r="M13">
        <f t="shared" si="1"/>
        <v>77.17647058823529</v>
      </c>
      <c r="N13">
        <f t="shared" si="3"/>
        <v>4.8963432191189185</v>
      </c>
      <c r="O13">
        <f t="shared" si="4"/>
        <v>9.6912185570115987</v>
      </c>
      <c r="P13">
        <f t="shared" si="5"/>
        <v>4.3830710797612591</v>
      </c>
      <c r="Q13">
        <f t="shared" si="6"/>
        <v>8.0487804878048781</v>
      </c>
      <c r="R13">
        <f t="shared" si="7"/>
        <v>5.1263537906137184</v>
      </c>
      <c r="S13">
        <f t="shared" si="8"/>
        <v>4.8677248677248679</v>
      </c>
      <c r="T13">
        <f t="shared" si="9"/>
        <v>5.4605757196495617</v>
      </c>
      <c r="U13">
        <f t="shared" si="10"/>
        <v>5.0668412558238662</v>
      </c>
      <c r="V13">
        <f t="shared" si="11"/>
        <v>0.48891716717963646</v>
      </c>
      <c r="W13">
        <f t="shared" si="12"/>
        <v>1</v>
      </c>
    </row>
    <row r="14" spans="1:23" x14ac:dyDescent="0.2">
      <c r="A14" t="s">
        <v>22</v>
      </c>
      <c r="B14" t="s">
        <v>25</v>
      </c>
      <c r="C14" t="s">
        <v>106</v>
      </c>
      <c r="D14">
        <v>42.76</v>
      </c>
      <c r="E14">
        <v>77.89</v>
      </c>
      <c r="F14">
        <v>9657</v>
      </c>
      <c r="G14">
        <f>3*10+324+112</f>
        <v>466</v>
      </c>
      <c r="H14">
        <f>115+30</f>
        <v>145</v>
      </c>
      <c r="I14">
        <f>68</f>
        <v>68</v>
      </c>
      <c r="J14">
        <v>62.53</v>
      </c>
      <c r="K14">
        <v>11.789</v>
      </c>
      <c r="L14">
        <f t="shared" si="0"/>
        <v>5.7680888964288748</v>
      </c>
      <c r="M14">
        <f t="shared" si="1"/>
        <v>39.52837390788023</v>
      </c>
      <c r="N14">
        <f t="shared" si="3"/>
        <v>3.4552260293694212</v>
      </c>
      <c r="O14">
        <f t="shared" si="4"/>
        <v>6.3608977255610792</v>
      </c>
      <c r="P14">
        <f t="shared" si="5"/>
        <v>3.0877192982456139</v>
      </c>
      <c r="Q14">
        <f t="shared" si="6"/>
        <v>2.7579737335834897</v>
      </c>
      <c r="R14">
        <f t="shared" si="7"/>
        <v>2.0938628158844765</v>
      </c>
      <c r="S14">
        <f t="shared" si="8"/>
        <v>3.0158730158730158</v>
      </c>
      <c r="T14">
        <f t="shared" si="9"/>
        <v>5.8085106382978724</v>
      </c>
      <c r="U14">
        <f t="shared" si="10"/>
        <v>3.4800085264472114</v>
      </c>
      <c r="V14">
        <f t="shared" si="11"/>
        <v>0.45754578826390929</v>
      </c>
      <c r="W14">
        <f t="shared" si="12"/>
        <v>1</v>
      </c>
    </row>
    <row r="15" spans="1:23" x14ac:dyDescent="0.2">
      <c r="A15" t="s">
        <v>44</v>
      </c>
      <c r="B15" t="s">
        <v>25</v>
      </c>
      <c r="C15" t="s">
        <v>106</v>
      </c>
      <c r="D15">
        <v>33.950000000000003</v>
      </c>
      <c r="E15">
        <v>85.11</v>
      </c>
      <c r="F15">
        <v>9332</v>
      </c>
      <c r="G15">
        <f>4*10+550+174</f>
        <v>764</v>
      </c>
      <c r="H15">
        <f>104+17</f>
        <v>121</v>
      </c>
      <c r="I15">
        <f>66</f>
        <v>66</v>
      </c>
      <c r="J15">
        <v>40.47</v>
      </c>
      <c r="K15">
        <v>8.3079999999999998</v>
      </c>
      <c r="L15">
        <f t="shared" si="0"/>
        <v>7.9441502166586426</v>
      </c>
      <c r="M15">
        <f t="shared" si="1"/>
        <v>91.959557053442467</v>
      </c>
      <c r="N15">
        <f t="shared" si="3"/>
        <v>2.1868701410883964</v>
      </c>
      <c r="O15">
        <f t="shared" si="4"/>
        <v>7.4484109052568162</v>
      </c>
      <c r="P15">
        <f t="shared" si="5"/>
        <v>2.9701573521432447</v>
      </c>
      <c r="Q15">
        <f t="shared" si="6"/>
        <v>4.6216385240775484</v>
      </c>
      <c r="R15">
        <f t="shared" si="7"/>
        <v>1.6606498194945849</v>
      </c>
      <c r="S15">
        <f t="shared" si="8"/>
        <v>2.9100529100529102</v>
      </c>
      <c r="T15">
        <f t="shared" si="9"/>
        <v>3.0475594493116396</v>
      </c>
      <c r="U15">
        <f t="shared" si="10"/>
        <v>2.4199884283930686</v>
      </c>
      <c r="V15">
        <f t="shared" si="11"/>
        <v>0.69235112782867736</v>
      </c>
      <c r="W15">
        <f t="shared" si="12"/>
        <v>1</v>
      </c>
    </row>
    <row r="16" spans="1:23" x14ac:dyDescent="0.2">
      <c r="A16" t="s">
        <v>45</v>
      </c>
      <c r="B16" t="s">
        <v>25</v>
      </c>
      <c r="C16" t="s">
        <v>106</v>
      </c>
      <c r="D16">
        <v>54.37</v>
      </c>
      <c r="E16">
        <v>82.96</v>
      </c>
      <c r="F16">
        <v>4044</v>
      </c>
      <c r="G16">
        <f>5*10+116+24</f>
        <v>190</v>
      </c>
      <c r="H16">
        <f>45+5</f>
        <v>50</v>
      </c>
      <c r="I16">
        <f>49</f>
        <v>49</v>
      </c>
      <c r="J16">
        <v>40.53</v>
      </c>
      <c r="K16">
        <v>4.9189999999999996</v>
      </c>
      <c r="L16">
        <f t="shared" si="0"/>
        <v>9.9613742630615985</v>
      </c>
      <c r="M16">
        <f t="shared" si="1"/>
        <v>38.62573693840212</v>
      </c>
      <c r="N16">
        <f t="shared" si="3"/>
        <v>5.1266916210768798</v>
      </c>
      <c r="O16">
        <f t="shared" si="4"/>
        <v>7.1245669528543454</v>
      </c>
      <c r="P16">
        <f t="shared" si="5"/>
        <v>1.0573340567914631</v>
      </c>
      <c r="Q16">
        <f t="shared" si="6"/>
        <v>1.0318949343339587</v>
      </c>
      <c r="R16">
        <f t="shared" si="7"/>
        <v>0.37906137184115524</v>
      </c>
      <c r="S16">
        <f t="shared" si="8"/>
        <v>2.0105820105820107</v>
      </c>
      <c r="T16">
        <f t="shared" si="9"/>
        <v>3.0550688360450566</v>
      </c>
      <c r="U16">
        <f t="shared" si="10"/>
        <v>1.3879837997502966</v>
      </c>
      <c r="V16">
        <f t="shared" si="11"/>
        <v>0.91001731801850572</v>
      </c>
      <c r="W16">
        <f t="shared" si="12"/>
        <v>0</v>
      </c>
    </row>
    <row r="17" spans="1:23" x14ac:dyDescent="0.2">
      <c r="A17" t="s">
        <v>43</v>
      </c>
      <c r="B17" t="s">
        <v>25</v>
      </c>
      <c r="C17" t="s">
        <v>106</v>
      </c>
      <c r="D17">
        <v>49.52</v>
      </c>
      <c r="E17">
        <v>98.9</v>
      </c>
      <c r="F17">
        <v>5527</v>
      </c>
      <c r="G17">
        <f>1*10+312+93</f>
        <v>415</v>
      </c>
      <c r="H17">
        <f>95+19</f>
        <v>114</v>
      </c>
      <c r="I17">
        <f>91</f>
        <v>91</v>
      </c>
      <c r="J17">
        <v>38.270000000000003</v>
      </c>
      <c r="K17">
        <v>3.2290000000000001</v>
      </c>
      <c r="L17">
        <f t="shared" si="0"/>
        <v>28.182099721275936</v>
      </c>
      <c r="M17">
        <f t="shared" si="1"/>
        <v>128.5227624651595</v>
      </c>
      <c r="N17">
        <f t="shared" si="3"/>
        <v>4.4284480276418092</v>
      </c>
      <c r="O17">
        <f t="shared" si="4"/>
        <v>9.5255309534568475</v>
      </c>
      <c r="P17">
        <f t="shared" si="5"/>
        <v>1.5937782600831978</v>
      </c>
      <c r="Q17">
        <f t="shared" si="6"/>
        <v>2.4390243902439024</v>
      </c>
      <c r="R17">
        <f t="shared" si="7"/>
        <v>1.5342960288808665</v>
      </c>
      <c r="S17">
        <f t="shared" si="8"/>
        <v>4.2328042328042326</v>
      </c>
      <c r="T17">
        <f t="shared" si="9"/>
        <v>2.7722152690863586</v>
      </c>
      <c r="U17">
        <f t="shared" si="10"/>
        <v>0.873351807302293</v>
      </c>
      <c r="V17">
        <f t="shared" si="11"/>
        <v>2.8761032865337159</v>
      </c>
      <c r="W17">
        <f t="shared" si="12"/>
        <v>0</v>
      </c>
    </row>
    <row r="18" spans="1:23" x14ac:dyDescent="0.2">
      <c r="A18" t="s">
        <v>23</v>
      </c>
      <c r="B18" t="s">
        <v>25</v>
      </c>
      <c r="C18" t="s">
        <v>106</v>
      </c>
      <c r="D18">
        <v>44.76</v>
      </c>
      <c r="E18">
        <v>79.400000000000006</v>
      </c>
      <c r="F18">
        <v>9894</v>
      </c>
      <c r="G18">
        <f>10*10+332+244</f>
        <v>676</v>
      </c>
      <c r="H18">
        <f>66+6</f>
        <v>72</v>
      </c>
      <c r="I18">
        <f>54</f>
        <v>54</v>
      </c>
      <c r="J18">
        <v>51.63</v>
      </c>
      <c r="K18">
        <v>1.3140000000000001</v>
      </c>
      <c r="L18">
        <f t="shared" si="0"/>
        <v>41.095890410958901</v>
      </c>
      <c r="M18">
        <f t="shared" si="1"/>
        <v>514.45966514459667</v>
      </c>
      <c r="N18">
        <f t="shared" si="3"/>
        <v>3.7431615318168725</v>
      </c>
      <c r="O18">
        <f t="shared" si="4"/>
        <v>6.5883416177135121</v>
      </c>
      <c r="P18">
        <f t="shared" si="5"/>
        <v>3.1734490866341112</v>
      </c>
      <c r="Q18">
        <f t="shared" si="6"/>
        <v>4.0712945590994369</v>
      </c>
      <c r="R18">
        <f t="shared" si="7"/>
        <v>0.776173285198556</v>
      </c>
      <c r="S18">
        <f t="shared" si="8"/>
        <v>2.2751322751322753</v>
      </c>
      <c r="T18">
        <f t="shared" si="9"/>
        <v>4.4443053817271601</v>
      </c>
      <c r="U18">
        <f t="shared" si="10"/>
        <v>0.29020372118517612</v>
      </c>
      <c r="V18">
        <f t="shared" si="11"/>
        <v>4.2695506952855888</v>
      </c>
      <c r="W18">
        <f t="shared" si="12"/>
        <v>0</v>
      </c>
    </row>
    <row r="19" spans="1:23" x14ac:dyDescent="0.2">
      <c r="A19" t="s">
        <v>81</v>
      </c>
      <c r="B19" t="s">
        <v>26</v>
      </c>
      <c r="C19" t="s">
        <v>106</v>
      </c>
      <c r="D19">
        <v>81.23</v>
      </c>
      <c r="E19">
        <v>66.099999999999994</v>
      </c>
      <c r="F19">
        <v>1408</v>
      </c>
      <c r="G19">
        <f>2*10+63+20</f>
        <v>103</v>
      </c>
      <c r="H19">
        <f>32+14</f>
        <v>46</v>
      </c>
      <c r="I19">
        <f>36</f>
        <v>36</v>
      </c>
      <c r="J19">
        <v>33.67</v>
      </c>
      <c r="K19">
        <v>0.63500000000000001</v>
      </c>
      <c r="L19">
        <f t="shared" si="0"/>
        <v>56.69291338582677</v>
      </c>
      <c r="M19">
        <f t="shared" si="1"/>
        <v>162.20472440944883</v>
      </c>
      <c r="N19">
        <f t="shared" si="3"/>
        <v>8.9936654189461578</v>
      </c>
      <c r="O19">
        <f t="shared" si="4"/>
        <v>4.5850278656424157</v>
      </c>
      <c r="P19">
        <f t="shared" si="5"/>
        <v>0.10381624163501538</v>
      </c>
      <c r="Q19">
        <f t="shared" si="6"/>
        <v>0.48780487804878048</v>
      </c>
      <c r="R19">
        <f t="shared" si="7"/>
        <v>0.30685920577617326</v>
      </c>
      <c r="S19">
        <f t="shared" si="8"/>
        <v>1.3227513227513228</v>
      </c>
      <c r="T19">
        <f t="shared" si="9"/>
        <v>2.1964956195244056</v>
      </c>
      <c r="U19">
        <f t="shared" si="10"/>
        <v>8.3437376290386417E-2</v>
      </c>
      <c r="V19">
        <f t="shared" si="11"/>
        <v>5.9525291305746482</v>
      </c>
      <c r="W19">
        <f t="shared" si="12"/>
        <v>0</v>
      </c>
    </row>
    <row r="20" spans="1:23" x14ac:dyDescent="0.2">
      <c r="A20" t="s">
        <v>46</v>
      </c>
      <c r="B20" t="s">
        <v>26</v>
      </c>
      <c r="C20" t="s">
        <v>106</v>
      </c>
      <c r="D20">
        <v>64.63</v>
      </c>
      <c r="E20">
        <v>68.680000000000007</v>
      </c>
      <c r="F20">
        <v>8203</v>
      </c>
      <c r="G20">
        <f>4*10+265+82</f>
        <v>387</v>
      </c>
      <c r="H20">
        <f>84+11</f>
        <v>95</v>
      </c>
      <c r="I20">
        <f>100</f>
        <v>100</v>
      </c>
      <c r="J20">
        <v>42.65</v>
      </c>
      <c r="K20">
        <v>4.367</v>
      </c>
      <c r="L20">
        <f t="shared" si="0"/>
        <v>22.899015342340281</v>
      </c>
      <c r="M20">
        <f t="shared" si="1"/>
        <v>88.619189374856887</v>
      </c>
      <c r="N20">
        <f t="shared" si="3"/>
        <v>6.603800748632306</v>
      </c>
      <c r="O20">
        <f t="shared" si="4"/>
        <v>4.9736406085253817</v>
      </c>
      <c r="P20">
        <f t="shared" si="5"/>
        <v>2.5617652378368603</v>
      </c>
      <c r="Q20">
        <f t="shared" si="6"/>
        <v>2.2639149468417763</v>
      </c>
      <c r="R20">
        <f t="shared" si="7"/>
        <v>1.1913357400722022</v>
      </c>
      <c r="S20">
        <f t="shared" si="8"/>
        <v>4.7089947089947088</v>
      </c>
      <c r="T20">
        <f t="shared" si="9"/>
        <v>3.320400500625782</v>
      </c>
      <c r="U20">
        <f t="shared" si="10"/>
        <v>1.219890983282073</v>
      </c>
      <c r="V20">
        <f t="shared" si="11"/>
        <v>2.3060382750319608</v>
      </c>
      <c r="W20">
        <f t="shared" si="12"/>
        <v>0</v>
      </c>
    </row>
    <row r="21" spans="1:23" x14ac:dyDescent="0.2">
      <c r="A21" t="s">
        <v>24</v>
      </c>
      <c r="B21" t="s">
        <v>26</v>
      </c>
      <c r="C21" t="s">
        <v>106</v>
      </c>
      <c r="D21">
        <v>63.54</v>
      </c>
      <c r="E21">
        <v>71.7</v>
      </c>
      <c r="F21">
        <v>3587</v>
      </c>
      <c r="G21">
        <f>4*10+101+48</f>
        <v>189</v>
      </c>
      <c r="H21">
        <f>54+5</f>
        <v>59</v>
      </c>
      <c r="I21">
        <f>53</f>
        <v>53</v>
      </c>
      <c r="J21">
        <v>25.14</v>
      </c>
      <c r="K21">
        <v>1.83</v>
      </c>
      <c r="L21">
        <f t="shared" si="0"/>
        <v>28.961748633879779</v>
      </c>
      <c r="M21">
        <f t="shared" si="1"/>
        <v>103.27868852459017</v>
      </c>
      <c r="N21">
        <f t="shared" si="3"/>
        <v>6.4468758997984459</v>
      </c>
      <c r="O21">
        <f t="shared" si="4"/>
        <v>5.4285283928302466</v>
      </c>
      <c r="P21">
        <f t="shared" si="5"/>
        <v>0.89202387411828543</v>
      </c>
      <c r="Q21">
        <f t="shared" si="6"/>
        <v>1.0256410256410255</v>
      </c>
      <c r="R21">
        <f t="shared" si="7"/>
        <v>0.54151624548736466</v>
      </c>
      <c r="S21">
        <f t="shared" si="8"/>
        <v>2.2222222222222223</v>
      </c>
      <c r="T21">
        <f t="shared" si="9"/>
        <v>1.1289111389236546</v>
      </c>
      <c r="U21">
        <f t="shared" si="10"/>
        <v>0.44733396266634179</v>
      </c>
      <c r="V21">
        <f t="shared" si="11"/>
        <v>2.9602303862451889</v>
      </c>
      <c r="W21">
        <f t="shared" si="12"/>
        <v>0</v>
      </c>
    </row>
    <row r="22" spans="1:23" x14ac:dyDescent="0.2">
      <c r="A22" t="s">
        <v>27</v>
      </c>
      <c r="B22" t="s">
        <v>28</v>
      </c>
      <c r="C22" t="s">
        <v>107</v>
      </c>
      <c r="D22">
        <v>39.24</v>
      </c>
      <c r="E22">
        <v>58.82</v>
      </c>
      <c r="F22">
        <v>4347</v>
      </c>
      <c r="G22">
        <f>3*10+163+145</f>
        <v>338</v>
      </c>
      <c r="H22">
        <f>137+28</f>
        <v>165</v>
      </c>
      <c r="I22">
        <f>63</f>
        <v>63</v>
      </c>
      <c r="J22">
        <v>61.11</v>
      </c>
      <c r="K22">
        <v>11.2</v>
      </c>
      <c r="L22">
        <f t="shared" si="0"/>
        <v>5.625</v>
      </c>
      <c r="M22">
        <f t="shared" si="1"/>
        <v>30.178571428571431</v>
      </c>
      <c r="N22">
        <f t="shared" si="3"/>
        <v>2.9484595450619064</v>
      </c>
      <c r="O22">
        <f t="shared" si="4"/>
        <v>3.4884771802982382</v>
      </c>
      <c r="P22">
        <f t="shared" si="5"/>
        <v>1.1669379634653645</v>
      </c>
      <c r="Q22">
        <f t="shared" si="6"/>
        <v>1.9574734208880551</v>
      </c>
      <c r="R22">
        <f t="shared" si="7"/>
        <v>2.4548736462093861</v>
      </c>
      <c r="S22">
        <f t="shared" si="8"/>
        <v>2.7513227513227512</v>
      </c>
      <c r="T22">
        <f t="shared" si="9"/>
        <v>5.6307884856070087</v>
      </c>
      <c r="U22">
        <f t="shared" si="10"/>
        <v>3.3006486190200666</v>
      </c>
      <c r="V22">
        <f t="shared" si="11"/>
        <v>0.442105949045416</v>
      </c>
      <c r="W22">
        <f t="shared" si="12"/>
        <v>1</v>
      </c>
    </row>
    <row r="23" spans="1:23" x14ac:dyDescent="0.2">
      <c r="A23" t="s">
        <v>29</v>
      </c>
      <c r="B23" t="s">
        <v>30</v>
      </c>
      <c r="C23" t="s">
        <v>107</v>
      </c>
      <c r="D23">
        <v>22.32</v>
      </c>
      <c r="E23">
        <v>55.63</v>
      </c>
      <c r="F23">
        <v>13278</v>
      </c>
      <c r="G23">
        <f>4*10+179+129</f>
        <v>348</v>
      </c>
      <c r="H23">
        <f>149+17</f>
        <v>166</v>
      </c>
      <c r="I23">
        <f>96</f>
        <v>96</v>
      </c>
      <c r="J23">
        <v>71.84</v>
      </c>
      <c r="K23">
        <v>10.8</v>
      </c>
      <c r="L23">
        <f t="shared" si="0"/>
        <v>8.8888888888888875</v>
      </c>
      <c r="M23">
        <f t="shared" si="1"/>
        <v>32.222222222222221</v>
      </c>
      <c r="N23">
        <f t="shared" si="3"/>
        <v>0.51252519435646404</v>
      </c>
      <c r="O23">
        <f t="shared" si="4"/>
        <v>3.0079831299894568</v>
      </c>
      <c r="P23">
        <f t="shared" si="5"/>
        <v>4.3975402423584731</v>
      </c>
      <c r="Q23">
        <f t="shared" si="6"/>
        <v>2.0200125078173858</v>
      </c>
      <c r="R23">
        <f t="shared" si="7"/>
        <v>2.4729241877256318</v>
      </c>
      <c r="S23">
        <f t="shared" si="8"/>
        <v>4.4973544973544977</v>
      </c>
      <c r="T23">
        <f t="shared" si="9"/>
        <v>6.9737171464330423</v>
      </c>
      <c r="U23">
        <f t="shared" si="10"/>
        <v>3.1788422302749773</v>
      </c>
      <c r="V23">
        <f t="shared" si="11"/>
        <v>0.79429204404769638</v>
      </c>
      <c r="W23">
        <f t="shared" si="12"/>
        <v>1</v>
      </c>
    </row>
    <row r="24" spans="1:23" x14ac:dyDescent="0.2">
      <c r="A24" t="s">
        <v>31</v>
      </c>
      <c r="B24" t="s">
        <v>32</v>
      </c>
      <c r="C24" t="s">
        <v>107</v>
      </c>
      <c r="D24">
        <v>47.45</v>
      </c>
      <c r="E24">
        <v>50.6</v>
      </c>
      <c r="F24">
        <v>4310</v>
      </c>
      <c r="G24">
        <f>3*10+60+40</f>
        <v>130</v>
      </c>
      <c r="H24">
        <f>76+12</f>
        <v>88</v>
      </c>
      <c r="I24">
        <f>56</f>
        <v>56</v>
      </c>
      <c r="J24">
        <v>77.87</v>
      </c>
      <c r="K24">
        <v>5.4249999999999998</v>
      </c>
      <c r="L24">
        <f t="shared" si="0"/>
        <v>10.32258064516129</v>
      </c>
      <c r="M24">
        <f t="shared" si="1"/>
        <v>23.963133640552996</v>
      </c>
      <c r="N24">
        <f t="shared" si="3"/>
        <v>4.1304347826086962</v>
      </c>
      <c r="O24">
        <f t="shared" si="4"/>
        <v>2.2503389064618169</v>
      </c>
      <c r="P24">
        <f t="shared" si="5"/>
        <v>1.1535539880629408</v>
      </c>
      <c r="Q24">
        <f t="shared" si="6"/>
        <v>0.65666041275797371</v>
      </c>
      <c r="R24">
        <f t="shared" si="7"/>
        <v>1.0649819494584838</v>
      </c>
      <c r="S24">
        <f t="shared" si="8"/>
        <v>2.3809523809523809</v>
      </c>
      <c r="T24">
        <f t="shared" si="9"/>
        <v>7.7284105131414274</v>
      </c>
      <c r="U24">
        <f t="shared" si="10"/>
        <v>1.5420688815128352</v>
      </c>
      <c r="V24">
        <f t="shared" si="11"/>
        <v>0.94899286820792961</v>
      </c>
      <c r="W24">
        <f t="shared" si="12"/>
        <v>1</v>
      </c>
    </row>
    <row r="25" spans="1:23" x14ac:dyDescent="0.2">
      <c r="A25" t="s">
        <v>33</v>
      </c>
      <c r="B25" t="s">
        <v>34</v>
      </c>
      <c r="C25" t="s">
        <v>107</v>
      </c>
      <c r="D25">
        <v>36.67</v>
      </c>
      <c r="E25">
        <v>35.659999999999997</v>
      </c>
      <c r="F25">
        <v>2075</v>
      </c>
      <c r="G25">
        <f>4*10+63+26</f>
        <v>129</v>
      </c>
      <c r="H25">
        <f>50+7</f>
        <v>57</v>
      </c>
      <c r="I25">
        <f>34</f>
        <v>34</v>
      </c>
      <c r="J25">
        <v>74.52</v>
      </c>
      <c r="K25">
        <v>7</v>
      </c>
      <c r="L25">
        <f t="shared" si="0"/>
        <v>4.8571428571428568</v>
      </c>
      <c r="M25">
        <f t="shared" si="1"/>
        <v>18.428571428571427</v>
      </c>
      <c r="N25">
        <f t="shared" si="3"/>
        <v>2.578462424416931</v>
      </c>
      <c r="O25">
        <f t="shared" si="4"/>
        <v>0</v>
      </c>
      <c r="P25">
        <f t="shared" si="5"/>
        <v>0.34508952794357028</v>
      </c>
      <c r="Q25">
        <f t="shared" si="6"/>
        <v>0.65040650406504064</v>
      </c>
      <c r="R25">
        <f t="shared" si="7"/>
        <v>0.50541516245487361</v>
      </c>
      <c r="S25">
        <f t="shared" si="8"/>
        <v>1.216931216931217</v>
      </c>
      <c r="T25">
        <f t="shared" si="9"/>
        <v>7.3091364205256566</v>
      </c>
      <c r="U25">
        <f t="shared" si="10"/>
        <v>2.0216815371966255</v>
      </c>
      <c r="V25">
        <f t="shared" si="11"/>
        <v>0.35925122639138402</v>
      </c>
      <c r="W25">
        <f t="shared" si="12"/>
        <v>1</v>
      </c>
    </row>
    <row r="26" spans="1:23" x14ac:dyDescent="0.2">
      <c r="A26" t="s">
        <v>35</v>
      </c>
      <c r="B26" t="s">
        <v>36</v>
      </c>
      <c r="C26" t="s">
        <v>107</v>
      </c>
      <c r="D26">
        <v>31.19</v>
      </c>
      <c r="E26">
        <v>41.61</v>
      </c>
      <c r="F26">
        <v>2252</v>
      </c>
      <c r="G26">
        <f>3*10+49+26</f>
        <v>105</v>
      </c>
      <c r="H26">
        <f>59+14</f>
        <v>73</v>
      </c>
      <c r="I26">
        <f>38</f>
        <v>38</v>
      </c>
      <c r="J26">
        <v>87.92</v>
      </c>
      <c r="K26">
        <v>7</v>
      </c>
      <c r="L26">
        <f t="shared" si="0"/>
        <v>5.4285714285714288</v>
      </c>
      <c r="M26">
        <f t="shared" si="1"/>
        <v>15</v>
      </c>
      <c r="N26">
        <f t="shared" si="3"/>
        <v>1.7895191477109129</v>
      </c>
      <c r="O26">
        <f t="shared" si="4"/>
        <v>0.89621931013706924</v>
      </c>
      <c r="P26">
        <f t="shared" si="5"/>
        <v>0.40911557243624525</v>
      </c>
      <c r="Q26">
        <f t="shared" si="6"/>
        <v>0.50031269543464663</v>
      </c>
      <c r="R26">
        <f t="shared" si="7"/>
        <v>0.79422382671480141</v>
      </c>
      <c r="S26">
        <f t="shared" si="8"/>
        <v>1.4285714285714286</v>
      </c>
      <c r="T26">
        <f t="shared" si="9"/>
        <v>8.986232790988737</v>
      </c>
      <c r="U26">
        <f t="shared" si="10"/>
        <v>2.0216815371966255</v>
      </c>
      <c r="V26">
        <f t="shared" si="11"/>
        <v>0.42091055487810558</v>
      </c>
      <c r="W26">
        <f t="shared" si="12"/>
        <v>1</v>
      </c>
    </row>
    <row r="27" spans="1:23" x14ac:dyDescent="0.2">
      <c r="A27" t="s">
        <v>37</v>
      </c>
      <c r="B27" t="s">
        <v>30</v>
      </c>
      <c r="C27" t="s">
        <v>107</v>
      </c>
      <c r="D27">
        <v>27.74</v>
      </c>
      <c r="E27">
        <v>53.32</v>
      </c>
      <c r="F27">
        <v>25988</v>
      </c>
      <c r="G27">
        <f>2*10+208+171</f>
        <v>399</v>
      </c>
      <c r="H27">
        <f>169+13</f>
        <v>182</v>
      </c>
      <c r="I27">
        <f>55</f>
        <v>55</v>
      </c>
      <c r="J27">
        <v>87.14</v>
      </c>
      <c r="K27">
        <v>17.7</v>
      </c>
      <c r="L27">
        <f t="shared" si="0"/>
        <v>3.1073446327683616</v>
      </c>
      <c r="M27">
        <f t="shared" si="1"/>
        <v>22.542372881355934</v>
      </c>
      <c r="N27">
        <f t="shared" si="3"/>
        <v>1.2928304059890581</v>
      </c>
      <c r="O27">
        <f t="shared" si="4"/>
        <v>2.6600391625244768</v>
      </c>
      <c r="P27">
        <f t="shared" si="5"/>
        <v>8.9951166576234396</v>
      </c>
      <c r="Q27">
        <f t="shared" si="6"/>
        <v>2.3389618511569732</v>
      </c>
      <c r="R27">
        <f t="shared" si="7"/>
        <v>2.7617328519855597</v>
      </c>
      <c r="S27">
        <f t="shared" si="8"/>
        <v>2.3280423280423279</v>
      </c>
      <c r="T27">
        <f t="shared" si="9"/>
        <v>8.8886107634543183</v>
      </c>
      <c r="U27">
        <f t="shared" si="10"/>
        <v>5.2800024361277735</v>
      </c>
      <c r="V27">
        <f t="shared" si="11"/>
        <v>0.17044130526255338</v>
      </c>
      <c r="W27">
        <f t="shared" si="12"/>
        <v>1</v>
      </c>
    </row>
    <row r="28" spans="1:23" x14ac:dyDescent="0.2">
      <c r="A28" t="s">
        <v>38</v>
      </c>
      <c r="B28" t="s">
        <v>30</v>
      </c>
      <c r="C28" t="s">
        <v>107</v>
      </c>
      <c r="D28">
        <v>42.77</v>
      </c>
      <c r="E28">
        <v>47.61</v>
      </c>
      <c r="F28">
        <v>4008</v>
      </c>
      <c r="G28">
        <f>1*10+10+25</f>
        <v>45</v>
      </c>
      <c r="H28">
        <f>34+15</f>
        <v>49</v>
      </c>
      <c r="I28">
        <f>65</f>
        <v>65</v>
      </c>
      <c r="J28">
        <v>49.75</v>
      </c>
      <c r="K28">
        <v>0.69</v>
      </c>
      <c r="L28">
        <f t="shared" si="0"/>
        <v>94.20289855072464</v>
      </c>
      <c r="M28">
        <f t="shared" si="1"/>
        <v>65.217391304347828</v>
      </c>
      <c r="N28">
        <f t="shared" si="3"/>
        <v>3.4566657068816591</v>
      </c>
      <c r="O28">
        <f t="shared" si="4"/>
        <v>1.7999698749811723</v>
      </c>
      <c r="P28">
        <f t="shared" si="5"/>
        <v>1.0443118104539699</v>
      </c>
      <c r="Q28">
        <f t="shared" si="6"/>
        <v>0.12507817385866166</v>
      </c>
      <c r="R28">
        <f t="shared" si="7"/>
        <v>0.36101083032490977</v>
      </c>
      <c r="S28">
        <f t="shared" si="8"/>
        <v>2.8571428571428572</v>
      </c>
      <c r="T28">
        <f t="shared" si="9"/>
        <v>4.2090112640801003</v>
      </c>
      <c r="U28">
        <f t="shared" si="10"/>
        <v>0.10018575474283622</v>
      </c>
      <c r="V28">
        <f t="shared" si="11"/>
        <v>10</v>
      </c>
      <c r="W28">
        <f t="shared" si="12"/>
        <v>0</v>
      </c>
    </row>
    <row r="29" spans="1:23" x14ac:dyDescent="0.2">
      <c r="A29" t="s">
        <v>39</v>
      </c>
      <c r="B29" t="s">
        <v>40</v>
      </c>
      <c r="C29" t="s">
        <v>107</v>
      </c>
      <c r="D29">
        <v>45.04</v>
      </c>
      <c r="E29">
        <v>44.57</v>
      </c>
      <c r="F29">
        <v>1175</v>
      </c>
      <c r="G29">
        <f>1*10+22+7</f>
        <v>39</v>
      </c>
      <c r="H29">
        <f>50+2</f>
        <v>52</v>
      </c>
      <c r="I29">
        <f>25</f>
        <v>25</v>
      </c>
      <c r="J29">
        <v>67.97</v>
      </c>
      <c r="K29">
        <v>1.5</v>
      </c>
      <c r="L29">
        <f t="shared" si="0"/>
        <v>16.666666666666668</v>
      </c>
      <c r="M29">
        <f t="shared" si="1"/>
        <v>26</v>
      </c>
      <c r="N29">
        <f t="shared" si="3"/>
        <v>3.7834725021595159</v>
      </c>
      <c r="O29">
        <f t="shared" si="4"/>
        <v>1.3420695887934935</v>
      </c>
      <c r="P29">
        <f t="shared" si="5"/>
        <v>1.9533369506239826E-2</v>
      </c>
      <c r="Q29">
        <f t="shared" si="6"/>
        <v>8.7554721701063168E-2</v>
      </c>
      <c r="R29">
        <f t="shared" si="7"/>
        <v>0.41516245487364623</v>
      </c>
      <c r="S29">
        <f t="shared" si="8"/>
        <v>0.7407407407407407</v>
      </c>
      <c r="T29">
        <f t="shared" si="9"/>
        <v>6.4893617021276606</v>
      </c>
      <c r="U29">
        <f t="shared" si="10"/>
        <v>0.34684369195164283</v>
      </c>
      <c r="V29">
        <f t="shared" si="11"/>
        <v>1.6335440151169607</v>
      </c>
      <c r="W29">
        <f t="shared" si="12"/>
        <v>0</v>
      </c>
    </row>
    <row r="30" spans="1:23" x14ac:dyDescent="0.2">
      <c r="A30" t="s">
        <v>41</v>
      </c>
      <c r="B30" t="s">
        <v>30</v>
      </c>
      <c r="C30" t="s">
        <v>107</v>
      </c>
      <c r="D30">
        <v>30.96</v>
      </c>
      <c r="E30">
        <v>45.28</v>
      </c>
      <c r="F30">
        <v>2614</v>
      </c>
      <c r="G30">
        <f>0*10+12+13</f>
        <v>25</v>
      </c>
      <c r="H30">
        <f>27+2</f>
        <v>29</v>
      </c>
      <c r="I30">
        <f>34</f>
        <v>34</v>
      </c>
      <c r="J30">
        <v>51.72</v>
      </c>
      <c r="K30">
        <v>0.80400000000000005</v>
      </c>
      <c r="L30">
        <f t="shared" si="0"/>
        <v>42.288557213930346</v>
      </c>
      <c r="M30">
        <f t="shared" si="1"/>
        <v>31.094527363184078</v>
      </c>
      <c r="N30">
        <f t="shared" si="3"/>
        <v>1.756406564929456</v>
      </c>
      <c r="O30">
        <f t="shared" si="4"/>
        <v>1.4490134056333792</v>
      </c>
      <c r="P30">
        <f t="shared" si="5"/>
        <v>0.5400614939410382</v>
      </c>
      <c r="Q30">
        <f t="shared" si="6"/>
        <v>0</v>
      </c>
      <c r="R30">
        <f t="shared" si="7"/>
        <v>0</v>
      </c>
      <c r="S30">
        <f t="shared" si="8"/>
        <v>1.216931216931217</v>
      </c>
      <c r="T30">
        <f t="shared" si="9"/>
        <v>4.4555694618272836</v>
      </c>
      <c r="U30">
        <f t="shared" si="10"/>
        <v>0.13490057553518681</v>
      </c>
      <c r="V30">
        <f t="shared" si="11"/>
        <v>4.3982440050999312</v>
      </c>
      <c r="W30">
        <f t="shared" si="12"/>
        <v>0</v>
      </c>
    </row>
    <row r="31" spans="1:23" x14ac:dyDescent="0.2">
      <c r="A31" t="s">
        <v>42</v>
      </c>
      <c r="B31" t="s">
        <v>77</v>
      </c>
      <c r="C31" t="s">
        <v>108</v>
      </c>
      <c r="D31">
        <v>28.21</v>
      </c>
      <c r="E31">
        <v>37.43</v>
      </c>
      <c r="F31">
        <v>1121</v>
      </c>
      <c r="G31">
        <f>2*10+16+29</f>
        <v>65</v>
      </c>
      <c r="H31">
        <f>41+11</f>
        <v>52</v>
      </c>
      <c r="I31">
        <f>34</f>
        <v>34</v>
      </c>
      <c r="J31">
        <v>39.950000000000003</v>
      </c>
      <c r="K31">
        <v>2.7</v>
      </c>
      <c r="L31">
        <f t="shared" si="0"/>
        <v>12.592592592592592</v>
      </c>
      <c r="M31">
        <f t="shared" si="1"/>
        <v>24.074074074074073</v>
      </c>
      <c r="N31">
        <f t="shared" si="3"/>
        <v>1.3604952490642097</v>
      </c>
      <c r="O31">
        <f t="shared" si="4"/>
        <v>0.26660641662901086</v>
      </c>
      <c r="P31">
        <f t="shared" si="5"/>
        <v>0</v>
      </c>
      <c r="Q31">
        <f t="shared" si="6"/>
        <v>0.25015634771732331</v>
      </c>
      <c r="R31">
        <f t="shared" si="7"/>
        <v>0.41516245487364623</v>
      </c>
      <c r="S31">
        <f t="shared" si="8"/>
        <v>1.216931216931217</v>
      </c>
      <c r="T31">
        <f t="shared" si="9"/>
        <v>2.9824780976220282</v>
      </c>
      <c r="U31">
        <f t="shared" si="10"/>
        <v>0.71226285818691193</v>
      </c>
      <c r="V31">
        <f t="shared" si="11"/>
        <v>1.1939358397949649</v>
      </c>
      <c r="W31">
        <f t="shared" si="12"/>
        <v>0</v>
      </c>
    </row>
    <row r="32" spans="1:23" x14ac:dyDescent="0.2">
      <c r="A32" t="s">
        <v>47</v>
      </c>
      <c r="B32" t="s">
        <v>48</v>
      </c>
      <c r="C32" t="s">
        <v>109</v>
      </c>
      <c r="D32">
        <v>53.55</v>
      </c>
      <c r="E32">
        <v>85.24</v>
      </c>
      <c r="F32">
        <v>21413</v>
      </c>
      <c r="G32">
        <f>1*10+1280+334</f>
        <v>1624</v>
      </c>
      <c r="H32">
        <f>311+97</f>
        <v>408</v>
      </c>
      <c r="I32">
        <f>159</f>
        <v>159</v>
      </c>
      <c r="J32">
        <v>56.35</v>
      </c>
      <c r="K32">
        <v>8.27</v>
      </c>
      <c r="L32">
        <f t="shared" si="0"/>
        <v>19.226118500604596</v>
      </c>
      <c r="M32">
        <f t="shared" si="1"/>
        <v>196.37243047158404</v>
      </c>
      <c r="N32">
        <f t="shared" si="3"/>
        <v>5.0086380650734226</v>
      </c>
      <c r="O32">
        <f t="shared" si="4"/>
        <v>7.4679921674951038</v>
      </c>
      <c r="P32">
        <f t="shared" si="5"/>
        <v>7.34020618556701</v>
      </c>
      <c r="Q32">
        <f t="shared" si="6"/>
        <v>10</v>
      </c>
      <c r="R32">
        <f t="shared" si="7"/>
        <v>6.8411552346570401</v>
      </c>
      <c r="S32">
        <f t="shared" si="8"/>
        <v>7.8306878306878307</v>
      </c>
      <c r="T32">
        <f t="shared" si="9"/>
        <v>5.0350438047559463</v>
      </c>
      <c r="U32">
        <f t="shared" si="10"/>
        <v>2.4084168214622852</v>
      </c>
      <c r="V32">
        <f t="shared" si="11"/>
        <v>1.9097186575227214</v>
      </c>
      <c r="W32">
        <f t="shared" si="12"/>
        <v>1</v>
      </c>
    </row>
    <row r="33" spans="1:23" x14ac:dyDescent="0.2">
      <c r="A33" t="s">
        <v>49</v>
      </c>
      <c r="B33" t="s">
        <v>48</v>
      </c>
      <c r="C33" t="s">
        <v>109</v>
      </c>
      <c r="D33">
        <v>70.56</v>
      </c>
      <c r="E33">
        <v>72.61</v>
      </c>
      <c r="F33">
        <v>2358</v>
      </c>
      <c r="G33">
        <f>2*10+216+28</f>
        <v>264</v>
      </c>
      <c r="H33">
        <f>90+31</f>
        <v>121</v>
      </c>
      <c r="I33">
        <f>25</f>
        <v>25</v>
      </c>
      <c r="J33">
        <v>16.12</v>
      </c>
      <c r="K33">
        <v>0.495</v>
      </c>
      <c r="L33">
        <f t="shared" si="0"/>
        <v>50.505050505050505</v>
      </c>
      <c r="M33">
        <f t="shared" si="1"/>
        <v>533.33333333333337</v>
      </c>
      <c r="N33">
        <f t="shared" si="3"/>
        <v>7.4575295133890016</v>
      </c>
      <c r="O33">
        <f t="shared" si="4"/>
        <v>5.5655972284982678</v>
      </c>
      <c r="P33">
        <f t="shared" si="5"/>
        <v>0.44745885331886415</v>
      </c>
      <c r="Q33">
        <f t="shared" si="6"/>
        <v>1.4946841776110069</v>
      </c>
      <c r="R33">
        <f t="shared" si="7"/>
        <v>1.6606498194945849</v>
      </c>
      <c r="S33">
        <f t="shared" si="8"/>
        <v>0.7407407407407407</v>
      </c>
      <c r="T33">
        <f t="shared" si="9"/>
        <v>0</v>
      </c>
      <c r="U33">
        <f t="shared" si="10"/>
        <v>4.080514022960504E-2</v>
      </c>
      <c r="V33">
        <f t="shared" si="11"/>
        <v>5.2848350580806427</v>
      </c>
      <c r="W33">
        <f t="shared" si="12"/>
        <v>0</v>
      </c>
    </row>
    <row r="34" spans="1:23" x14ac:dyDescent="0.2">
      <c r="A34" t="s">
        <v>50</v>
      </c>
      <c r="B34" t="s">
        <v>51</v>
      </c>
      <c r="C34" t="s">
        <v>109</v>
      </c>
      <c r="D34">
        <v>47.9</v>
      </c>
      <c r="E34">
        <v>83.89</v>
      </c>
      <c r="F34">
        <v>16140</v>
      </c>
      <c r="G34">
        <f>4*10+409+240</f>
        <v>689</v>
      </c>
      <c r="H34">
        <f>216+52</f>
        <v>268</v>
      </c>
      <c r="I34">
        <f>78</f>
        <v>78</v>
      </c>
      <c r="J34">
        <v>68.010000000000005</v>
      </c>
      <c r="K34">
        <v>9.6449999999999996</v>
      </c>
      <c r="L34">
        <f t="shared" ref="L34:L65" si="13">I34/K34</f>
        <v>8.0870917573872472</v>
      </c>
      <c r="M34">
        <f t="shared" ref="M34:M54" si="14">G34/K34</f>
        <v>71.435977190254022</v>
      </c>
      <c r="N34">
        <f t="shared" si="3"/>
        <v>4.1952202706593722</v>
      </c>
      <c r="O34">
        <f t="shared" si="4"/>
        <v>7.2646482904051828</v>
      </c>
      <c r="P34">
        <f t="shared" si="5"/>
        <v>5.4328088261891843</v>
      </c>
      <c r="Q34">
        <f t="shared" si="6"/>
        <v>4.1525953721075668</v>
      </c>
      <c r="R34">
        <f t="shared" si="7"/>
        <v>4.3140794223826715</v>
      </c>
      <c r="S34">
        <f t="shared" si="8"/>
        <v>3.5449735449735451</v>
      </c>
      <c r="T34">
        <f t="shared" si="9"/>
        <v>6.4943679599499378</v>
      </c>
      <c r="U34">
        <f t="shared" si="10"/>
        <v>2.8271262827735306</v>
      </c>
      <c r="V34">
        <f t="shared" si="11"/>
        <v>0.70777506680349778</v>
      </c>
      <c r="W34">
        <f t="shared" si="12"/>
        <v>1</v>
      </c>
    </row>
    <row r="35" spans="1:23" x14ac:dyDescent="0.2">
      <c r="A35" t="s">
        <v>52</v>
      </c>
      <c r="B35" t="s">
        <v>51</v>
      </c>
      <c r="C35" t="s">
        <v>109</v>
      </c>
      <c r="D35">
        <v>39.159999999999997</v>
      </c>
      <c r="E35">
        <v>64.05</v>
      </c>
      <c r="F35">
        <v>1992</v>
      </c>
      <c r="G35">
        <f>2*10+33+17</f>
        <v>70</v>
      </c>
      <c r="H35">
        <f>30+8</f>
        <v>38</v>
      </c>
      <c r="I35">
        <f>21</f>
        <v>21</v>
      </c>
      <c r="J35">
        <v>65.33</v>
      </c>
      <c r="K35">
        <v>1.35</v>
      </c>
      <c r="L35">
        <f t="shared" si="13"/>
        <v>15.555555555555555</v>
      </c>
      <c r="M35">
        <f t="shared" si="14"/>
        <v>51.851851851851848</v>
      </c>
      <c r="N35">
        <f t="shared" si="3"/>
        <v>2.9369421249640073</v>
      </c>
      <c r="O35">
        <f t="shared" si="4"/>
        <v>4.2762464226540136</v>
      </c>
      <c r="P35">
        <f t="shared" si="5"/>
        <v>0.31506601555434977</v>
      </c>
      <c r="Q35">
        <f t="shared" si="6"/>
        <v>0.28142589118198874</v>
      </c>
      <c r="R35">
        <f t="shared" si="7"/>
        <v>0.16245487364620939</v>
      </c>
      <c r="S35">
        <f t="shared" si="8"/>
        <v>0.52910052910052907</v>
      </c>
      <c r="T35">
        <f t="shared" si="9"/>
        <v>6.1589486858573208</v>
      </c>
      <c r="U35">
        <f t="shared" si="10"/>
        <v>0.30116629617223417</v>
      </c>
      <c r="V35">
        <f t="shared" si="11"/>
        <v>1.5136508763927801</v>
      </c>
      <c r="W35">
        <f t="shared" si="12"/>
        <v>0</v>
      </c>
    </row>
    <row r="36" spans="1:23" x14ac:dyDescent="0.2">
      <c r="A36" t="s">
        <v>72</v>
      </c>
      <c r="B36" t="s">
        <v>79</v>
      </c>
      <c r="C36" t="s">
        <v>109</v>
      </c>
      <c r="D36">
        <v>71.84</v>
      </c>
      <c r="E36">
        <v>93.43</v>
      </c>
      <c r="F36">
        <v>2579</v>
      </c>
      <c r="G36">
        <f>0*10+116+26</f>
        <v>142</v>
      </c>
      <c r="H36">
        <f>113+41</f>
        <v>154</v>
      </c>
      <c r="I36">
        <f>22</f>
        <v>22</v>
      </c>
      <c r="J36">
        <v>45.41</v>
      </c>
      <c r="K36">
        <v>0.36199999999999999</v>
      </c>
      <c r="L36">
        <f t="shared" si="13"/>
        <v>60.773480662983424</v>
      </c>
      <c r="M36">
        <f t="shared" si="14"/>
        <v>392.26519337016578</v>
      </c>
      <c r="N36">
        <f t="shared" si="3"/>
        <v>7.64180823495537</v>
      </c>
      <c r="O36">
        <f t="shared" si="4"/>
        <v>8.701611688507306</v>
      </c>
      <c r="P36">
        <f t="shared" si="5"/>
        <v>0.5274009766684753</v>
      </c>
      <c r="Q36">
        <f t="shared" si="6"/>
        <v>0.73170731707317072</v>
      </c>
      <c r="R36">
        <f t="shared" si="7"/>
        <v>2.256317689530686</v>
      </c>
      <c r="S36">
        <f t="shared" si="8"/>
        <v>0.58201058201058198</v>
      </c>
      <c r="T36">
        <f t="shared" si="9"/>
        <v>3.6658322903629537</v>
      </c>
      <c r="U36">
        <f t="shared" si="10"/>
        <v>3.0451597186272441E-4</v>
      </c>
      <c r="V36">
        <f t="shared" si="11"/>
        <v>6.3928379473447938</v>
      </c>
      <c r="W36">
        <f t="shared" si="12"/>
        <v>0</v>
      </c>
    </row>
    <row r="37" spans="1:23" x14ac:dyDescent="0.2">
      <c r="A37" t="s">
        <v>53</v>
      </c>
      <c r="B37" t="s">
        <v>79</v>
      </c>
      <c r="C37" t="s">
        <v>109</v>
      </c>
      <c r="D37">
        <v>45.18</v>
      </c>
      <c r="E37">
        <v>70.989999999999995</v>
      </c>
      <c r="F37">
        <v>11576</v>
      </c>
      <c r="G37">
        <f>10*10+589+94</f>
        <v>783</v>
      </c>
      <c r="H37">
        <f>192+174</f>
        <v>366</v>
      </c>
      <c r="I37">
        <f>78</f>
        <v>78</v>
      </c>
      <c r="J37">
        <v>66.8</v>
      </c>
      <c r="K37">
        <v>2.5</v>
      </c>
      <c r="L37">
        <f t="shared" si="13"/>
        <v>31.2</v>
      </c>
      <c r="M37">
        <f t="shared" si="14"/>
        <v>313.2</v>
      </c>
      <c r="N37">
        <f t="shared" si="3"/>
        <v>3.8036279873308381</v>
      </c>
      <c r="O37">
        <f t="shared" si="4"/>
        <v>5.3215845759903591</v>
      </c>
      <c r="P37">
        <f t="shared" si="5"/>
        <v>3.7818773738469886</v>
      </c>
      <c r="Q37">
        <f t="shared" si="6"/>
        <v>4.7404627892432769</v>
      </c>
      <c r="R37">
        <f t="shared" si="7"/>
        <v>6.0830324909747295</v>
      </c>
      <c r="S37">
        <f t="shared" si="8"/>
        <v>3.5449735449735451</v>
      </c>
      <c r="T37">
        <f t="shared" si="9"/>
        <v>6.3429286608260327</v>
      </c>
      <c r="U37">
        <f t="shared" si="10"/>
        <v>0.65135966381436694</v>
      </c>
      <c r="V37">
        <f t="shared" si="11"/>
        <v>3.2017462696292434</v>
      </c>
      <c r="W37">
        <f t="shared" si="12"/>
        <v>0</v>
      </c>
    </row>
    <row r="38" spans="1:23" x14ac:dyDescent="0.2">
      <c r="A38" t="s">
        <v>54</v>
      </c>
      <c r="B38" t="s">
        <v>82</v>
      </c>
      <c r="C38" t="s">
        <v>109</v>
      </c>
      <c r="D38">
        <v>62.71</v>
      </c>
      <c r="E38">
        <v>63.69</v>
      </c>
      <c r="F38">
        <v>7956</v>
      </c>
      <c r="G38">
        <f>3*10+592+106</f>
        <v>728</v>
      </c>
      <c r="H38">
        <f>207+43</f>
        <v>250</v>
      </c>
      <c r="I38">
        <f>53</f>
        <v>53</v>
      </c>
      <c r="J38">
        <v>39.82</v>
      </c>
      <c r="K38">
        <v>3.6749999999999998</v>
      </c>
      <c r="L38">
        <f t="shared" si="13"/>
        <v>14.421768707482993</v>
      </c>
      <c r="M38">
        <f t="shared" si="14"/>
        <v>198.0952380952381</v>
      </c>
      <c r="N38">
        <f t="shared" si="3"/>
        <v>6.3273826662827535</v>
      </c>
      <c r="O38">
        <f t="shared" si="4"/>
        <v>4.222021388763368</v>
      </c>
      <c r="P38">
        <f t="shared" si="5"/>
        <v>2.4724181587990595</v>
      </c>
      <c r="Q38">
        <f t="shared" si="6"/>
        <v>4.3964978111319573</v>
      </c>
      <c r="R38">
        <f t="shared" si="7"/>
        <v>3.9891696750902526</v>
      </c>
      <c r="S38">
        <f t="shared" si="8"/>
        <v>2.2222222222222223</v>
      </c>
      <c r="T38">
        <f t="shared" si="9"/>
        <v>2.9662077596996248</v>
      </c>
      <c r="U38">
        <f t="shared" si="10"/>
        <v>1.0091659307530678</v>
      </c>
      <c r="V38">
        <f t="shared" si="11"/>
        <v>1.3913109389191263</v>
      </c>
      <c r="W38">
        <f t="shared" si="12"/>
        <v>0</v>
      </c>
    </row>
    <row r="39" spans="1:23" x14ac:dyDescent="0.2">
      <c r="A39" t="s">
        <v>55</v>
      </c>
      <c r="B39" t="s">
        <v>82</v>
      </c>
      <c r="C39" t="s">
        <v>109</v>
      </c>
      <c r="D39">
        <v>60.68</v>
      </c>
      <c r="E39">
        <v>75.45</v>
      </c>
      <c r="F39">
        <v>2359</v>
      </c>
      <c r="G39">
        <f>1*10+138+20</f>
        <v>168</v>
      </c>
      <c r="H39">
        <f>38+16</f>
        <v>54</v>
      </c>
      <c r="I39">
        <f>17</f>
        <v>17</v>
      </c>
      <c r="J39">
        <v>37.369999999999997</v>
      </c>
      <c r="K39">
        <v>2.2599999999999998</v>
      </c>
      <c r="L39">
        <f t="shared" si="13"/>
        <v>7.5221238938053103</v>
      </c>
      <c r="M39">
        <f t="shared" si="14"/>
        <v>74.336283185840713</v>
      </c>
      <c r="N39">
        <f t="shared" si="3"/>
        <v>6.03512813129859</v>
      </c>
      <c r="O39">
        <f t="shared" si="4"/>
        <v>5.9933724958578116</v>
      </c>
      <c r="P39">
        <f t="shared" si="5"/>
        <v>0.44782058238379452</v>
      </c>
      <c r="Q39">
        <f t="shared" si="6"/>
        <v>0.89430894308943087</v>
      </c>
      <c r="R39">
        <f t="shared" si="7"/>
        <v>0.45126353790613716</v>
      </c>
      <c r="S39">
        <f t="shared" si="8"/>
        <v>0.31746031746031744</v>
      </c>
      <c r="T39">
        <f t="shared" si="9"/>
        <v>2.6595744680851063</v>
      </c>
      <c r="U39">
        <f t="shared" si="10"/>
        <v>0.57827583056731313</v>
      </c>
      <c r="V39">
        <f t="shared" si="11"/>
        <v>0.64681287340467797</v>
      </c>
      <c r="W39">
        <f t="shared" si="12"/>
        <v>0</v>
      </c>
    </row>
    <row r="40" spans="1:23" x14ac:dyDescent="0.2">
      <c r="A40" t="s">
        <v>56</v>
      </c>
      <c r="B40" t="s">
        <v>57</v>
      </c>
      <c r="C40" t="s">
        <v>109</v>
      </c>
      <c r="D40">
        <v>49.33</v>
      </c>
      <c r="E40">
        <v>58.32</v>
      </c>
      <c r="F40">
        <v>3395</v>
      </c>
      <c r="G40">
        <f>2*10+97+32</f>
        <v>149</v>
      </c>
      <c r="H40">
        <f>97+26</f>
        <v>123</v>
      </c>
      <c r="I40">
        <f>18</f>
        <v>18</v>
      </c>
      <c r="J40">
        <v>66.58</v>
      </c>
      <c r="K40">
        <v>3.6850000000000001</v>
      </c>
      <c r="L40">
        <f t="shared" si="13"/>
        <v>4.8846675712347354</v>
      </c>
      <c r="M40">
        <f t="shared" si="14"/>
        <v>40.434192672998641</v>
      </c>
      <c r="N40">
        <f t="shared" si="3"/>
        <v>4.4010941549093001</v>
      </c>
      <c r="O40">
        <f t="shared" si="4"/>
        <v>3.413164633227896</v>
      </c>
      <c r="P40">
        <f t="shared" si="5"/>
        <v>0.82257189365165495</v>
      </c>
      <c r="Q40">
        <f t="shared" si="6"/>
        <v>0.77548467792370235</v>
      </c>
      <c r="R40">
        <f t="shared" si="7"/>
        <v>1.6967509025270757</v>
      </c>
      <c r="S40">
        <f t="shared" si="8"/>
        <v>0.37037037037037035</v>
      </c>
      <c r="T40">
        <f t="shared" si="9"/>
        <v>6.3153942428035039</v>
      </c>
      <c r="U40">
        <f t="shared" si="10"/>
        <v>1.012211090471695</v>
      </c>
      <c r="V40">
        <f t="shared" si="11"/>
        <v>0.36222124831984892</v>
      </c>
      <c r="W40">
        <f t="shared" si="12"/>
        <v>0</v>
      </c>
    </row>
    <row r="41" spans="1:23" x14ac:dyDescent="0.2">
      <c r="A41" t="s">
        <v>58</v>
      </c>
      <c r="B41" t="s">
        <v>59</v>
      </c>
      <c r="C41" t="s">
        <v>109</v>
      </c>
      <c r="D41">
        <v>78.260000000000005</v>
      </c>
      <c r="E41">
        <v>68.38</v>
      </c>
      <c r="F41">
        <v>3914</v>
      </c>
      <c r="G41">
        <f>6*10+128+99</f>
        <v>287</v>
      </c>
      <c r="H41">
        <f>117+45</f>
        <v>162</v>
      </c>
      <c r="I41">
        <f>45</f>
        <v>45</v>
      </c>
      <c r="J41">
        <v>18.559999999999999</v>
      </c>
      <c r="K41">
        <v>1.55</v>
      </c>
      <c r="L41">
        <f t="shared" si="13"/>
        <v>29.032258064516128</v>
      </c>
      <c r="M41">
        <f t="shared" si="14"/>
        <v>185.16129032258064</v>
      </c>
      <c r="N41">
        <f t="shared" si="3"/>
        <v>8.5660811978116911</v>
      </c>
      <c r="O41">
        <f t="shared" si="4"/>
        <v>4.928453080283175</v>
      </c>
      <c r="P41">
        <f t="shared" si="5"/>
        <v>1.0103092783505154</v>
      </c>
      <c r="Q41">
        <f t="shared" si="6"/>
        <v>1.6385240775484677</v>
      </c>
      <c r="R41">
        <f t="shared" si="7"/>
        <v>2.4007220216606497</v>
      </c>
      <c r="S41">
        <f t="shared" si="8"/>
        <v>1.7989417989417988</v>
      </c>
      <c r="T41">
        <f t="shared" si="9"/>
        <v>0.30538172715894846</v>
      </c>
      <c r="U41">
        <f t="shared" si="10"/>
        <v>0.36206949054477905</v>
      </c>
      <c r="V41">
        <f t="shared" si="11"/>
        <v>2.9678386234989707</v>
      </c>
      <c r="W41">
        <f t="shared" si="12"/>
        <v>0</v>
      </c>
    </row>
    <row r="42" spans="1:23" x14ac:dyDescent="0.2">
      <c r="A42" t="s">
        <v>73</v>
      </c>
      <c r="B42" t="s">
        <v>74</v>
      </c>
      <c r="C42" t="s">
        <v>109</v>
      </c>
      <c r="D42">
        <v>50</v>
      </c>
      <c r="E42">
        <v>44.18</v>
      </c>
      <c r="F42">
        <v>13086</v>
      </c>
      <c r="G42">
        <f>13*10+435+93</f>
        <v>658</v>
      </c>
      <c r="H42">
        <f>282+72</f>
        <v>354</v>
      </c>
      <c r="I42">
        <f>66</f>
        <v>66</v>
      </c>
      <c r="J42">
        <v>65.77</v>
      </c>
      <c r="K42">
        <v>9</v>
      </c>
      <c r="L42">
        <f t="shared" si="13"/>
        <v>7.333333333333333</v>
      </c>
      <c r="M42">
        <f t="shared" si="14"/>
        <v>73.111111111111114</v>
      </c>
      <c r="N42">
        <f t="shared" si="3"/>
        <v>4.4975525482291969</v>
      </c>
      <c r="O42">
        <f t="shared" si="4"/>
        <v>1.2833258020786267</v>
      </c>
      <c r="P42">
        <f t="shared" si="5"/>
        <v>4.3280882618918426</v>
      </c>
      <c r="Q42">
        <f t="shared" si="6"/>
        <v>3.9587242026266418</v>
      </c>
      <c r="R42">
        <f t="shared" si="7"/>
        <v>5.8664259927797833</v>
      </c>
      <c r="S42">
        <f t="shared" si="8"/>
        <v>2.9100529100529102</v>
      </c>
      <c r="T42">
        <f t="shared" si="9"/>
        <v>6.2140175219023774</v>
      </c>
      <c r="U42">
        <f t="shared" si="10"/>
        <v>2.6307134809220734</v>
      </c>
      <c r="V42">
        <f t="shared" si="11"/>
        <v>0.62644164983384365</v>
      </c>
      <c r="W42">
        <f t="shared" si="12"/>
        <v>1</v>
      </c>
    </row>
    <row r="43" spans="1:23" x14ac:dyDescent="0.2">
      <c r="A43" t="s">
        <v>80</v>
      </c>
      <c r="B43" t="s">
        <v>61</v>
      </c>
      <c r="C43" t="s">
        <v>109</v>
      </c>
      <c r="D43">
        <v>68.19</v>
      </c>
      <c r="E43">
        <v>59.63</v>
      </c>
      <c r="F43">
        <v>9857</v>
      </c>
      <c r="G43">
        <f>2*10+890+137</f>
        <v>1047</v>
      </c>
      <c r="H43">
        <f>112+25</f>
        <v>137</v>
      </c>
      <c r="I43">
        <f>41</f>
        <v>41</v>
      </c>
      <c r="J43">
        <v>57.56</v>
      </c>
      <c r="K43">
        <v>4.9000000000000004</v>
      </c>
      <c r="L43">
        <f t="shared" si="13"/>
        <v>8.3673469387755102</v>
      </c>
      <c r="M43">
        <f t="shared" si="14"/>
        <v>213.67346938775509</v>
      </c>
      <c r="N43">
        <f t="shared" si="3"/>
        <v>7.1163259429887704</v>
      </c>
      <c r="O43">
        <f t="shared" si="4"/>
        <v>3.6104835065521921</v>
      </c>
      <c r="P43">
        <f t="shared" si="5"/>
        <v>3.1600651112316873</v>
      </c>
      <c r="Q43">
        <f t="shared" si="6"/>
        <v>6.3914946841776112</v>
      </c>
      <c r="R43">
        <f t="shared" si="7"/>
        <v>1.9494584837545126</v>
      </c>
      <c r="S43">
        <f t="shared" si="8"/>
        <v>1.5873015873015872</v>
      </c>
      <c r="T43">
        <f t="shared" si="9"/>
        <v>5.1864831038798505</v>
      </c>
      <c r="U43">
        <f t="shared" si="10"/>
        <v>1.3821979962849051</v>
      </c>
      <c r="V43">
        <f t="shared" si="11"/>
        <v>0.73801567280981584</v>
      </c>
      <c r="W43">
        <f t="shared" si="12"/>
        <v>0</v>
      </c>
    </row>
    <row r="44" spans="1:23" x14ac:dyDescent="0.2">
      <c r="A44" t="s">
        <v>60</v>
      </c>
      <c r="B44" t="s">
        <v>61</v>
      </c>
      <c r="C44" t="s">
        <v>109</v>
      </c>
      <c r="D44">
        <v>59.91</v>
      </c>
      <c r="E44">
        <v>63.94</v>
      </c>
      <c r="F44">
        <v>8868</v>
      </c>
      <c r="G44">
        <f>5*10+770+93</f>
        <v>913</v>
      </c>
      <c r="H44">
        <f>140+35</f>
        <v>175</v>
      </c>
      <c r="I44">
        <f>66</f>
        <v>66</v>
      </c>
      <c r="J44">
        <v>70.12</v>
      </c>
      <c r="K44">
        <v>3.9</v>
      </c>
      <c r="L44">
        <f t="shared" si="13"/>
        <v>16.923076923076923</v>
      </c>
      <c r="M44">
        <f t="shared" si="14"/>
        <v>234.10256410256412</v>
      </c>
      <c r="N44">
        <f t="shared" si="3"/>
        <v>5.9242729628563193</v>
      </c>
      <c r="O44">
        <f t="shared" si="4"/>
        <v>4.2596776622985395</v>
      </c>
      <c r="P44">
        <f t="shared" si="5"/>
        <v>2.8023150660155545</v>
      </c>
      <c r="Q44">
        <f t="shared" si="6"/>
        <v>5.5534709193245781</v>
      </c>
      <c r="R44">
        <f t="shared" si="7"/>
        <v>2.6353790613718413</v>
      </c>
      <c r="S44">
        <f t="shared" si="8"/>
        <v>2.9100529100529102</v>
      </c>
      <c r="T44">
        <f t="shared" si="9"/>
        <v>6.7584480600750947</v>
      </c>
      <c r="U44">
        <f t="shared" si="10"/>
        <v>1.0776820244221808</v>
      </c>
      <c r="V44">
        <f t="shared" si="11"/>
        <v>1.6612116625148488</v>
      </c>
      <c r="W44">
        <f t="shared" si="12"/>
        <v>0</v>
      </c>
    </row>
    <row r="45" spans="1:23" x14ac:dyDescent="0.2">
      <c r="A45" t="s">
        <v>75</v>
      </c>
      <c r="B45" t="s">
        <v>76</v>
      </c>
      <c r="C45" t="s">
        <v>109</v>
      </c>
      <c r="D45">
        <v>61.1</v>
      </c>
      <c r="E45">
        <v>42.97</v>
      </c>
      <c r="F45">
        <v>2938</v>
      </c>
      <c r="G45">
        <f>5*10+167+38</f>
        <v>255</v>
      </c>
      <c r="H45">
        <f>95+19</f>
        <v>114</v>
      </c>
      <c r="I45">
        <f>32</f>
        <v>32</v>
      </c>
      <c r="J45">
        <v>52.4</v>
      </c>
      <c r="K45">
        <v>1.8</v>
      </c>
      <c r="L45">
        <f t="shared" si="13"/>
        <v>17.777777777777779</v>
      </c>
      <c r="M45">
        <f t="shared" si="14"/>
        <v>141.66666666666666</v>
      </c>
      <c r="N45">
        <f t="shared" si="3"/>
        <v>6.0955945868125552</v>
      </c>
      <c r="O45">
        <f t="shared" si="4"/>
        <v>1.1010694381683992</v>
      </c>
      <c r="P45">
        <f t="shared" si="5"/>
        <v>0.65726171097847708</v>
      </c>
      <c r="Q45">
        <f t="shared" si="6"/>
        <v>1.4383989993746091</v>
      </c>
      <c r="R45">
        <f t="shared" si="7"/>
        <v>1.5342960288808665</v>
      </c>
      <c r="S45">
        <f t="shared" si="8"/>
        <v>1.1111111111111112</v>
      </c>
      <c r="T45">
        <f t="shared" si="9"/>
        <v>4.5406758448060085</v>
      </c>
      <c r="U45">
        <f t="shared" si="10"/>
        <v>0.43819848351046009</v>
      </c>
      <c r="V45">
        <f t="shared" si="11"/>
        <v>1.7534371538411415</v>
      </c>
      <c r="W45">
        <f t="shared" si="12"/>
        <v>0</v>
      </c>
    </row>
    <row r="46" spans="1:23" x14ac:dyDescent="0.2">
      <c r="A46" t="s">
        <v>70</v>
      </c>
      <c r="B46" t="s">
        <v>71</v>
      </c>
      <c r="C46" t="s">
        <v>109</v>
      </c>
      <c r="D46">
        <v>68.739999999999995</v>
      </c>
      <c r="E46">
        <v>38.159999999999997</v>
      </c>
      <c r="F46">
        <v>1377</v>
      </c>
      <c r="G46">
        <f>1*10+114+25</f>
        <v>149</v>
      </c>
      <c r="H46">
        <f>63+12</f>
        <v>75</v>
      </c>
      <c r="I46">
        <f>19</f>
        <v>19</v>
      </c>
      <c r="J46">
        <v>67.17</v>
      </c>
      <c r="K46">
        <v>0.36099999999999999</v>
      </c>
      <c r="L46">
        <f t="shared" si="13"/>
        <v>52.631578947368425</v>
      </c>
      <c r="M46">
        <f t="shared" si="14"/>
        <v>412.74238227146816</v>
      </c>
      <c r="N46">
        <f t="shared" si="3"/>
        <v>7.1955082061618185</v>
      </c>
      <c r="O46">
        <f t="shared" si="4"/>
        <v>0.37656273535170959</v>
      </c>
      <c r="P46">
        <f t="shared" si="5"/>
        <v>9.2602640622173993E-2</v>
      </c>
      <c r="Q46">
        <f t="shared" si="6"/>
        <v>0.77548467792370235</v>
      </c>
      <c r="R46">
        <f t="shared" si="7"/>
        <v>0.83032490974729245</v>
      </c>
      <c r="S46">
        <f t="shared" si="8"/>
        <v>0.42328042328042326</v>
      </c>
      <c r="T46">
        <f t="shared" si="9"/>
        <v>6.3892365456821034</v>
      </c>
      <c r="U46">
        <f t="shared" si="10"/>
        <v>0</v>
      </c>
      <c r="V46">
        <f t="shared" si="11"/>
        <v>5.5142956106628072</v>
      </c>
      <c r="W46">
        <f t="shared" si="12"/>
        <v>0</v>
      </c>
    </row>
    <row r="47" spans="1:23" x14ac:dyDescent="0.2">
      <c r="A47" t="s">
        <v>62</v>
      </c>
      <c r="B47" t="s">
        <v>63</v>
      </c>
      <c r="C47" t="s">
        <v>109</v>
      </c>
      <c r="D47">
        <v>70.010000000000005</v>
      </c>
      <c r="E47">
        <v>43.32</v>
      </c>
      <c r="F47">
        <v>5160</v>
      </c>
      <c r="G47">
        <f>7*10+627+136</f>
        <v>833</v>
      </c>
      <c r="H47">
        <f>311+51</f>
        <v>362</v>
      </c>
      <c r="I47">
        <f>45</f>
        <v>45</v>
      </c>
      <c r="J47">
        <v>37.520000000000003</v>
      </c>
      <c r="K47">
        <v>1.2470000000000001</v>
      </c>
      <c r="L47">
        <f t="shared" si="13"/>
        <v>36.086607858861264</v>
      </c>
      <c r="M47">
        <f t="shared" si="14"/>
        <v>668.00320769847633</v>
      </c>
      <c r="N47">
        <f t="shared" si="3"/>
        <v>7.3783472502159526</v>
      </c>
      <c r="O47">
        <f t="shared" si="4"/>
        <v>1.1537882211176387</v>
      </c>
      <c r="P47">
        <f t="shared" si="5"/>
        <v>1.461023693253753</v>
      </c>
      <c r="Q47">
        <f t="shared" si="6"/>
        <v>5.0531582238899313</v>
      </c>
      <c r="R47">
        <f t="shared" si="7"/>
        <v>6.0108303249097474</v>
      </c>
      <c r="S47">
        <f t="shared" si="8"/>
        <v>1.7989417989417988</v>
      </c>
      <c r="T47">
        <f t="shared" si="9"/>
        <v>2.6783479349186488</v>
      </c>
      <c r="U47">
        <f t="shared" si="10"/>
        <v>0.26980115107037361</v>
      </c>
      <c r="V47">
        <f t="shared" si="11"/>
        <v>3.7290299481510556</v>
      </c>
      <c r="W47">
        <f t="shared" si="12"/>
        <v>0</v>
      </c>
    </row>
    <row r="48" spans="1:23" x14ac:dyDescent="0.2">
      <c r="A48" t="s">
        <v>64</v>
      </c>
      <c r="B48" t="s">
        <v>65</v>
      </c>
      <c r="C48" t="s">
        <v>110</v>
      </c>
      <c r="D48">
        <v>59.42</v>
      </c>
      <c r="E48">
        <v>84.17</v>
      </c>
      <c r="F48">
        <v>5590</v>
      </c>
      <c r="G48">
        <f>4*10+234+49</f>
        <v>323</v>
      </c>
      <c r="H48">
        <f>69+21</f>
        <v>90</v>
      </c>
      <c r="I48">
        <f>103</f>
        <v>103</v>
      </c>
      <c r="J48">
        <v>28.9</v>
      </c>
      <c r="K48">
        <v>3.5</v>
      </c>
      <c r="L48">
        <f t="shared" si="13"/>
        <v>29.428571428571427</v>
      </c>
      <c r="M48">
        <f t="shared" si="14"/>
        <v>92.285714285714292</v>
      </c>
      <c r="N48">
        <f t="shared" si="3"/>
        <v>5.8537287647566947</v>
      </c>
      <c r="O48">
        <f t="shared" si="4"/>
        <v>7.3068233167645733</v>
      </c>
      <c r="P48">
        <f t="shared" si="5"/>
        <v>1.6165671911738109</v>
      </c>
      <c r="Q48">
        <f t="shared" si="6"/>
        <v>1.8636647904940589</v>
      </c>
      <c r="R48">
        <f t="shared" si="7"/>
        <v>1.1010830324909748</v>
      </c>
      <c r="S48">
        <f t="shared" si="8"/>
        <v>4.8677248677248679</v>
      </c>
      <c r="T48">
        <f t="shared" si="9"/>
        <v>1.5994993742177721</v>
      </c>
      <c r="U48">
        <f t="shared" si="10"/>
        <v>0.95587563567709111</v>
      </c>
      <c r="V48">
        <f t="shared" si="11"/>
        <v>3.0106023513204065</v>
      </c>
      <c r="W48">
        <f t="shared" si="12"/>
        <v>0</v>
      </c>
    </row>
    <row r="49" spans="1:23" x14ac:dyDescent="0.2">
      <c r="A49" t="s">
        <v>66</v>
      </c>
      <c r="B49" t="s">
        <v>65</v>
      </c>
      <c r="C49" t="s">
        <v>110</v>
      </c>
      <c r="D49">
        <v>63.64</v>
      </c>
      <c r="E49">
        <v>78.52</v>
      </c>
      <c r="F49">
        <v>4074</v>
      </c>
      <c r="G49">
        <f>1*10+85+19</f>
        <v>114</v>
      </c>
      <c r="H49">
        <f>35+10</f>
        <v>45</v>
      </c>
      <c r="I49">
        <f>66</f>
        <v>66</v>
      </c>
      <c r="J49">
        <v>21.8</v>
      </c>
      <c r="K49">
        <v>1.508</v>
      </c>
      <c r="L49">
        <f t="shared" si="13"/>
        <v>43.766578249336867</v>
      </c>
      <c r="M49">
        <f t="shared" si="14"/>
        <v>75.596816976127315</v>
      </c>
      <c r="N49">
        <f t="shared" si="3"/>
        <v>6.461272674920818</v>
      </c>
      <c r="O49">
        <f t="shared" si="4"/>
        <v>6.4557915348697099</v>
      </c>
      <c r="P49">
        <f t="shared" si="5"/>
        <v>1.0681859287393742</v>
      </c>
      <c r="Q49">
        <f t="shared" si="6"/>
        <v>0.55659787367104441</v>
      </c>
      <c r="R49">
        <f t="shared" si="7"/>
        <v>0.28880866425992779</v>
      </c>
      <c r="S49">
        <f t="shared" si="8"/>
        <v>2.9100529100529102</v>
      </c>
      <c r="T49">
        <f t="shared" si="9"/>
        <v>0.71088861076345433</v>
      </c>
      <c r="U49">
        <f t="shared" si="10"/>
        <v>0.34927981972654459</v>
      </c>
      <c r="V49">
        <f t="shared" si="11"/>
        <v>4.5577281280316573</v>
      </c>
      <c r="W49">
        <f t="shared" si="12"/>
        <v>0</v>
      </c>
    </row>
    <row r="50" spans="1:23" x14ac:dyDescent="0.2">
      <c r="A50" t="s">
        <v>67</v>
      </c>
      <c r="B50" t="s">
        <v>65</v>
      </c>
      <c r="C50" t="s">
        <v>110</v>
      </c>
      <c r="D50">
        <v>59.24</v>
      </c>
      <c r="E50">
        <v>78.63</v>
      </c>
      <c r="F50">
        <v>3769</v>
      </c>
      <c r="G50">
        <f>5*10+192+35</f>
        <v>277</v>
      </c>
      <c r="H50">
        <f>50+16</f>
        <v>66</v>
      </c>
      <c r="I50">
        <f>53</f>
        <v>53</v>
      </c>
      <c r="J50">
        <v>29.64</v>
      </c>
      <c r="K50">
        <v>4.0869999999999997</v>
      </c>
      <c r="L50">
        <f t="shared" si="13"/>
        <v>12.967947149498411</v>
      </c>
      <c r="M50">
        <f t="shared" si="14"/>
        <v>67.77587472473698</v>
      </c>
      <c r="N50">
        <f t="shared" si="3"/>
        <v>5.8278145695364252</v>
      </c>
      <c r="O50">
        <f t="shared" si="4"/>
        <v>6.472360295225184</v>
      </c>
      <c r="P50">
        <f t="shared" si="5"/>
        <v>0.9578585639356122</v>
      </c>
      <c r="Q50">
        <f t="shared" si="6"/>
        <v>1.575984990619137</v>
      </c>
      <c r="R50">
        <f t="shared" si="7"/>
        <v>0.66787003610108309</v>
      </c>
      <c r="S50">
        <f t="shared" si="8"/>
        <v>2.2222222222222223</v>
      </c>
      <c r="T50">
        <f t="shared" si="9"/>
        <v>1.6921151439299125</v>
      </c>
      <c r="U50">
        <f t="shared" si="10"/>
        <v>1.1346265111605101</v>
      </c>
      <c r="V50">
        <f t="shared" si="11"/>
        <v>1.2344380321606414</v>
      </c>
      <c r="W50">
        <f t="shared" si="12"/>
        <v>0</v>
      </c>
    </row>
    <row r="51" spans="1:23" x14ac:dyDescent="0.2">
      <c r="A51" t="s">
        <v>68</v>
      </c>
      <c r="B51" t="s">
        <v>69</v>
      </c>
      <c r="C51" t="s">
        <v>110</v>
      </c>
      <c r="D51">
        <v>54.04</v>
      </c>
      <c r="E51">
        <v>83.03</v>
      </c>
      <c r="F51">
        <v>2050</v>
      </c>
      <c r="G51">
        <f>4*10+22+15</f>
        <v>77</v>
      </c>
      <c r="H51">
        <f>22+7</f>
        <v>29</v>
      </c>
      <c r="I51">
        <f>59</f>
        <v>59</v>
      </c>
      <c r="J51">
        <v>28.92</v>
      </c>
      <c r="K51">
        <v>1.05</v>
      </c>
      <c r="L51">
        <f t="shared" si="13"/>
        <v>56.19047619047619</v>
      </c>
      <c r="M51">
        <f t="shared" si="14"/>
        <v>73.333333333333329</v>
      </c>
      <c r="N51">
        <f t="shared" si="3"/>
        <v>5.0791822631730499</v>
      </c>
      <c r="O51">
        <f t="shared" si="4"/>
        <v>7.1351107094441941</v>
      </c>
      <c r="P51">
        <f t="shared" si="5"/>
        <v>0.3360463013203111</v>
      </c>
      <c r="Q51">
        <f t="shared" si="6"/>
        <v>0.32520325203252032</v>
      </c>
      <c r="R51">
        <f t="shared" si="7"/>
        <v>0</v>
      </c>
      <c r="S51">
        <f t="shared" si="8"/>
        <v>2.5396825396825395</v>
      </c>
      <c r="T51">
        <f t="shared" si="9"/>
        <v>1.6020025031289113</v>
      </c>
      <c r="U51">
        <f t="shared" si="10"/>
        <v>0.20981150461341697</v>
      </c>
      <c r="V51">
        <f t="shared" si="11"/>
        <v>5.8983142354485283</v>
      </c>
      <c r="W51">
        <f t="shared" si="12"/>
        <v>0</v>
      </c>
    </row>
    <row r="52" spans="1:23" ht="17" x14ac:dyDescent="0.2">
      <c r="A52" s="1" t="s">
        <v>97</v>
      </c>
      <c r="B52" s="1" t="s">
        <v>98</v>
      </c>
      <c r="C52" t="s">
        <v>108</v>
      </c>
      <c r="D52" s="2">
        <v>18.760000000000002</v>
      </c>
      <c r="E52" s="2">
        <v>43.31</v>
      </c>
      <c r="F52" s="1">
        <v>4118</v>
      </c>
      <c r="G52" s="1">
        <v>36</v>
      </c>
      <c r="H52" s="1">
        <v>133</v>
      </c>
      <c r="I52" s="1">
        <v>11</v>
      </c>
      <c r="J52" s="2">
        <v>96.02</v>
      </c>
      <c r="K52" s="1">
        <v>7.2</v>
      </c>
      <c r="L52">
        <f t="shared" si="13"/>
        <v>1.5277777777777777</v>
      </c>
      <c r="M52">
        <f t="shared" si="14"/>
        <v>5</v>
      </c>
      <c r="N52">
        <f t="shared" si="3"/>
        <v>0</v>
      </c>
      <c r="O52">
        <f t="shared" si="4"/>
        <v>1.1522819701762321</v>
      </c>
      <c r="P52">
        <f t="shared" si="5"/>
        <v>1.0841020075963104</v>
      </c>
      <c r="Q52">
        <f t="shared" si="6"/>
        <v>6.8792995622263917E-2</v>
      </c>
      <c r="R52">
        <f t="shared" si="7"/>
        <v>1.8772563176895307</v>
      </c>
      <c r="S52">
        <f t="shared" si="8"/>
        <v>0</v>
      </c>
      <c r="T52">
        <f t="shared" si="9"/>
        <v>10</v>
      </c>
      <c r="U52">
        <f t="shared" si="10"/>
        <v>2.0825847315691703</v>
      </c>
      <c r="V52">
        <f t="shared" si="11"/>
        <v>0</v>
      </c>
      <c r="W52">
        <f t="shared" si="12"/>
        <v>1</v>
      </c>
    </row>
    <row r="53" spans="1:23" ht="17" x14ac:dyDescent="0.2">
      <c r="A53" s="1" t="s">
        <v>99</v>
      </c>
      <c r="B53" s="1" t="s">
        <v>103</v>
      </c>
      <c r="C53" t="s">
        <v>105</v>
      </c>
      <c r="D53" s="2">
        <v>79.08</v>
      </c>
      <c r="E53" s="2">
        <v>70.010000000000005</v>
      </c>
      <c r="F53" s="1">
        <v>9221</v>
      </c>
      <c r="G53" s="1">
        <v>339</v>
      </c>
      <c r="H53" s="1">
        <v>92</v>
      </c>
      <c r="I53" s="1">
        <v>53</v>
      </c>
      <c r="J53" s="2">
        <v>56.16</v>
      </c>
      <c r="K53" s="1">
        <v>2.657</v>
      </c>
      <c r="L53">
        <f t="shared" si="13"/>
        <v>19.947308995107264</v>
      </c>
      <c r="M53">
        <f t="shared" si="14"/>
        <v>127.58750470455401</v>
      </c>
      <c r="N53">
        <f t="shared" si="3"/>
        <v>8.6841347538151457</v>
      </c>
      <c r="O53">
        <f t="shared" si="4"/>
        <v>5.1739719837324918</v>
      </c>
      <c r="P53">
        <f t="shared" si="5"/>
        <v>2.930005425935974</v>
      </c>
      <c r="Q53">
        <f t="shared" si="6"/>
        <v>1.9637273295809881</v>
      </c>
      <c r="R53">
        <f t="shared" si="7"/>
        <v>1.1371841155234657</v>
      </c>
      <c r="S53">
        <f t="shared" si="8"/>
        <v>2.2222222222222223</v>
      </c>
      <c r="T53">
        <f t="shared" si="9"/>
        <v>5.0112640801001245</v>
      </c>
      <c r="U53">
        <f t="shared" si="10"/>
        <v>0.69916867139681471</v>
      </c>
      <c r="V53">
        <f t="shared" si="11"/>
        <v>1.9875378703262931</v>
      </c>
      <c r="W53">
        <f t="shared" si="12"/>
        <v>0</v>
      </c>
    </row>
    <row r="54" spans="1:23" ht="17" x14ac:dyDescent="0.2">
      <c r="A54" s="1" t="s">
        <v>100</v>
      </c>
      <c r="B54" s="1" t="s">
        <v>101</v>
      </c>
      <c r="C54" t="s">
        <v>109</v>
      </c>
      <c r="D54" s="2">
        <v>68.239999999999995</v>
      </c>
      <c r="E54" s="2">
        <v>77.23</v>
      </c>
      <c r="F54" s="1">
        <v>3557</v>
      </c>
      <c r="G54" s="1">
        <v>366</v>
      </c>
      <c r="H54" s="1">
        <v>175</v>
      </c>
      <c r="I54" s="1">
        <v>37</v>
      </c>
      <c r="J54" s="2">
        <v>32.22</v>
      </c>
      <c r="K54" s="1">
        <v>2.431</v>
      </c>
      <c r="L54">
        <f t="shared" si="13"/>
        <v>15.220074043603455</v>
      </c>
      <c r="M54">
        <f t="shared" si="14"/>
        <v>150.55532702591526</v>
      </c>
      <c r="N54">
        <f t="shared" si="3"/>
        <v>7.123524330549956</v>
      </c>
      <c r="O54">
        <f t="shared" si="4"/>
        <v>6.2614851634282278</v>
      </c>
      <c r="P54">
        <f t="shared" si="5"/>
        <v>0.88117200217037439</v>
      </c>
      <c r="Q54">
        <f t="shared" si="6"/>
        <v>2.1325828642901814</v>
      </c>
      <c r="R54">
        <f t="shared" si="7"/>
        <v>2.6353790613718413</v>
      </c>
      <c r="S54">
        <f t="shared" si="8"/>
        <v>1.3756613756613756</v>
      </c>
      <c r="T54">
        <f t="shared" si="9"/>
        <v>2.0150187734668332</v>
      </c>
      <c r="U54">
        <f t="shared" si="10"/>
        <v>0.63034806175583902</v>
      </c>
      <c r="V54">
        <f t="shared" si="11"/>
        <v>1.4774511380860964</v>
      </c>
      <c r="W54">
        <f t="shared" si="12"/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2016-11-26T18:07:35Z</dcterms:created>
  <dcterms:modified xsi:type="dcterms:W3CDTF">2016-12-05T18:53:50Z</dcterms:modified>
</cp:coreProperties>
</file>