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675" activeTab="1"/>
  </bookViews>
  <sheets>
    <sheet name="Time series filled chart" sheetId="4" r:id="rId1"/>
    <sheet name="President's estimate" sheetId="5" r:id="rId2"/>
    <sheet name="Population" sheetId="3" r:id="rId3"/>
  </sheets>
  <calcPr calcId="152511"/>
</workbook>
</file>

<file path=xl/calcChain.xml><?xml version="1.0" encoding="utf-8"?>
<calcChain xmlns="http://schemas.openxmlformats.org/spreadsheetml/2006/main">
  <c r="B88" i="5" l="1"/>
  <c r="B64" i="5"/>
  <c r="B61" i="5"/>
  <c r="AL58" i="5"/>
  <c r="AK58" i="5"/>
  <c r="AJ58" i="5"/>
  <c r="AI58" i="5"/>
  <c r="AH58" i="5"/>
  <c r="AG58" i="5"/>
  <c r="AF58" i="5"/>
  <c r="U58" i="5"/>
  <c r="Q58" i="5"/>
  <c r="R58" i="5" s="1"/>
  <c r="S58" i="5" s="1"/>
  <c r="K58" i="5"/>
  <c r="AL57" i="5"/>
  <c r="AK57" i="5"/>
  <c r="AJ57" i="5"/>
  <c r="AI57" i="5"/>
  <c r="AH57" i="5"/>
  <c r="AG57" i="5"/>
  <c r="AF57" i="5"/>
  <c r="U57" i="5"/>
  <c r="Q57" i="5"/>
  <c r="R57" i="5" s="1"/>
  <c r="S57" i="5" s="1"/>
  <c r="K57" i="5"/>
  <c r="AL56" i="5"/>
  <c r="AK56" i="5"/>
  <c r="AJ56" i="5"/>
  <c r="AI56" i="5"/>
  <c r="AH56" i="5"/>
  <c r="AG56" i="5"/>
  <c r="AF56" i="5"/>
  <c r="K56" i="5"/>
  <c r="AP55" i="5"/>
  <c r="AQ55" i="5" s="1"/>
  <c r="AR55" i="5" s="1"/>
  <c r="AS55" i="5" s="1"/>
  <c r="AT55" i="5" s="1"/>
  <c r="AU55" i="5" s="1"/>
  <c r="AV55" i="5" s="1"/>
  <c r="AW55" i="5" s="1"/>
  <c r="AX55" i="5" s="1"/>
  <c r="AY55" i="5" s="1"/>
  <c r="AL55" i="5"/>
  <c r="AL34" i="5" s="1"/>
  <c r="AK55" i="5"/>
  <c r="AJ55" i="5"/>
  <c r="AI55" i="5"/>
  <c r="AH55" i="5"/>
  <c r="AG55" i="5"/>
  <c r="AF55" i="5"/>
  <c r="AL54" i="5"/>
  <c r="AK54" i="5"/>
  <c r="AJ54" i="5"/>
  <c r="AI54" i="5"/>
  <c r="AH54" i="5"/>
  <c r="AG54" i="5"/>
  <c r="AF54" i="5"/>
  <c r="K54" i="5"/>
  <c r="B54" i="5"/>
  <c r="AL53" i="5"/>
  <c r="AK53" i="5"/>
  <c r="AJ53" i="5"/>
  <c r="AI53" i="5"/>
  <c r="AH53" i="5"/>
  <c r="AG53" i="5"/>
  <c r="AF53" i="5"/>
  <c r="O53" i="5"/>
  <c r="K53" i="5"/>
  <c r="AL52" i="5"/>
  <c r="AL31" i="5" s="1"/>
  <c r="AK52" i="5"/>
  <c r="AJ52" i="5"/>
  <c r="AI52" i="5"/>
  <c r="AH52" i="5"/>
  <c r="AG52" i="5"/>
  <c r="AF52" i="5"/>
  <c r="R52" i="5"/>
  <c r="Q52" i="5"/>
  <c r="O52" i="5"/>
  <c r="K52" i="5"/>
  <c r="B52" i="5"/>
  <c r="B53" i="5" s="1"/>
  <c r="B55" i="5" s="1"/>
  <c r="AL51" i="5"/>
  <c r="K51" i="5" s="1"/>
  <c r="AK51" i="5"/>
  <c r="AJ51" i="5"/>
  <c r="AI51" i="5"/>
  <c r="AH51" i="5"/>
  <c r="AG51" i="5"/>
  <c r="AF51" i="5"/>
  <c r="S51" i="5"/>
  <c r="R51" i="5"/>
  <c r="Q51" i="5"/>
  <c r="AL50" i="5"/>
  <c r="K50" i="5" s="1"/>
  <c r="AK50" i="5"/>
  <c r="AJ50" i="5"/>
  <c r="AI50" i="5"/>
  <c r="AH50" i="5"/>
  <c r="AG50" i="5"/>
  <c r="AF50" i="5"/>
  <c r="Q50" i="5"/>
  <c r="R50" i="5" s="1"/>
  <c r="S50" i="5" s="1"/>
  <c r="AL49" i="5"/>
  <c r="AL28" i="5" s="1"/>
  <c r="AK49" i="5"/>
  <c r="AJ49" i="5"/>
  <c r="AI49" i="5"/>
  <c r="AH49" i="5"/>
  <c r="AG49" i="5"/>
  <c r="AF49" i="5"/>
  <c r="Q49" i="5"/>
  <c r="R49" i="5" s="1"/>
  <c r="S49" i="5" s="1"/>
  <c r="K49" i="5"/>
  <c r="AL48" i="5"/>
  <c r="AK48" i="5"/>
  <c r="AJ48" i="5"/>
  <c r="AI48" i="5"/>
  <c r="AH48" i="5"/>
  <c r="AG48" i="5"/>
  <c r="AF48" i="5"/>
  <c r="S48" i="5"/>
  <c r="Q48" i="5"/>
  <c r="R48" i="5" s="1"/>
  <c r="K48" i="5"/>
  <c r="AL47" i="5"/>
  <c r="AK47" i="5"/>
  <c r="AJ47" i="5"/>
  <c r="AI47" i="5"/>
  <c r="AH47" i="5"/>
  <c r="AG47" i="5"/>
  <c r="AF47" i="5"/>
  <c r="R47" i="5"/>
  <c r="S47" i="5" s="1"/>
  <c r="Q47" i="5"/>
  <c r="AL46" i="5"/>
  <c r="K46" i="5" s="1"/>
  <c r="AK46" i="5"/>
  <c r="AJ46" i="5"/>
  <c r="AI46" i="5"/>
  <c r="AH46" i="5"/>
  <c r="AG46" i="5"/>
  <c r="AF46" i="5"/>
  <c r="R46" i="5"/>
  <c r="S46" i="5" s="1"/>
  <c r="Q46" i="5"/>
  <c r="AL45" i="5"/>
  <c r="AK45" i="5"/>
  <c r="AJ45" i="5"/>
  <c r="AI45" i="5"/>
  <c r="AH45" i="5"/>
  <c r="AG45" i="5"/>
  <c r="AF45" i="5"/>
  <c r="Q45" i="5"/>
  <c r="R45" i="5" s="1"/>
  <c r="S45" i="5" s="1"/>
  <c r="K45" i="5"/>
  <c r="B38" i="5"/>
  <c r="AL37" i="5"/>
  <c r="AM37" i="5" s="1"/>
  <c r="X37" i="5"/>
  <c r="B37" i="5"/>
  <c r="AL36" i="5"/>
  <c r="X36" i="5"/>
  <c r="AL35" i="5"/>
  <c r="X35" i="5"/>
  <c r="AJ35" i="5" s="1"/>
  <c r="AK35" i="5" s="1"/>
  <c r="AJ34" i="5"/>
  <c r="AK34" i="5" s="1"/>
  <c r="X34" i="5"/>
  <c r="B34" i="5"/>
  <c r="AL33" i="5"/>
  <c r="X33" i="5"/>
  <c r="AL32" i="5"/>
  <c r="AJ32" i="5"/>
  <c r="X32" i="5"/>
  <c r="AJ31" i="5"/>
  <c r="AK31" i="5" s="1"/>
  <c r="Z31" i="5"/>
  <c r="AB31" i="5" s="1"/>
  <c r="X31" i="5"/>
  <c r="AL30" i="5"/>
  <c r="AJ30" i="5"/>
  <c r="AK30" i="5" s="1"/>
  <c r="Z30" i="5"/>
  <c r="AB30" i="5" s="1"/>
  <c r="AC30" i="5" s="1"/>
  <c r="AD30" i="5" s="1"/>
  <c r="AF30" i="5" s="1"/>
  <c r="AH30" i="5" s="1"/>
  <c r="X30" i="5"/>
  <c r="X29" i="5"/>
  <c r="X28" i="5"/>
  <c r="AL27" i="5"/>
  <c r="X27" i="5"/>
  <c r="AJ26" i="5"/>
  <c r="AK26" i="5" s="1"/>
  <c r="Z26" i="5"/>
  <c r="AB26" i="5" s="1"/>
  <c r="X26" i="5"/>
  <c r="AL25" i="5"/>
  <c r="AJ25" i="5"/>
  <c r="AK25" i="5" s="1"/>
  <c r="Z25" i="5"/>
  <c r="AB25" i="5" s="1"/>
  <c r="AC25" i="5" s="1"/>
  <c r="AD25" i="5" s="1"/>
  <c r="AF25" i="5" s="1"/>
  <c r="X25" i="5"/>
  <c r="B25" i="5"/>
  <c r="B27" i="5" s="1"/>
  <c r="AL24" i="5"/>
  <c r="AJ24" i="5"/>
  <c r="AD24" i="5"/>
  <c r="AF24" i="5" s="1"/>
  <c r="AB24" i="5"/>
  <c r="K23" i="5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AO22" i="5"/>
  <c r="AO21" i="5"/>
  <c r="AO20" i="5"/>
  <c r="B20" i="5"/>
  <c r="B22" i="5" s="1"/>
  <c r="B28" i="5" s="1"/>
  <c r="B29" i="5" s="1"/>
  <c r="B39" i="5" s="1"/>
  <c r="J17" i="5"/>
  <c r="B17" i="5"/>
  <c r="B19" i="5" s="1"/>
  <c r="J16" i="5"/>
  <c r="J15" i="5"/>
  <c r="B15" i="5"/>
  <c r="J14" i="5"/>
  <c r="J13" i="5"/>
  <c r="J12" i="5"/>
  <c r="J11" i="5"/>
  <c r="J10" i="5"/>
  <c r="J9" i="5"/>
  <c r="J8" i="5"/>
  <c r="J7" i="5"/>
  <c r="J6" i="5"/>
  <c r="J5" i="5"/>
  <c r="J4" i="5"/>
  <c r="AM24" i="5" l="1"/>
  <c r="AM30" i="5"/>
  <c r="AM31" i="5"/>
  <c r="AM33" i="5"/>
  <c r="AM28" i="5"/>
  <c r="AM25" i="5"/>
  <c r="AM36" i="5"/>
  <c r="AM27" i="5"/>
  <c r="AM32" i="5"/>
  <c r="AM35" i="5"/>
  <c r="AM34" i="5"/>
  <c r="AG24" i="5"/>
  <c r="AI24" i="5" s="1"/>
  <c r="AH24" i="5"/>
  <c r="AH25" i="5"/>
  <c r="AG25" i="5"/>
  <c r="AI25" i="5" s="1"/>
  <c r="AK32" i="5"/>
  <c r="AK24" i="5"/>
  <c r="Z28" i="5"/>
  <c r="AB28" i="5" s="1"/>
  <c r="AC28" i="5" s="1"/>
  <c r="AD28" i="5" s="1"/>
  <c r="AF28" i="5" s="1"/>
  <c r="AH28" i="5" s="1"/>
  <c r="Z35" i="5"/>
  <c r="AB35" i="5" s="1"/>
  <c r="AC35" i="5" s="1"/>
  <c r="AD35" i="5" s="1"/>
  <c r="AF35" i="5" s="1"/>
  <c r="AC37" i="5"/>
  <c r="AD37" i="5" s="1"/>
  <c r="AF37" i="5" s="1"/>
  <c r="B40" i="5"/>
  <c r="AL26" i="5"/>
  <c r="AM26" i="5" s="1"/>
  <c r="K47" i="5"/>
  <c r="O54" i="5"/>
  <c r="Q53" i="5"/>
  <c r="R53" i="5" s="1"/>
  <c r="AJ27" i="5"/>
  <c r="AK27" i="5" s="1"/>
  <c r="Z27" i="5"/>
  <c r="AB27" i="5" s="1"/>
  <c r="AC27" i="5" s="1"/>
  <c r="AD27" i="5" s="1"/>
  <c r="AF27" i="5" s="1"/>
  <c r="AH27" i="5" s="1"/>
  <c r="Z32" i="5"/>
  <c r="AB32" i="5" s="1"/>
  <c r="AC32" i="5" s="1"/>
  <c r="AD32" i="5" s="1"/>
  <c r="AF32" i="5" s="1"/>
  <c r="AJ36" i="5"/>
  <c r="AK36" i="5" s="1"/>
  <c r="Z36" i="5"/>
  <c r="AB36" i="5" s="1"/>
  <c r="AC36" i="5" s="1"/>
  <c r="AD36" i="5" s="1"/>
  <c r="AF36" i="5" s="1"/>
  <c r="Z37" i="5"/>
  <c r="AB37" i="5" s="1"/>
  <c r="AJ37" i="5"/>
  <c r="AK37" i="5" s="1"/>
  <c r="K55" i="5"/>
  <c r="B65" i="5"/>
  <c r="AC26" i="5"/>
  <c r="AD26" i="5" s="1"/>
  <c r="AF26" i="5" s="1"/>
  <c r="AH26" i="5" s="1"/>
  <c r="AJ28" i="5"/>
  <c r="AK28" i="5" s="1"/>
  <c r="AJ29" i="5"/>
  <c r="AK29" i="5" s="1"/>
  <c r="Z29" i="5"/>
  <c r="AB29" i="5" s="1"/>
  <c r="AC29" i="5" s="1"/>
  <c r="AD29" i="5" s="1"/>
  <c r="AF29" i="5" s="1"/>
  <c r="AH29" i="5" s="1"/>
  <c r="AL29" i="5"/>
  <c r="AM29" i="5" s="1"/>
  <c r="AC31" i="5"/>
  <c r="AD31" i="5" s="1"/>
  <c r="AF31" i="5" s="1"/>
  <c r="AH31" i="5" s="1"/>
  <c r="AJ33" i="5"/>
  <c r="AK33" i="5" s="1"/>
  <c r="Z33" i="5"/>
  <c r="AB33" i="5" s="1"/>
  <c r="AC33" i="5" s="1"/>
  <c r="AD33" i="5" s="1"/>
  <c r="AF33" i="5" s="1"/>
  <c r="Z34" i="5"/>
  <c r="AB34" i="5" s="1"/>
  <c r="AC34" i="5" s="1"/>
  <c r="AD34" i="5" s="1"/>
  <c r="AF34" i="5" s="1"/>
  <c r="AH34" i="5" l="1"/>
  <c r="AG34" i="5"/>
  <c r="AI34" i="5" s="1"/>
  <c r="AG35" i="5"/>
  <c r="AI35" i="5" s="1"/>
  <c r="AH35" i="5"/>
  <c r="AG32" i="5"/>
  <c r="AH32" i="5"/>
  <c r="AH36" i="5"/>
  <c r="AG36" i="5"/>
  <c r="AI36" i="5" s="1"/>
  <c r="O55" i="5"/>
  <c r="Q54" i="5"/>
  <c r="R54" i="5" s="1"/>
  <c r="AH37" i="5"/>
  <c r="AG37" i="5"/>
  <c r="AI37" i="5" s="1"/>
  <c r="AG33" i="5"/>
  <c r="AI33" i="5" s="1"/>
  <c r="AH33" i="5"/>
  <c r="Q55" i="5" l="1"/>
  <c r="R55" i="5" s="1"/>
  <c r="O56" i="5"/>
  <c r="U55" i="5"/>
  <c r="U54" i="5"/>
  <c r="AI32" i="5"/>
  <c r="AG31" i="5"/>
  <c r="AG30" i="5" l="1"/>
  <c r="AI31" i="5"/>
  <c r="U56" i="5"/>
  <c r="Q56" i="5"/>
  <c r="R56" i="5" s="1"/>
  <c r="S56" i="5" s="1"/>
  <c r="U53" i="5"/>
  <c r="U52" i="5"/>
  <c r="AI30" i="5" l="1"/>
  <c r="AG29" i="5"/>
  <c r="S52" i="5"/>
  <c r="S54" i="5"/>
  <c r="S53" i="5"/>
  <c r="S55" i="5"/>
  <c r="AI29" i="5" l="1"/>
  <c r="AG28" i="5"/>
  <c r="AI28" i="5" l="1"/>
  <c r="AG27" i="5"/>
  <c r="AI27" i="5" l="1"/>
  <c r="AG26" i="5"/>
  <c r="AI26" i="5" s="1"/>
  <c r="E4" i="4"/>
  <c r="H4" i="4"/>
  <c r="H3" i="4" s="1"/>
  <c r="I4" i="4"/>
  <c r="J4" i="4"/>
  <c r="K4" i="4"/>
  <c r="M4" i="4"/>
  <c r="N4" i="4"/>
  <c r="O4" i="4"/>
  <c r="D5" i="4"/>
  <c r="E5" i="4"/>
  <c r="H5" i="4" s="1"/>
  <c r="I5" i="4"/>
  <c r="J5" i="4"/>
  <c r="K5" i="4"/>
  <c r="M5" i="4"/>
  <c r="N5" i="4"/>
  <c r="O5" i="4"/>
  <c r="D6" i="4"/>
  <c r="H6" i="4"/>
  <c r="I6" i="4"/>
  <c r="J6" i="4"/>
  <c r="K6" i="4"/>
  <c r="M6" i="4"/>
  <c r="N6" i="4"/>
  <c r="O6" i="4"/>
  <c r="D7" i="4"/>
  <c r="H7" i="4"/>
  <c r="I7" i="4"/>
  <c r="J7" i="4"/>
  <c r="K7" i="4"/>
  <c r="M7" i="4"/>
  <c r="N7" i="4"/>
  <c r="O7" i="4"/>
  <c r="E8" i="4"/>
  <c r="H8" i="4" s="1"/>
  <c r="I8" i="4"/>
  <c r="J8" i="4"/>
  <c r="K8" i="4"/>
  <c r="M8" i="4"/>
  <c r="N8" i="4"/>
  <c r="O8" i="4"/>
  <c r="E9" i="4"/>
  <c r="H9" i="4" s="1"/>
  <c r="I9" i="4"/>
  <c r="J9" i="4"/>
  <c r="K9" i="4"/>
  <c r="M9" i="4"/>
  <c r="N9" i="4"/>
  <c r="O9" i="4"/>
  <c r="D10" i="4"/>
  <c r="E10" i="4" s="1"/>
  <c r="H10" i="4" s="1"/>
  <c r="I10" i="4"/>
  <c r="J10" i="4"/>
  <c r="K10" i="4"/>
  <c r="M10" i="4"/>
  <c r="N10" i="4"/>
  <c r="O10" i="4"/>
  <c r="I11" i="4"/>
  <c r="J11" i="4"/>
  <c r="K11" i="4"/>
  <c r="M11" i="4"/>
  <c r="N11" i="4"/>
  <c r="O11" i="4"/>
  <c r="I12" i="4"/>
  <c r="J12" i="4"/>
  <c r="K12" i="4"/>
  <c r="M12" i="4"/>
  <c r="N12" i="4"/>
  <c r="O12" i="4"/>
  <c r="I13" i="4"/>
  <c r="J13" i="4"/>
  <c r="K13" i="4"/>
  <c r="M13" i="4"/>
  <c r="N13" i="4"/>
  <c r="O13" i="4"/>
  <c r="I14" i="4"/>
  <c r="J14" i="4"/>
  <c r="K14" i="4"/>
  <c r="M14" i="4"/>
  <c r="N14" i="4"/>
  <c r="O14" i="4"/>
  <c r="I15" i="4"/>
  <c r="J15" i="4"/>
  <c r="K15" i="4"/>
  <c r="M15" i="4"/>
  <c r="N15" i="4"/>
  <c r="O15" i="4"/>
  <c r="I16" i="4"/>
  <c r="J16" i="4"/>
  <c r="K16" i="4"/>
  <c r="M16" i="4"/>
  <c r="N16" i="4"/>
  <c r="O16" i="4"/>
  <c r="I17" i="4"/>
  <c r="J17" i="4"/>
  <c r="K17" i="4"/>
  <c r="M17" i="4"/>
  <c r="N17" i="4"/>
  <c r="O17" i="4"/>
  <c r="H19" i="4"/>
  <c r="G20" i="4"/>
  <c r="I20" i="4"/>
  <c r="M20" i="4" s="1"/>
  <c r="G21" i="4"/>
  <c r="I21" i="4"/>
  <c r="M21" i="4" s="1"/>
  <c r="G22" i="4"/>
  <c r="H22" i="4"/>
  <c r="I22" i="4"/>
  <c r="M22" i="4" s="1"/>
  <c r="I23" i="4"/>
  <c r="I24" i="4"/>
  <c r="I25" i="4"/>
  <c r="I26" i="4"/>
  <c r="I27" i="4"/>
  <c r="I28" i="4"/>
  <c r="I29" i="4"/>
  <c r="I30" i="4"/>
  <c r="I31" i="4"/>
  <c r="I32" i="4"/>
  <c r="B35" i="4"/>
  <c r="B37" i="4"/>
  <c r="A37" i="4" s="1"/>
  <c r="B38" i="4"/>
  <c r="A38" i="4" s="1"/>
  <c r="C39" i="4"/>
  <c r="C40" i="4"/>
  <c r="C41" i="4"/>
  <c r="G42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M24" i="4" l="1"/>
  <c r="H24" i="4"/>
  <c r="M25" i="4"/>
  <c r="H25" i="4"/>
  <c r="H20" i="4"/>
  <c r="H21" i="4"/>
  <c r="H23" i="4"/>
  <c r="M23" i="4"/>
  <c r="D11" i="4"/>
  <c r="E11" i="4" l="1"/>
  <c r="H11" i="4" s="1"/>
  <c r="D12" i="4"/>
  <c r="E12" i="4" l="1"/>
  <c r="H12" i="4" s="1"/>
  <c r="D13" i="4"/>
  <c r="H26" i="4"/>
  <c r="M26" i="4"/>
  <c r="E13" i="4" l="1"/>
  <c r="H13" i="4" s="1"/>
  <c r="D14" i="4"/>
  <c r="H27" i="4"/>
  <c r="M27" i="4"/>
  <c r="E14" i="4" l="1"/>
  <c r="H14" i="4" s="1"/>
  <c r="D15" i="4"/>
  <c r="H28" i="4"/>
  <c r="M28" i="4"/>
  <c r="E15" i="4" l="1"/>
  <c r="H15" i="4" s="1"/>
  <c r="D16" i="4"/>
  <c r="M29" i="4"/>
  <c r="H29" i="4"/>
  <c r="E16" i="4" l="1"/>
  <c r="H16" i="4" s="1"/>
  <c r="D17" i="4"/>
  <c r="E17" i="4" s="1"/>
  <c r="H17" i="4" s="1"/>
  <c r="H30" i="4"/>
  <c r="M30" i="4"/>
  <c r="A36" i="3"/>
  <c r="A33" i="3"/>
  <c r="A37" i="3"/>
  <c r="D24" i="3"/>
  <c r="G24" i="3"/>
  <c r="D23" i="3"/>
  <c r="G23" i="3"/>
  <c r="M22" i="3"/>
  <c r="L22" i="3"/>
  <c r="K22" i="3"/>
  <c r="D22" i="3"/>
  <c r="G22" i="3"/>
  <c r="G21" i="3"/>
  <c r="D21" i="3"/>
  <c r="D20" i="3"/>
  <c r="G20" i="3"/>
  <c r="G19" i="3"/>
  <c r="D19" i="3"/>
  <c r="D18" i="3"/>
  <c r="G18" i="3"/>
  <c r="G17" i="3"/>
  <c r="D17" i="3"/>
  <c r="D16" i="3"/>
  <c r="G16" i="3"/>
  <c r="G15" i="3"/>
  <c r="D15" i="3"/>
  <c r="D14" i="3"/>
  <c r="G14" i="3"/>
  <c r="G13" i="3"/>
  <c r="D13" i="3"/>
  <c r="D12" i="3"/>
  <c r="G12" i="3"/>
  <c r="G11" i="3"/>
  <c r="D11" i="3"/>
  <c r="D10" i="3"/>
  <c r="G10" i="3"/>
  <c r="G9" i="3"/>
  <c r="D9" i="3"/>
  <c r="D8" i="3"/>
  <c r="G8" i="3"/>
  <c r="G7" i="3"/>
  <c r="D7" i="3"/>
  <c r="D6" i="3"/>
  <c r="G6" i="3"/>
  <c r="G5" i="3"/>
  <c r="D5" i="3"/>
  <c r="D4" i="3"/>
  <c r="G4" i="3"/>
  <c r="H18" i="4" l="1"/>
  <c r="H32" i="4"/>
  <c r="M32" i="4"/>
  <c r="H31" i="4"/>
  <c r="M31" i="4"/>
</calcChain>
</file>

<file path=xl/sharedStrings.xml><?xml version="1.0" encoding="utf-8"?>
<sst xmlns="http://schemas.openxmlformats.org/spreadsheetml/2006/main" count="336" uniqueCount="263">
  <si>
    <t>TRIA</t>
  </si>
  <si>
    <t>FY16 doesn't, https://www.govinfo.gov/content/pkg/BUDGET-2016-APP/pdf/BUDGET-2016-APP-1-19.pdf (retrieved 11 April 2021).</t>
  </si>
  <si>
    <t>Biden, Joseph R. (2021, May 28).  Analytical perspectives.  At https://www.govinfo.gov/content/pkg/BUDGET-2022-PER/pdf/BUDGET-2022-PER.pdf, https://www.govinfo.gov/content/pkg/BUDGET-2022-PER/xls/BUDGET-2022-PER-8-4-1.xlsx</t>
  </si>
  <si>
    <t>budget</t>
  </si>
  <si>
    <t>expires</t>
  </si>
  <si>
    <t>Baseline estimated outlays.  Heavy line indicates then-current TRIA regime sunset.</t>
  </si>
  <si>
    <t>Pink numbers are from the FY09 Treasury budget justification rather than the President's Budget.</t>
  </si>
  <si>
    <t>10 year</t>
  </si>
  <si>
    <t>published</t>
  </si>
  <si>
    <t>on 12/31</t>
  </si>
  <si>
    <t>years left</t>
  </si>
  <si>
    <t>CY prepared</t>
  </si>
  <si>
    <t>FY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</si>
  <si>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</si>
  <si>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</si>
  <si>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</si>
  <si>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</si>
  <si>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</si>
  <si>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</si>
  <si>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</si>
  <si>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</si>
  <si>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</si>
  <si>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</si>
  <si>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</si>
  <si>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</si>
  <si>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</t>
  </si>
  <si>
    <t>Page</t>
  </si>
  <si>
    <t>Source</t>
  </si>
  <si>
    <t>Net FY22-31 outlays, Terrorism Insurance Program, Analytic Perspectives table 20-1 tab Outlays, $ million.</t>
  </si>
  <si>
    <t>pp. 91-92</t>
  </si>
  <si>
    <t>Bush, George W. (2008, February 4).  Analytical perspectives.  At https://fraser.stlouisfed.org/docs/publications/usbanalytical/BUDGET-2009-PER.pdf, https://www.gpo.gov/fdsys/pkg/BUDGET-2009-PER/xls/BUDGET-2009-PER-12-5-2.xls.  U.S. Department of the Treasury (2008, February 4).  Congressional budget justification FY 2009, p. DO-38 table 4.3, TRIA baseline outlays and receipt table.  At https://home.treasury.gov/system/files/266/CJ_FY09.pdf (retrieved 11 April 2021).</t>
  </si>
  <si>
    <t>Ten year net spending, Analytic Perspectives p. 194.</t>
  </si>
  <si>
    <t>pp. 58-59</t>
  </si>
  <si>
    <t>Obama, Barack H. (2009, May 11).  Analytical perspectives.  At https://fraser.stlouisfed.org/docs/publications/usbanalytical/BUDGET-2010-PER.pdf, https://www.gpo.gov/fdsys/pkg/BUDGET-2010-PER/xls/BUDGET-2010-PER-1-5-1.xls</t>
  </si>
  <si>
    <t>Difference: Money recouped from insurers, $ million.</t>
  </si>
  <si>
    <t>pp. 362-363</t>
  </si>
  <si>
    <t>Obama, Barack H. (2010, February 1).  Analytical perspectives.  At https://fraser.stlouisfed.org/docs/publications/usbanalytical/BUDGET-2011-PER.pdf, https://www.gpo.gov/fdsys/pkg/BUDGET-2011-PER/xls/BUDGET-2011-PER-1-5-1.xls</t>
  </si>
  <si>
    <t>Factor: Amount recouped / recoupable outlays in TRIA law.</t>
  </si>
  <si>
    <t>p. 387</t>
  </si>
  <si>
    <t>Obama, Barack H. (2011, February 14).  Analytical perspectives.  At https://fraser.stlouisfed.org/docs/publications/usbanalytical/BUDGET-2012-PER.pdf, https://www.gpo.gov/fdsys/pkg/BUDGET-2012-PER/xls/BUDGET-2012-PER-1-6-1.xls</t>
  </si>
  <si>
    <t>Recoupable outlays: difference / 140%.</t>
  </si>
  <si>
    <t>p. 392</t>
  </si>
  <si>
    <t>Obama, Barack H. (2012, February 13).  Analytical perspectives.  At https://fraser.stlouisfed.org/docs/publications/usbanalytical/BUDGET-2013-PER.pdf, https://www.gpo.gov/fdsys/pkg/BUDGET-2013-PER/xls/BUDGET-2013-PER-1-5-1.xls</t>
  </si>
  <si>
    <t>Actual USG share (non-recoupable outlays): Total outlays FY22-30, minus actual recoupable outlays.</t>
  </si>
  <si>
    <t>p. 396</t>
  </si>
  <si>
    <t>Obama, Barack H. (2013, April 10).  Analytical perspectives.  At https://fraser.stlouisfed.org/docs/publications/usbanalytical/BUDGET-2014-PER.pdf, https://www.gpo.gov/fdsys/pkg/BUDGET-2014-PER/xls/BUDGET-2014-PER-1-5-1.xls</t>
  </si>
  <si>
    <t>Years of remaining exposure (until current TRIA regime sunsets).</t>
  </si>
  <si>
    <t>pp. 336-337</t>
  </si>
  <si>
    <t>Obama, Barack H. (2014, March 10).  Analytical perspectives.  At https://fraser.stlouisfed.org/docs/publications/usbanalytical/BUDGET-2015-PER.pdf, https://www.gpo.gov/fdsys/pkg/BUDGET-2015-PER/xls/BUDGET-2015-PER-9-6-2.xls</t>
  </si>
  <si>
    <t>USG exposure / year, $ million.</t>
  </si>
  <si>
    <t>p. 322</t>
  </si>
  <si>
    <t>Obama, Barack H. (2015, February 2).  Analytical perspectives.  At https://fraser.stlouisfed.org/docs/publications/usbanalytical/BUDGET-2016-PER.pdf, https://www.gpo.gov/fdsys/pkg/BUDGET-2016-PER/xls/BUDGET-2016-PER-9-6-2.xls</t>
  </si>
  <si>
    <t>Aggregate retention CY 2021 (assume constant in future years), $ million, https://www.govinfo.gov/content/pkg/FR-2020-12-21/pdf/2020-27996.pdf.</t>
  </si>
  <si>
    <t>p. 328*</t>
  </si>
  <si>
    <t>Obama, Barack H. (2016, February 9).  Analytical perspectives p. 328, Budget p. 1021.  At https://www.govinfo.gov/content/pkg/BUDGET-2017-PER/pdf/BUDGET-2017-PER.pdf, https://www.govinfo.gov/content/pkg/BUDGET-2017-BUD/pdf/BUDGET-2017-BUD.pdf, https://www.gpo.gov/fdsys/pkg/BUDGET-2017-PER/xls/BUDGET-2017-PER-8-5-2.xls.</t>
  </si>
  <si>
    <t>Program ceiling, $ million.</t>
  </si>
  <si>
    <t>pp. 225-226</t>
  </si>
  <si>
    <t>Trump, Donald J. (2017, May 23).  Analytical perspectives.  At https://www.govinfo.gov/content/pkg/BUDGET-2018-PER/pdf/BUDGET-2018-PER.pdf, https://www.gpo.gov/fdsys/pkg/BUDGET-2018-PER/xls/BUDGET-2018-PER-9-4-2.xls</t>
  </si>
  <si>
    <t>Program ceiling - aggregate retention.</t>
  </si>
  <si>
    <t>pp. 256-257</t>
  </si>
  <si>
    <t>Trump, Donald J. (2018, February 12).  Analytical perspectives.  At https://www.govinfo.gov/content/pkg/BUDGET-2019-PER/pdf/BUDGET-2019-PER.pdf, https://www.gpo.gov/fdsys/pkg/BUDGET-2019-PER/xls/BUDGET-2019-PER-9-5-1.xlsx</t>
  </si>
  <si>
    <t>USG % share.</t>
  </si>
  <si>
    <t>p. 288</t>
  </si>
  <si>
    <t>Trump, Donald J. (2019, March 11).  Analytical perspectives.  At https://www.govinfo.gov/app/details/BUDGET-2020-PER/, https://www.govinfo.gov/content/pkg/BUDGET-2020-PER.zip</t>
  </si>
  <si>
    <t>USG $m share of a $100+ billion loss.</t>
  </si>
  <si>
    <t>p. 254</t>
  </si>
  <si>
    <t>Trump, Donald J. (2020, February 10).  Analytical perspectives.  At https://www.govinfo.gov/content/pkg/BUDGET-2021-PER/pdf/BUDGET-2021-PER.pdf, https://www.govinfo.gov/content/pkg/BUDGET-2021-PER/xls/BUDGET-2021-PER-8-5-1.xlsx</t>
  </si>
  <si>
    <t>p. 194</t>
  </si>
  <si>
    <t>Probability of saturating upper bound, if loss distribution for terrorist attacks greater than $42 billion were distributed above $100 billion: USG exposure / maximum exposure from a $100b+ attack.</t>
  </si>
  <si>
    <t>For a three-city anthrax attack scenario, based on the 2008 CEA 380,000 fatality/city scenario referenced elsewhere, total fatalities.</t>
  </si>
  <si>
    <t>CBO March 2020 for comparison</t>
  </si>
  <si>
    <t>sum</t>
  </si>
  <si>
    <t>Two very different pictures.</t>
  </si>
  <si>
    <t>sum Pres FY21</t>
  </si>
  <si>
    <t>CBO sees many small, medium attacks, but almost no 9/11+ scale attacks.</t>
  </si>
  <si>
    <t>One city</t>
  </si>
  <si>
    <t>year</t>
  </si>
  <si>
    <t>actual</t>
  </si>
  <si>
    <t>net losses</t>
  </si>
  <si>
    <t>100b or above</t>
  </si>
  <si>
    <t>to</t>
  </si>
  <si>
    <t>sum Pres FY22</t>
  </si>
  <si>
    <t>President sees few medium attacks at least, but risk is concentrated on the big ones.</t>
  </si>
  <si>
    <t>Three cities</t>
  </si>
  <si>
    <t>CY made</t>
  </si>
  <si>
    <t>prepared</t>
  </si>
  <si>
    <t>exposure</t>
  </si>
  <si>
    <t>outlays</t>
  </si>
  <si>
    <t>spending</t>
  </si>
  <si>
    <t>difference</t>
  </si>
  <si>
    <t>factor</t>
  </si>
  <si>
    <t>recouped</t>
  </si>
  <si>
    <t>by USG</t>
  </si>
  <si>
    <t>avg</t>
  </si>
  <si>
    <t>prob</t>
  </si>
  <si>
    <t>presumed</t>
  </si>
  <si>
    <t>rel 09</t>
  </si>
  <si>
    <t>avg outlays</t>
  </si>
  <si>
    <t>deflator</t>
  </si>
  <si>
    <t>average</t>
  </si>
  <si>
    <t>Pink cells with rounded numbers are from the FY09 Treasury budget justification, the remainder from the Analytical Perspectives volumes and the budget spreadsheets.</t>
  </si>
  <si>
    <t>DC+states+PR population 2008</t>
  </si>
  <si>
    <t>aggregate deductible</t>
  </si>
  <si>
    <t>The two needed figures are the ten year outlays and revenues.</t>
  </si>
  <si>
    <t>DC+states+PR population 2020</t>
  </si>
  <si>
    <t>2009-18</t>
  </si>
  <si>
    <t>Or, given ten year outlay and revenue totals, the actual USG retained losses</t>
  </si>
  <si>
    <t>Total fatalities, three cities, 2020 population.</t>
  </si>
  <si>
    <t>revenues</t>
  </si>
  <si>
    <t>are outlays - 0.75*revenues.</t>
  </si>
  <si>
    <t>Total fatality risk.</t>
  </si>
  <si>
    <t>revenues / 1.33</t>
  </si>
  <si>
    <t>actual losses owned by USG</t>
  </si>
  <si>
    <t>Ratio 2020/2008</t>
  </si>
  <si>
    <t>Nuclear war fatality risk.</t>
  </si>
  <si>
    <t>Annual probability of U.S. in multi-city nuclear war, Lloyd's (2018).</t>
  </si>
  <si>
    <t>FEMA 1988, estimated fraction of U.S. population dead within 30 days of a Soviet nuclear exchange, optimistic scenario.</t>
  </si>
  <si>
    <t>U.S. population 2020.</t>
  </si>
  <si>
    <t>Total fatalities.</t>
  </si>
  <si>
    <t>Total fatality risk, nuclear war.</t>
  </si>
  <si>
    <t>original</t>
  </si>
  <si>
    <t>Nuclear war probability, every major city in USA.</t>
  </si>
  <si>
    <t>At https://cityriskindex.lloyds.com/explore/ (retrieved 18 November 2020)</t>
  </si>
  <si>
    <t>Interstate conflict</t>
  </si>
  <si>
    <t>Interstate Conflict</t>
  </si>
  <si>
    <t>IW1</t>
  </si>
  <si>
    <t xml:space="preserve">City mobilized for war, but not attacked; industrial activity switches from commercial to military </t>
  </si>
  <si>
    <t xml:space="preserve">production; consumer demand and investor confidence drops, some outmigration; conflict impact lasts </t>
  </si>
  <si>
    <t>for 1 year</t>
  </si>
  <si>
    <t>IW2</t>
  </si>
  <si>
    <t xml:space="preserve">City suffers sporadic attack from occasional missiles or aerial bombardment (and possible damage </t>
  </si>
  <si>
    <t xml:space="preserve">from cyber attack); city is mobilized for war; consumer demand and investor confidence drops, large </t>
  </si>
  <si>
    <t>outmigration; conflict impact lasts for 2 year</t>
  </si>
  <si>
    <t>IW3</t>
  </si>
  <si>
    <t xml:space="preserve">City is the target of strategic bombing by enemy forces, destroying industrial and commercial </t>
  </si>
  <si>
    <t xml:space="preserve">output and military facilities in the city; significant outmigration. Possible rebuilding </t>
  </si>
  <si>
    <t>afterwards by major injection of capital; conflict impact lasts for 3 years</t>
  </si>
  <si>
    <t>Nuclear war impacts.</t>
  </si>
  <si>
    <t>TRIA parameters</t>
  </si>
  <si>
    <t>FEMA-160, Recovery from nuclear attack, 1988, U.S. fatality estimates (summarized from NAPB-90).</t>
  </si>
  <si>
    <t>hist</t>
  </si>
  <si>
    <t>outlay</t>
  </si>
  <si>
    <t>Blast and thermal effects, killed outright.</t>
  </si>
  <si>
    <t>year budget</t>
  </si>
  <si>
    <t>Fed fx</t>
  </si>
  <si>
    <t>WC terrorism risk</t>
  </si>
  <si>
    <t>gdp</t>
  </si>
  <si>
    <t>GDP</t>
  </si>
  <si>
    <t>OMB</t>
  </si>
  <si>
    <t>Fallout radiation, killed.</t>
  </si>
  <si>
    <t>fraction</t>
  </si>
  <si>
    <t>threshold</t>
  </si>
  <si>
    <t>recoupment</t>
  </si>
  <si>
    <t>above thr</t>
  </si>
  <si>
    <t>cy</t>
  </si>
  <si>
    <t>RMS</t>
  </si>
  <si>
    <t>AIR</t>
  </si>
  <si>
    <t>NCCI</t>
  </si>
  <si>
    <t>HSGP</t>
  </si>
  <si>
    <t>CBO</t>
  </si>
  <si>
    <t>OMB GDP and deflator source</t>
  </si>
  <si>
    <t>Total US fraction.</t>
  </si>
  <si>
    <t>https://www.govinfo.gov/app/details/BUDGET-2021-TAB/BUDGET-2021-TAB-11-1/context</t>
  </si>
  <si>
    <t>https://www.defconwarningsystem.com/documents/recovery_from_nuclear_attack.pdf</t>
  </si>
  <si>
    <t>https://www.govinfo.gov/content/pkg/BUDGET-2021-TAB/xls/BUDGET-2021-TAB-11-1.xlsx</t>
  </si>
  <si>
    <t>Retrieved 27 June 2020</t>
  </si>
  <si>
    <t>Retrieved 10 April 2021</t>
  </si>
  <si>
    <t>Also in https://raw.githubusercontent.com/bd02/staging/main/docs/Public%20sources/Adversarial/Other/N/FEMA%201988%20Recovery%20from%20nuclear%20attack%20(FEMA-160).pdf.</t>
  </si>
  <si>
    <t>CBO GDP source</t>
  </si>
  <si>
    <t>CBO historical data and economic projections, February 2021.   At https://www.cbo.gov/data/budget-economic-data,</t>
  </si>
  <si>
    <t>https://www.cbo.gov/system/files/2021-02/55022-2021-02-historicaleconomicdata.zip</t>
  </si>
  <si>
    <t>U.S. Department of the Treasury (2008, February 4).  Congressional budget justification FY 2009, p. DO-38 table 4.3, TRIA baseline outlays and receipt table.  At https://home.treasury.gov/system/files/266/CJ_FY09.pdf (retrieved 11 April 2021).</t>
  </si>
  <si>
    <t>2009-13</t>
  </si>
  <si>
    <t>Outlays</t>
  </si>
  <si>
    <t>Revenues</t>
  </si>
  <si>
    <t>2020 $40.880 (https://www.govinfo.gov/content/pkg/FR-2019-12-18/pdf/2019-27279.pdf), 2021 $41.706 (https://www.govinfo.gov/content/pkg/FR-2020-12-21/pdf/2020-27996.pdf</t>
  </si>
  <si>
    <t>Comparison with CBO's TRIA estimates</t>
  </si>
  <si>
    <t>The probability increase CY 2010-2014 is an artefact of summing over a longer range (the ten year window includes more of the tail outlays as it stretches beyond the then-current TRIA regime's</t>
  </si>
  <si>
    <t>sunset), as well as indicative of the assumptions being applied by the then-current President.  The regularity in #44's outlay estimates from CY 2010-16 suggests the same continuity of assumptions.</t>
  </si>
  <si>
    <t>The clear but steady decrease from CY 2017 on marks another self-consistent set of assumptions with #45 which is continued by #46 in the first year of his Administration (as #44's continued the</t>
  </si>
  <si>
    <t>estimates of the previous Administration in its first year).  The 'presumed' column applies these assumptions: flat from CY 2010 to 2016, and no change (the already-observed decline) to 2017-present.</t>
  </si>
  <si>
    <t>Alternate deflators (unused)</t>
  </si>
  <si>
    <t>For comparison:</t>
  </si>
  <si>
    <t>The extreme and moderate scenarios are the same for the official five nuclear powers.</t>
  </si>
  <si>
    <t>Population Estimate (as of July 1) and 2020 Census</t>
  </si>
  <si>
    <t>At https://www2.census.gov/programs-surveys/popest/tables/2000-2009/state/totals/nst-est2009-01.xls</t>
  </si>
  <si>
    <t>Retrieved 26 June 2021</t>
  </si>
  <si>
    <t>year, July 1</t>
  </si>
  <si>
    <t>us</t>
  </si>
  <si>
    <t>pr</t>
  </si>
  <si>
    <t>dc+pr+states</t>
  </si>
  <si>
    <t>islands</t>
  </si>
  <si>
    <t>https://www.census.gov/data/tables/time-series/demo/popest/2010s-national-total.html</t>
  </si>
  <si>
    <t>https://www2.census.gov/programs-surveys/popest/tables/2010-2019/state/totals/nst-est2019-01.xlsx</t>
  </si>
  <si>
    <t>Retrieved 8 August 2020</t>
  </si>
  <si>
    <t>Census 2020 (PR + DC + states only)</t>
  </si>
  <si>
    <t>At https://www.census.gov/data/tables/2020/dec/2020-apportionment-data.html, https://www2.census.gov/programs-surveys/decennial/2020/data/apportionment/apportionment-2020-table02.xlsx</t>
  </si>
  <si>
    <t>Retrieved 26 April 2021</t>
  </si>
  <si>
    <t>Census Bureau (2015, April).  Recent population trends for the U.S. island areas: 2000 to 2010.</t>
  </si>
  <si>
    <t>At https://www.census.gov/content/dam/Census/library/publications/2015/demo/p23-213.pdf (retrieved 26 June 2021).</t>
  </si>
  <si>
    <t>Table 1, p. 11.</t>
  </si>
  <si>
    <t>American Samoa</t>
  </si>
  <si>
    <t>CNMI</t>
  </si>
  <si>
    <t>Guam</t>
  </si>
  <si>
    <t>U.S. Virgin Islands</t>
  </si>
  <si>
    <t>Island territories</t>
  </si>
  <si>
    <t>Island territories: Use 2010 for 2010-present, 2000 for 2000-09</t>
  </si>
  <si>
    <t>Pandemic fatality risk</t>
  </si>
  <si>
    <t>SNRA 2015 best estimate</t>
  </si>
  <si>
    <t>U.S. population used by 2011 and 2015 SNRA</t>
  </si>
  <si>
    <t>2020 U.S. population including island territories</t>
  </si>
  <si>
    <t>Scale</t>
  </si>
  <si>
    <t>SNRA 2015 pandemic scenario fatalities, best estimate, 2020 USA population</t>
  </si>
  <si>
    <t>Annual likelihood</t>
  </si>
  <si>
    <t>Example calculation, for one year (other years to right)</t>
  </si>
  <si>
    <t>President's estimate, Analytical perspectives for FY22.</t>
  </si>
  <si>
    <t>Big terrorist attack probability</t>
  </si>
  <si>
    <t>Insured loss cost of three city anthrax scenario</t>
  </si>
  <si>
    <t>WC/fatality CBRN average RMS NYC 2005 scenarios ($m)</t>
  </si>
  <si>
    <t>WC/fatality relative to NY 2005, weighted by HSGP risk-based allocations for relative risk</t>
  </si>
  <si>
    <t>WC/fatality 2021 with above assumptions ($m)</t>
  </si>
  <si>
    <t>WC insured losses, three city scenario 2021, with above assumptions ($m)</t>
  </si>
  <si>
    <t>in $ billion, TRIA covered WC</t>
  </si>
  <si>
    <t>fatality risk</t>
  </si>
  <si>
    <t>three cities</t>
  </si>
  <si>
    <t>one city</t>
  </si>
  <si>
    <t>Anthrax attack</t>
  </si>
  <si>
    <t>low low (CBO 2015)</t>
  </si>
  <si>
    <t>Low CBRN, one city</t>
  </si>
  <si>
    <t>Mid CBRN, one city</t>
  </si>
  <si>
    <t>650m / 1.39m WC/fatality NYC 2014</t>
  </si>
  <si>
    <t>Big CBRN, one city</t>
  </si>
  <si>
    <t>low (2020)</t>
  </si>
  <si>
    <t>mid (2010-16)</t>
  </si>
  <si>
    <t>Big CBRN terrorist attack fatality risk high</t>
  </si>
  <si>
    <t>SNRA 2015 pandemic fatality risk</t>
  </si>
  <si>
    <t>radius</t>
  </si>
  <si>
    <t>.</t>
  </si>
  <si>
    <t>FY 2022 Budget</t>
  </si>
  <si>
    <t>FY 2018 Budget</t>
  </si>
  <si>
    <t>SNRA 2015 (CDC 2015 pandemic national resourcing review)</t>
  </si>
  <si>
    <t>Best estimate, SNRA pandemic fatality risk</t>
  </si>
  <si>
    <t>SNRA 2011 (National Planning Scenario #3 with CDC updated numbers)</t>
  </si>
  <si>
    <t>FY 2011 Budget</t>
  </si>
  <si>
    <t>Upper bound, USG estimated fatality risk of 2008 scenario scale terrorist attack</t>
  </si>
  <si>
    <t>FY 2009 Budget</t>
  </si>
  <si>
    <t>Value2</t>
  </si>
  <si>
    <t>Value1</t>
  </si>
  <si>
    <t>David Montgomery, Jon Peltier (2009, October 7).  Two color XY-area combo chart.  At https://peltiertech.com/two-color-xy-area-combo-chart-guest-post/ (retrieved 17 April 2021).</t>
  </si>
  <si>
    <t xml:space="preserve">Chart method source:  </t>
  </si>
  <si>
    <t>Positive</t>
  </si>
  <si>
    <t>Negative</t>
  </si>
  <si>
    <t>Blank</t>
  </si>
  <si>
    <t xml:space="preserve">A very large scale terrorist attack, on the scale of the three city version </t>
  </si>
  <si>
    <t>https://www.nytimes.com/2021/03/06/us/emergent-biosolutions-anthrax-coronavirus.html</t>
  </si>
  <si>
    <t xml:space="preserve">of the 380,000 fatality/city 2008 anthrax planning scenario </t>
  </si>
  <si>
    <t xml:space="preserve">https://www.tfah.org/report-details/ready-or-not-2008/ p. 21 </t>
  </si>
  <si>
    <t>http://docs.house.gov/meetings/HM/HM12/20140211/101728/HHRG-113-HM12-Wstate-KadlecR-20140211.pdf p.5</t>
  </si>
  <si>
    <t>https://www.hsgac.senate.gov/imo/media/doc/TestimonyKadlec20111018.pdf p. 8</t>
  </si>
  <si>
    <t xml:space="preserve">https://www.govinfo.gov/content/pkg/CHRG-112hhrg81131/pdf/CHRG-112hhrg81131.pdf p. 30 </t>
  </si>
  <si>
    <t xml:space="preserve"> N, 1.2 million fatality IND FOIA-released Region II 2016 THIRA p. 84 (Bates 000405) https://assets.documentcloud.org/documents/5788192/FEMA-Records-Regarding-Hurricane-Maria-Response.pdf. </t>
  </si>
  <si>
    <t>For comparison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</si>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</sst>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;@"/>
    <numFmt numFmtId="165" formatCode="yyyy"/>
    <numFmt numFmtId="166" formatCode="0.000%"/>
    <numFmt numFmtId="167" formatCode="0.0%"/>
    <numFmt numFmtId="168" formatCode="0.000"/>
    <numFmt numFmtId="169" formatCode="#\ ???/???"/>
    <numFmt numFmtId="170" formatCode="0.0000"/>
    <numFmt numFmtId="171" formatCode="0.00000"/>
  </numFmts>
  <fonts count="13" x14ac:knownFonts="1">
    <font>
      <sz val="8"/>
      <color theme="1"/>
      <name val="Cambria"/>
      <family val="2"/>
    </font>
    <font>
      <sz val="8"/>
      <name val="Cambria"/>
      <family val="1"/>
    </font>
    <font>
      <sz val="8"/>
      <color indexed="8"/>
      <name val="Cambria"/>
      <family val="1"/>
    </font>
    <font>
      <sz val="8"/>
      <name val="Cambria"/>
      <family val="2"/>
    </font>
    <font>
      <sz val="10"/>
      <name val="MS Sans Serif"/>
    </font>
    <font>
      <sz val="8"/>
      <color theme="1"/>
      <name val="Cambria"/>
      <family val="2"/>
    </font>
    <font>
      <sz val="10"/>
      <color rgb="FF000000"/>
      <name val="Times New Roman"/>
      <family val="1"/>
    </font>
    <font>
      <sz val="8"/>
      <color theme="1"/>
      <name val="Cambria"/>
      <family val="1"/>
    </font>
    <font>
      <sz val="6"/>
      <color theme="1"/>
      <name val="Cambria"/>
      <family val="2"/>
    </font>
    <font>
      <sz val="8"/>
      <color rgb="FFFFFFFF"/>
      <name val="Cambria"/>
      <family val="1"/>
    </font>
    <font>
      <sz val="8"/>
      <color rgb="FF000000"/>
      <name val="Cambria"/>
      <family val="1"/>
    </font>
    <font>
      <sz val="8"/>
      <color rgb="FF7030A0"/>
      <name val="Cambria"/>
      <family val="2"/>
    </font>
    <font>
      <sz val="8"/>
      <color rgb="FFC00000"/>
      <name val="Cambria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1">
    <xf numFmtId="0" fontId="0" fillId="0" borderId="0" xfId="0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3" fontId="0" fillId="0" borderId="0" xfId="0" applyNumberFormat="1" applyAlignment="1">
      <alignment vertical="center"/>
    </xf>
    <xf numFmtId="167" fontId="1" fillId="0" borderId="38" xfId="4" applyNumberFormat="1" applyFont="1" applyFill="1" applyBorder="1" applyAlignment="1">
      <alignment horizontal="center" vertical="center"/>
    </xf>
    <xf numFmtId="10" fontId="1" fillId="0" borderId="2" xfId="4" applyNumberFormat="1" applyFont="1" applyFill="1" applyBorder="1" applyAlignment="1">
      <alignment horizontal="center" vertical="center"/>
    </xf>
    <xf numFmtId="10" fontId="1" fillId="0" borderId="1" xfId="4" applyNumberFormat="1" applyFont="1" applyFill="1" applyBorder="1" applyAlignment="1">
      <alignment horizontal="center" vertical="center"/>
    </xf>
    <xf numFmtId="10" fontId="1" fillId="0" borderId="42" xfId="4" applyNumberFormat="1" applyFont="1" applyFill="1" applyBorder="1" applyAlignment="1">
      <alignment horizontal="center" vertical="center"/>
    </xf>
    <xf numFmtId="166" fontId="1" fillId="0" borderId="2" xfId="4" applyNumberFormat="1" applyFont="1" applyFill="1" applyBorder="1" applyAlignment="1">
      <alignment horizontal="center" vertical="center"/>
    </xf>
    <xf numFmtId="166" fontId="1" fillId="0" borderId="1" xfId="4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0" fontId="5" fillId="0" borderId="0" xfId="2" applyAlignment="1">
      <alignment vertical="center"/>
    </xf>
    <xf numFmtId="0" fontId="1" fillId="0" borderId="0" xfId="1" applyFont="1" applyAlignment="1" applyProtection="1">
      <alignment vertical="center"/>
      <protection locked="0"/>
    </xf>
    <xf numFmtId="0" fontId="5" fillId="0" borderId="1" xfId="2" applyBorder="1" applyAlignment="1">
      <alignment horizontal="right" vertical="center"/>
    </xf>
    <xf numFmtId="0" fontId="5" fillId="0" borderId="1" xfId="2" applyBorder="1" applyAlignment="1">
      <alignment vertical="center"/>
    </xf>
    <xf numFmtId="3" fontId="5" fillId="0" borderId="1" xfId="2" applyNumberFormat="1" applyBorder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left" vertical="center"/>
      <protection locked="0"/>
    </xf>
    <xf numFmtId="0" fontId="5" fillId="0" borderId="7" xfId="2" applyBorder="1" applyAlignment="1">
      <alignment vertical="center"/>
    </xf>
    <xf numFmtId="3" fontId="5" fillId="0" borderId="7" xfId="2" applyNumberFormat="1" applyBorder="1" applyAlignment="1">
      <alignment vertical="center"/>
    </xf>
    <xf numFmtId="0" fontId="5" fillId="0" borderId="2" xfId="2" applyBorder="1" applyAlignment="1">
      <alignment vertical="center"/>
    </xf>
    <xf numFmtId="3" fontId="5" fillId="0" borderId="2" xfId="2" applyNumberFormat="1" applyBorder="1" applyAlignment="1">
      <alignment vertical="center"/>
    </xf>
    <xf numFmtId="0" fontId="10" fillId="0" borderId="0" xfId="3" applyFont="1" applyAlignment="1" applyProtection="1">
      <alignment horizontal="right" vertical="center"/>
      <protection locked="0"/>
    </xf>
    <xf numFmtId="3" fontId="10" fillId="0" borderId="0" xfId="3" applyNumberFormat="1" applyFont="1" applyAlignment="1" applyProtection="1">
      <alignment vertical="center"/>
      <protection locked="0"/>
    </xf>
    <xf numFmtId="0" fontId="5" fillId="0" borderId="0" xfId="2" applyAlignment="1">
      <alignment horizontal="right" vertical="center"/>
    </xf>
    <xf numFmtId="3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3" fontId="7" fillId="0" borderId="38" xfId="0" applyNumberFormat="1" applyFont="1" applyBorder="1" applyAlignment="1">
      <alignment vertical="center"/>
    </xf>
    <xf numFmtId="0" fontId="7" fillId="0" borderId="38" xfId="1" applyFont="1" applyFill="1" applyBorder="1" applyAlignment="1">
      <alignment horizontal="center" vertical="center"/>
    </xf>
    <xf numFmtId="166" fontId="1" fillId="0" borderId="38" xfId="4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3" fontId="7" fillId="0" borderId="42" xfId="0" applyNumberFormat="1" applyFont="1" applyBorder="1" applyAlignment="1">
      <alignment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3" fontId="1" fillId="0" borderId="1" xfId="1" applyNumberFormat="1" applyFont="1" applyBorder="1" applyAlignment="1">
      <alignment vertical="center"/>
    </xf>
    <xf numFmtId="2" fontId="1" fillId="0" borderId="0" xfId="1" applyNumberFormat="1" applyFont="1" applyAlignment="1">
      <alignment vertical="center"/>
    </xf>
    <xf numFmtId="0" fontId="1" fillId="3" borderId="0" xfId="1" applyFont="1" applyFill="1" applyAlignment="1">
      <alignment vertical="center"/>
    </xf>
    <xf numFmtId="3" fontId="1" fillId="3" borderId="1" xfId="1" applyNumberFormat="1" applyFont="1" applyFill="1" applyBorder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Fill="1" applyBorder="1" applyAlignment="1">
      <alignment vertical="center"/>
    </xf>
    <xf numFmtId="0" fontId="1" fillId="0" borderId="65" xfId="1" applyFont="1" applyFill="1" applyBorder="1" applyAlignment="1">
      <alignment vertical="center"/>
    </xf>
    <xf numFmtId="0" fontId="1" fillId="0" borderId="66" xfId="1" applyFont="1" applyFill="1" applyBorder="1" applyAlignment="1">
      <alignment vertical="center"/>
    </xf>
    <xf numFmtId="2" fontId="1" fillId="0" borderId="66" xfId="1" applyNumberFormat="1" applyFont="1" applyFill="1" applyBorder="1" applyAlignment="1">
      <alignment vertical="center"/>
    </xf>
    <xf numFmtId="2" fontId="1" fillId="0" borderId="67" xfId="1" applyNumberFormat="1" applyFont="1" applyBorder="1" applyAlignment="1">
      <alignment vertical="center"/>
    </xf>
    <xf numFmtId="0" fontId="1" fillId="0" borderId="68" xfId="1" applyFont="1" applyBorder="1" applyAlignment="1">
      <alignment vertical="center"/>
    </xf>
    <xf numFmtId="2" fontId="1" fillId="0" borderId="69" xfId="1" applyNumberFormat="1" applyFont="1" applyBorder="1" applyAlignment="1">
      <alignment vertical="center"/>
    </xf>
    <xf numFmtId="0" fontId="1" fillId="0" borderId="70" xfId="1" applyFont="1" applyBorder="1" applyAlignment="1">
      <alignment vertical="center"/>
    </xf>
    <xf numFmtId="2" fontId="1" fillId="0" borderId="66" xfId="1" applyNumberFormat="1" applyFont="1" applyBorder="1" applyAlignment="1">
      <alignment vertical="center"/>
    </xf>
    <xf numFmtId="0" fontId="1" fillId="0" borderId="71" xfId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2" fontId="1" fillId="0" borderId="72" xfId="1" applyNumberFormat="1" applyFont="1" applyFill="1" applyBorder="1" applyAlignment="1">
      <alignment vertical="center"/>
    </xf>
    <xf numFmtId="0" fontId="1" fillId="0" borderId="73" xfId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0" fontId="1" fillId="0" borderId="74" xfId="1" applyFont="1" applyFill="1" applyBorder="1" applyAlignment="1">
      <alignment vertical="center"/>
    </xf>
    <xf numFmtId="0" fontId="1" fillId="0" borderId="75" xfId="1" applyFont="1" applyFill="1" applyBorder="1" applyAlignment="1">
      <alignment vertical="center"/>
    </xf>
    <xf numFmtId="0" fontId="1" fillId="0" borderId="76" xfId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7" xfId="1" applyFont="1" applyFill="1" applyBorder="1" applyAlignment="1">
      <alignment vertical="center"/>
    </xf>
    <xf numFmtId="0" fontId="1" fillId="0" borderId="72" xfId="1" applyFont="1" applyFill="1" applyBorder="1" applyAlignment="1">
      <alignment vertical="center"/>
    </xf>
    <xf numFmtId="0" fontId="1" fillId="0" borderId="78" xfId="1" applyFont="1" applyFill="1" applyBorder="1" applyAlignment="1">
      <alignment vertical="center"/>
    </xf>
    <xf numFmtId="0" fontId="1" fillId="0" borderId="79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7" fillId="0" borderId="20" xfId="1" applyFont="1" applyFill="1" applyBorder="1" applyAlignment="1">
      <alignment horizontal="center" vertical="center"/>
    </xf>
    <xf numFmtId="0" fontId="1" fillId="0" borderId="20" xfId="1" applyFont="1" applyBorder="1" applyAlignment="1">
      <alignment vertical="center"/>
    </xf>
    <xf numFmtId="3" fontId="1" fillId="0" borderId="20" xfId="1" applyNumberFormat="1" applyFont="1" applyFill="1" applyBorder="1" applyAlignment="1">
      <alignment vertical="center"/>
    </xf>
    <xf numFmtId="0" fontId="1" fillId="0" borderId="19" xfId="1" applyFont="1" applyBorder="1" applyAlignment="1">
      <alignment vertical="center"/>
    </xf>
    <xf numFmtId="0" fontId="1" fillId="0" borderId="52" xfId="1" applyFont="1" applyBorder="1" applyAlignment="1">
      <alignment vertical="center"/>
    </xf>
    <xf numFmtId="0" fontId="7" fillId="0" borderId="51" xfId="1" applyFont="1" applyFill="1" applyBorder="1" applyAlignment="1">
      <alignment horizontal="center" vertical="center"/>
    </xf>
    <xf numFmtId="0" fontId="1" fillId="0" borderId="51" xfId="1" applyFont="1" applyBorder="1" applyAlignment="1">
      <alignment vertical="center"/>
    </xf>
    <xf numFmtId="3" fontId="1" fillId="0" borderId="51" xfId="1" applyNumberFormat="1" applyFont="1" applyFill="1" applyBorder="1" applyAlignment="1">
      <alignment vertical="center"/>
    </xf>
    <xf numFmtId="0" fontId="1" fillId="0" borderId="50" xfId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7" fillId="0" borderId="7" xfId="1" applyFont="1" applyFill="1" applyBorder="1" applyAlignment="1">
      <alignment horizontal="center" vertical="center"/>
    </xf>
    <xf numFmtId="0" fontId="1" fillId="0" borderId="7" xfId="1" applyFont="1" applyBorder="1" applyAlignment="1">
      <alignment vertical="center"/>
    </xf>
    <xf numFmtId="3" fontId="1" fillId="0" borderId="7" xfId="1" applyNumberFormat="1" applyFont="1" applyFill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3" fontId="1" fillId="0" borderId="1" xfId="1" applyNumberFormat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3" fontId="1" fillId="0" borderId="2" xfId="1" applyNumberFormat="1" applyFont="1" applyFill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45" xfId="1" applyFont="1" applyBorder="1" applyAlignment="1">
      <alignment vertical="center"/>
    </xf>
    <xf numFmtId="0" fontId="1" fillId="0" borderId="42" xfId="1" applyFont="1" applyBorder="1" applyAlignment="1">
      <alignment vertical="center"/>
    </xf>
    <xf numFmtId="3" fontId="1" fillId="0" borderId="42" xfId="1" applyNumberFormat="1" applyFont="1" applyFill="1" applyBorder="1" applyAlignment="1">
      <alignment vertical="center"/>
    </xf>
    <xf numFmtId="0" fontId="1" fillId="0" borderId="44" xfId="1" applyFont="1" applyBorder="1" applyAlignment="1">
      <alignment vertical="center"/>
    </xf>
    <xf numFmtId="0" fontId="1" fillId="3" borderId="18" xfId="1" applyFont="1" applyFill="1" applyBorder="1" applyAlignment="1">
      <alignment vertical="center"/>
    </xf>
    <xf numFmtId="0" fontId="7" fillId="3" borderId="7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vertical="center"/>
    </xf>
    <xf numFmtId="3" fontId="1" fillId="3" borderId="7" xfId="1" applyNumberFormat="1" applyFont="1" applyFill="1" applyBorder="1" applyAlignment="1">
      <alignment vertical="center"/>
    </xf>
    <xf numFmtId="0" fontId="7" fillId="0" borderId="51" xfId="1" applyFont="1" applyBorder="1" applyAlignment="1">
      <alignment horizontal="center" vertical="center"/>
    </xf>
    <xf numFmtId="0" fontId="1" fillId="0" borderId="37" xfId="1" applyFont="1" applyBorder="1" applyAlignment="1">
      <alignment vertical="center"/>
    </xf>
    <xf numFmtId="0" fontId="7" fillId="0" borderId="37" xfId="1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80" xfId="1" applyFont="1" applyBorder="1" applyAlignment="1">
      <alignment vertical="center"/>
    </xf>
    <xf numFmtId="0" fontId="1" fillId="0" borderId="69" xfId="1" applyFont="1" applyBorder="1" applyAlignment="1">
      <alignment vertical="center"/>
    </xf>
    <xf numFmtId="0" fontId="1" fillId="0" borderId="82" xfId="1" applyFont="1" applyBorder="1" applyAlignment="1">
      <alignment vertical="center"/>
    </xf>
    <xf numFmtId="0" fontId="1" fillId="0" borderId="83" xfId="1" applyFont="1" applyBorder="1" applyAlignment="1">
      <alignment vertical="center"/>
    </xf>
    <xf numFmtId="0" fontId="1" fillId="0" borderId="82" xfId="1" applyFont="1" applyBorder="1" applyAlignment="1">
      <alignment horizontal="right" vertical="center"/>
    </xf>
    <xf numFmtId="0" fontId="1" fillId="0" borderId="81" xfId="1" applyFont="1" applyBorder="1" applyAlignment="1">
      <alignment horizontal="right" vertical="center"/>
    </xf>
    <xf numFmtId="3" fontId="1" fillId="0" borderId="2" xfId="1" applyNumberFormat="1" applyFont="1" applyBorder="1" applyAlignment="1">
      <alignment vertical="center"/>
    </xf>
    <xf numFmtId="3" fontId="1" fillId="0" borderId="7" xfId="1" applyNumberFormat="1" applyFont="1" applyBorder="1" applyAlignment="1">
      <alignment vertical="center"/>
    </xf>
    <xf numFmtId="3" fontId="1" fillId="0" borderId="42" xfId="1" applyNumberFormat="1" applyFont="1" applyBorder="1" applyAlignment="1">
      <alignment vertical="center"/>
    </xf>
    <xf numFmtId="3" fontId="1" fillId="0" borderId="51" xfId="1" applyNumberFormat="1" applyFont="1" applyBorder="1" applyAlignment="1">
      <alignment vertical="center"/>
    </xf>
    <xf numFmtId="3" fontId="1" fillId="0" borderId="20" xfId="1" applyNumberFormat="1" applyFont="1" applyBorder="1" applyAlignment="1">
      <alignment vertical="center"/>
    </xf>
    <xf numFmtId="0" fontId="5" fillId="0" borderId="0" xfId="2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9" fontId="5" fillId="0" borderId="0" xfId="5" applyFont="1" applyAlignment="1">
      <alignment horizontal="center" vertical="center"/>
    </xf>
    <xf numFmtId="0" fontId="7" fillId="0" borderId="0" xfId="2" applyFont="1" applyAlignment="1">
      <alignment horizontal="right" vertical="center"/>
    </xf>
    <xf numFmtId="0" fontId="5" fillId="0" borderId="0" xfId="2" applyAlignment="1"/>
    <xf numFmtId="0" fontId="1" fillId="0" borderId="1" xfId="2" applyFont="1" applyBorder="1" applyAlignment="1">
      <alignment horizontal="center" vertical="center"/>
    </xf>
    <xf numFmtId="16" fontId="7" fillId="0" borderId="1" xfId="2" applyNumberFormat="1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7" fillId="0" borderId="1" xfId="2" applyFont="1" applyBorder="1" applyAlignment="1">
      <alignment horizontal="right" vertical="center"/>
    </xf>
    <xf numFmtId="0" fontId="7" fillId="0" borderId="1" xfId="2" applyFont="1" applyBorder="1" applyAlignment="1">
      <alignment horizontal="center" vertical="center"/>
    </xf>
    <xf numFmtId="0" fontId="1" fillId="0" borderId="1" xfId="2" quotePrefix="1" applyFont="1" applyBorder="1" applyAlignment="1">
      <alignment horizontal="center" vertical="center"/>
    </xf>
    <xf numFmtId="3" fontId="2" fillId="0" borderId="1" xfId="2" applyNumberFormat="1" applyFont="1" applyFill="1" applyBorder="1" applyAlignment="1" applyProtection="1">
      <alignment horizontal="center" vertical="center"/>
    </xf>
    <xf numFmtId="1" fontId="2" fillId="0" borderId="1" xfId="2" applyNumberFormat="1" applyFont="1" applyFill="1" applyBorder="1" applyAlignment="1" applyProtection="1">
      <alignment horizontal="center" vertical="center"/>
    </xf>
    <xf numFmtId="0" fontId="2" fillId="0" borderId="1" xfId="2" applyNumberFormat="1" applyFont="1" applyBorder="1" applyAlignment="1">
      <alignment horizontal="center" vertical="center"/>
    </xf>
    <xf numFmtId="0" fontId="5" fillId="0" borderId="1" xfId="2" applyBorder="1" applyAlignment="1">
      <alignment horizontal="left" vertical="center"/>
    </xf>
    <xf numFmtId="164" fontId="8" fillId="0" borderId="38" xfId="2" applyNumberFormat="1" applyFont="1" applyBorder="1" applyAlignment="1">
      <alignment horizontal="center" vertical="center"/>
    </xf>
    <xf numFmtId="165" fontId="7" fillId="0" borderId="38" xfId="2" applyNumberFormat="1" applyFont="1" applyBorder="1" applyAlignment="1">
      <alignment horizontal="center" vertical="center"/>
    </xf>
    <xf numFmtId="2" fontId="5" fillId="0" borderId="38" xfId="2" applyNumberFormat="1" applyBorder="1" applyAlignment="1">
      <alignment horizontal="center" vertical="center"/>
    </xf>
    <xf numFmtId="0" fontId="7" fillId="0" borderId="38" xfId="2" applyFont="1" applyBorder="1" applyAlignment="1">
      <alignment horizontal="center" vertical="center"/>
    </xf>
    <xf numFmtId="0" fontId="1" fillId="0" borderId="38" xfId="2" applyFont="1" applyBorder="1" applyAlignment="1">
      <alignment horizontal="right" vertical="center"/>
    </xf>
    <xf numFmtId="3" fontId="1" fillId="0" borderId="38" xfId="2" applyNumberFormat="1" applyFont="1" applyBorder="1" applyAlignment="1">
      <alignment horizontal="right" vertical="center"/>
    </xf>
    <xf numFmtId="3" fontId="7" fillId="2" borderId="39" xfId="2" applyNumberFormat="1" applyFont="1" applyFill="1" applyBorder="1" applyAlignment="1">
      <alignment vertical="center"/>
    </xf>
    <xf numFmtId="3" fontId="7" fillId="2" borderId="40" xfId="2" applyNumberFormat="1" applyFont="1" applyFill="1" applyBorder="1" applyAlignment="1">
      <alignment vertical="center"/>
    </xf>
    <xf numFmtId="3" fontId="7" fillId="2" borderId="38" xfId="2" applyNumberFormat="1" applyFont="1" applyFill="1" applyBorder="1" applyAlignment="1">
      <alignment vertical="center"/>
    </xf>
    <xf numFmtId="0" fontId="7" fillId="2" borderId="38" xfId="2" applyFont="1" applyFill="1" applyBorder="1" applyAlignment="1">
      <alignment vertical="center"/>
    </xf>
    <xf numFmtId="0" fontId="7" fillId="0" borderId="38" xfId="2" applyFont="1" applyBorder="1" applyAlignment="1">
      <alignment vertical="center"/>
    </xf>
    <xf numFmtId="3" fontId="5" fillId="0" borderId="38" xfId="2" applyNumberFormat="1" applyBorder="1" applyAlignment="1">
      <alignment vertical="center"/>
    </xf>
    <xf numFmtId="0" fontId="5" fillId="0" borderId="38" xfId="2" applyBorder="1" applyAlignment="1">
      <alignment vertical="center"/>
    </xf>
    <xf numFmtId="0" fontId="5" fillId="0" borderId="41" xfId="2" applyBorder="1" applyAlignment="1">
      <alignment vertical="center"/>
    </xf>
    <xf numFmtId="164" fontId="8" fillId="0" borderId="2" xfId="2" applyNumberFormat="1" applyFont="1" applyBorder="1" applyAlignment="1">
      <alignment horizontal="center" vertical="center"/>
    </xf>
    <xf numFmtId="165" fontId="7" fillId="0" borderId="2" xfId="2" applyNumberFormat="1" applyFont="1" applyBorder="1" applyAlignment="1">
      <alignment horizontal="center" vertical="center"/>
    </xf>
    <xf numFmtId="2" fontId="5" fillId="0" borderId="2" xfId="2" applyNumberForma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vertical="center"/>
    </xf>
    <xf numFmtId="1" fontId="2" fillId="0" borderId="2" xfId="2" applyNumberFormat="1" applyFont="1" applyFill="1" applyBorder="1" applyAlignment="1" applyProtection="1">
      <alignment horizontal="right" vertical="center"/>
    </xf>
    <xf numFmtId="3" fontId="2" fillId="0" borderId="2" xfId="2" applyNumberFormat="1" applyFont="1" applyFill="1" applyBorder="1" applyAlignment="1" applyProtection="1">
      <alignment horizontal="right" vertical="center"/>
    </xf>
    <xf numFmtId="3" fontId="2" fillId="0" borderId="3" xfId="2" applyNumberFormat="1" applyFont="1" applyFill="1" applyBorder="1" applyAlignment="1" applyProtection="1">
      <alignment horizontal="right" vertical="center"/>
    </xf>
    <xf numFmtId="3" fontId="2" fillId="0" borderId="4" xfId="2" applyNumberFormat="1" applyFont="1" applyFill="1" applyBorder="1" applyAlignment="1" applyProtection="1">
      <alignment horizontal="right" vertical="center"/>
    </xf>
    <xf numFmtId="0" fontId="5" fillId="0" borderId="0" xfId="2">
      <alignment vertical="center"/>
    </xf>
    <xf numFmtId="164" fontId="8" fillId="0" borderId="1" xfId="2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center" vertical="center"/>
    </xf>
    <xf numFmtId="2" fontId="5" fillId="0" borderId="1" xfId="2" applyNumberFormat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1" fontId="2" fillId="0" borderId="1" xfId="2" applyNumberFormat="1" applyFont="1" applyFill="1" applyBorder="1" applyAlignment="1" applyProtection="1">
      <alignment horizontal="right" vertical="center"/>
    </xf>
    <xf numFmtId="1" fontId="2" fillId="0" borderId="5" xfId="2" applyNumberFormat="1" applyFont="1" applyFill="1" applyBorder="1" applyAlignment="1" applyProtection="1">
      <alignment horizontal="right" vertical="center"/>
    </xf>
    <xf numFmtId="1" fontId="2" fillId="0" borderId="6" xfId="2" applyNumberFormat="1" applyFont="1" applyFill="1" applyBorder="1" applyAlignment="1" applyProtection="1">
      <alignment horizontal="righ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3" fontId="2" fillId="0" borderId="1" xfId="2" applyNumberFormat="1" applyFont="1" applyFill="1" applyBorder="1" applyAlignment="1" applyProtection="1">
      <alignment horizontal="right" vertical="center"/>
    </xf>
    <xf numFmtId="3" fontId="2" fillId="0" borderId="5" xfId="2" applyNumberFormat="1" applyFont="1" applyFill="1" applyBorder="1" applyAlignment="1" applyProtection="1">
      <alignment horizontal="right" vertical="center"/>
    </xf>
    <xf numFmtId="3" fontId="2" fillId="0" borderId="6" xfId="2" applyNumberFormat="1" applyFont="1" applyFill="1" applyBorder="1" applyAlignment="1" applyProtection="1">
      <alignment horizontal="right" vertical="center"/>
    </xf>
    <xf numFmtId="164" fontId="8" fillId="0" borderId="7" xfId="2" applyNumberFormat="1" applyFont="1" applyBorder="1" applyAlignment="1">
      <alignment horizontal="center" vertical="center"/>
    </xf>
    <xf numFmtId="165" fontId="7" fillId="0" borderId="7" xfId="2" applyNumberFormat="1" applyFont="1" applyBorder="1" applyAlignment="1">
      <alignment horizontal="center" vertical="center"/>
    </xf>
    <xf numFmtId="2" fontId="5" fillId="0" borderId="7" xfId="2" applyNumberForma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1" fontId="2" fillId="0" borderId="7" xfId="2" applyNumberFormat="1" applyFont="1" applyFill="1" applyBorder="1" applyAlignment="1" applyProtection="1">
      <alignment horizontal="right" vertical="center"/>
    </xf>
    <xf numFmtId="1" fontId="2" fillId="0" borderId="8" xfId="2" applyNumberFormat="1" applyFont="1" applyFill="1" applyBorder="1" applyAlignment="1" applyProtection="1">
      <alignment horizontal="right" vertical="center"/>
    </xf>
    <xf numFmtId="1" fontId="2" fillId="0" borderId="9" xfId="2" applyNumberFormat="1" applyFont="1" applyFill="1" applyBorder="1" applyAlignment="1" applyProtection="1">
      <alignment horizontal="right" vertical="center"/>
    </xf>
    <xf numFmtId="0" fontId="7" fillId="0" borderId="7" xfId="2" applyFont="1" applyBorder="1" applyAlignment="1">
      <alignment horizontal="center" vertical="center"/>
    </xf>
    <xf numFmtId="164" fontId="8" fillId="0" borderId="2" xfId="2" applyNumberFormat="1" applyFont="1" applyFill="1" applyBorder="1" applyAlignment="1">
      <alignment horizontal="center" vertical="center"/>
    </xf>
    <xf numFmtId="165" fontId="7" fillId="0" borderId="2" xfId="2" applyNumberFormat="1" applyFont="1" applyFill="1" applyBorder="1" applyAlignment="1">
      <alignment horizontal="center" vertical="center"/>
    </xf>
    <xf numFmtId="2" fontId="5" fillId="0" borderId="2" xfId="2" applyNumberForma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2" fillId="0" borderId="2" xfId="2" applyNumberFormat="1" applyFont="1" applyBorder="1" applyAlignment="1">
      <alignment horizontal="right" vertical="center"/>
    </xf>
    <xf numFmtId="0" fontId="2" fillId="0" borderId="10" xfId="2" applyNumberFormat="1" applyFont="1" applyBorder="1" applyAlignment="1">
      <alignment horizontal="right" vertical="center"/>
    </xf>
    <xf numFmtId="0" fontId="2" fillId="0" borderId="11" xfId="2" applyNumberFormat="1" applyFont="1" applyBorder="1" applyAlignment="1">
      <alignment horizontal="right" vertical="center"/>
    </xf>
    <xf numFmtId="0" fontId="7" fillId="0" borderId="12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3" fontId="5" fillId="0" borderId="2" xfId="2" applyNumberFormat="1" applyFill="1" applyBorder="1" applyAlignment="1">
      <alignment vertical="center"/>
    </xf>
    <xf numFmtId="0" fontId="5" fillId="0" borderId="2" xfId="2" applyFill="1" applyBorder="1" applyAlignment="1">
      <alignment vertical="center"/>
    </xf>
    <xf numFmtId="164" fontId="8" fillId="0" borderId="42" xfId="2" applyNumberFormat="1" applyFont="1" applyFill="1" applyBorder="1" applyAlignment="1">
      <alignment horizontal="center" vertical="center"/>
    </xf>
    <xf numFmtId="165" fontId="7" fillId="0" borderId="42" xfId="2" applyNumberFormat="1" applyFont="1" applyFill="1" applyBorder="1" applyAlignment="1">
      <alignment horizontal="center" vertical="center"/>
    </xf>
    <xf numFmtId="2" fontId="5" fillId="0" borderId="42" xfId="2" applyNumberFormat="1" applyFill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42" xfId="2" applyFont="1" applyBorder="1" applyAlignment="1">
      <alignment horizontal="center" vertical="center"/>
    </xf>
    <xf numFmtId="0" fontId="7" fillId="0" borderId="42" xfId="2" applyFont="1" applyBorder="1" applyAlignment="1">
      <alignment vertical="center"/>
    </xf>
    <xf numFmtId="0" fontId="2" fillId="0" borderId="42" xfId="2" applyNumberFormat="1" applyFont="1" applyBorder="1" applyAlignment="1">
      <alignment horizontal="right" vertical="center"/>
    </xf>
    <xf numFmtId="0" fontId="2" fillId="0" borderId="43" xfId="2" applyNumberFormat="1" applyFont="1" applyBorder="1" applyAlignment="1">
      <alignment horizontal="right" vertical="center"/>
    </xf>
    <xf numFmtId="0" fontId="2" fillId="0" borderId="44" xfId="2" applyNumberFormat="1" applyFont="1" applyBorder="1" applyAlignment="1">
      <alignment horizontal="right" vertical="center"/>
    </xf>
    <xf numFmtId="0" fontId="2" fillId="0" borderId="42" xfId="2" applyNumberFormat="1" applyFont="1" applyBorder="1" applyAlignment="1">
      <alignment vertical="center"/>
    </xf>
    <xf numFmtId="0" fontId="7" fillId="0" borderId="45" xfId="2" applyFont="1" applyBorder="1" applyAlignment="1">
      <alignment vertical="center"/>
    </xf>
    <xf numFmtId="0" fontId="7" fillId="0" borderId="46" xfId="2" applyFont="1" applyBorder="1" applyAlignment="1">
      <alignment vertical="center"/>
    </xf>
    <xf numFmtId="3" fontId="5" fillId="0" borderId="42" xfId="2" applyNumberFormat="1" applyFill="1" applyBorder="1" applyAlignment="1">
      <alignment vertical="center"/>
    </xf>
    <xf numFmtId="0" fontId="5" fillId="0" borderId="42" xfId="2" applyFill="1" applyBorder="1" applyAlignment="1">
      <alignment vertical="center"/>
    </xf>
    <xf numFmtId="0" fontId="5" fillId="0" borderId="47" xfId="2" applyBorder="1" applyAlignment="1">
      <alignment vertical="center"/>
    </xf>
    <xf numFmtId="0" fontId="7" fillId="0" borderId="47" xfId="2" applyFont="1" applyBorder="1" applyAlignment="1">
      <alignment vertical="center"/>
    </xf>
    <xf numFmtId="0" fontId="2" fillId="0" borderId="12" xfId="2" applyNumberFormat="1" applyFont="1" applyBorder="1" applyAlignment="1">
      <alignment horizontal="right" vertical="center"/>
    </xf>
    <xf numFmtId="0" fontId="2" fillId="0" borderId="4" xfId="2" applyNumberFormat="1" applyFont="1" applyBorder="1" applyAlignment="1">
      <alignment horizontal="right" vertical="center"/>
    </xf>
    <xf numFmtId="164" fontId="8" fillId="0" borderId="1" xfId="2" applyNumberFormat="1" applyFont="1" applyFill="1" applyBorder="1" applyAlignment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2" fontId="5" fillId="0" borderId="1" xfId="2" applyNumberFormat="1" applyFill="1" applyBorder="1" applyAlignment="1">
      <alignment horizontal="center" vertical="center"/>
    </xf>
    <xf numFmtId="0" fontId="2" fillId="0" borderId="1" xfId="2" applyNumberFormat="1" applyFont="1" applyBorder="1" applyAlignment="1">
      <alignment horizontal="right" vertical="center"/>
    </xf>
    <xf numFmtId="0" fontId="2" fillId="0" borderId="13" xfId="2" applyNumberFormat="1" applyFont="1" applyBorder="1" applyAlignment="1">
      <alignment horizontal="right" vertical="center"/>
    </xf>
    <xf numFmtId="0" fontId="2" fillId="0" borderId="14" xfId="2" applyNumberFormat="1" applyFont="1" applyBorder="1" applyAlignment="1">
      <alignment horizontal="right" vertical="center"/>
    </xf>
    <xf numFmtId="0" fontId="2" fillId="0" borderId="15" xfId="2" applyNumberFormat="1" applyFont="1" applyBorder="1" applyAlignment="1">
      <alignment horizontal="right" vertical="center"/>
    </xf>
    <xf numFmtId="0" fontId="2" fillId="0" borderId="6" xfId="2" applyNumberFormat="1" applyFont="1" applyBorder="1" applyAlignment="1">
      <alignment horizontal="right" vertical="center"/>
    </xf>
    <xf numFmtId="3" fontId="5" fillId="0" borderId="1" xfId="2" applyNumberFormat="1" applyFill="1" applyBorder="1" applyAlignment="1">
      <alignment vertical="center"/>
    </xf>
    <xf numFmtId="0" fontId="5" fillId="0" borderId="1" xfId="2" applyFill="1" applyBorder="1" applyAlignment="1">
      <alignment vertical="center"/>
    </xf>
    <xf numFmtId="3" fontId="5" fillId="0" borderId="0" xfId="2" applyNumberFormat="1" applyAlignment="1">
      <alignment vertical="center"/>
    </xf>
    <xf numFmtId="164" fontId="8" fillId="0" borderId="7" xfId="2" applyNumberFormat="1" applyFont="1" applyFill="1" applyBorder="1" applyAlignment="1">
      <alignment horizontal="center" vertical="center"/>
    </xf>
    <xf numFmtId="165" fontId="7" fillId="0" borderId="7" xfId="2" applyNumberFormat="1" applyFont="1" applyFill="1" applyBorder="1" applyAlignment="1">
      <alignment horizontal="center" vertical="center"/>
    </xf>
    <xf numFmtId="2" fontId="5" fillId="0" borderId="7" xfId="2" applyNumberFormat="1" applyFill="1" applyBorder="1" applyAlignment="1">
      <alignment horizontal="center" vertical="center"/>
    </xf>
    <xf numFmtId="0" fontId="2" fillId="0" borderId="7" xfId="2" applyNumberFormat="1" applyFont="1" applyBorder="1" applyAlignment="1">
      <alignment horizontal="right" vertical="center"/>
    </xf>
    <xf numFmtId="0" fontId="2" fillId="0" borderId="16" xfId="2" applyNumberFormat="1" applyFont="1" applyBorder="1" applyAlignment="1">
      <alignment horizontal="right" vertical="center"/>
    </xf>
    <xf numFmtId="0" fontId="2" fillId="0" borderId="17" xfId="2" applyNumberFormat="1" applyFont="1" applyBorder="1" applyAlignment="1">
      <alignment horizontal="right" vertical="center"/>
    </xf>
    <xf numFmtId="0" fontId="2" fillId="0" borderId="18" xfId="2" applyNumberFormat="1" applyFont="1" applyBorder="1" applyAlignment="1">
      <alignment horizontal="right" vertical="center"/>
    </xf>
    <xf numFmtId="0" fontId="2" fillId="0" borderId="9" xfId="2" applyNumberFormat="1" applyFont="1" applyBorder="1" applyAlignment="1">
      <alignment horizontal="right" vertical="center"/>
    </xf>
    <xf numFmtId="3" fontId="5" fillId="0" borderId="7" xfId="2" applyNumberFormat="1" applyFill="1" applyBorder="1" applyAlignment="1">
      <alignment vertical="center"/>
    </xf>
    <xf numFmtId="0" fontId="5" fillId="0" borderId="7" xfId="2" applyFill="1" applyBorder="1" applyAlignment="1">
      <alignment vertical="center"/>
    </xf>
    <xf numFmtId="164" fontId="8" fillId="0" borderId="48" xfId="2" applyNumberFormat="1" applyFont="1" applyBorder="1" applyAlignment="1">
      <alignment horizontal="center" vertical="center"/>
    </xf>
    <xf numFmtId="165" fontId="7" fillId="0" borderId="48" xfId="2" applyNumberFormat="1" applyFont="1" applyBorder="1" applyAlignment="1">
      <alignment horizontal="center" vertical="center"/>
    </xf>
    <xf numFmtId="2" fontId="5" fillId="0" borderId="48" xfId="2" applyNumberFormat="1" applyBorder="1" applyAlignment="1">
      <alignment horizontal="center" vertical="center"/>
    </xf>
    <xf numFmtId="0" fontId="7" fillId="0" borderId="48" xfId="2" applyFont="1" applyFill="1" applyBorder="1" applyAlignment="1">
      <alignment horizontal="center" vertical="center"/>
    </xf>
    <xf numFmtId="0" fontId="7" fillId="0" borderId="48" xfId="2" applyFont="1" applyBorder="1" applyAlignment="1">
      <alignment horizontal="center" vertical="center"/>
    </xf>
    <xf numFmtId="0" fontId="7" fillId="0" borderId="48" xfId="2" applyFont="1" applyBorder="1" applyAlignment="1">
      <alignment vertical="center"/>
    </xf>
    <xf numFmtId="0" fontId="2" fillId="0" borderId="48" xfId="2" applyNumberFormat="1" applyFont="1" applyBorder="1" applyAlignment="1">
      <alignment horizontal="right" vertical="center"/>
    </xf>
    <xf numFmtId="0" fontId="2" fillId="0" borderId="49" xfId="2" applyNumberFormat="1" applyFont="1" applyBorder="1" applyAlignment="1">
      <alignment horizontal="right" vertical="center"/>
    </xf>
    <xf numFmtId="0" fontId="2" fillId="0" borderId="50" xfId="2" applyNumberFormat="1" applyFont="1" applyBorder="1" applyAlignment="1">
      <alignment horizontal="right" vertical="center"/>
    </xf>
    <xf numFmtId="0" fontId="2" fillId="0" borderId="51" xfId="2" applyNumberFormat="1" applyFont="1" applyBorder="1" applyAlignment="1">
      <alignment horizontal="right" vertical="center"/>
    </xf>
    <xf numFmtId="0" fontId="2" fillId="0" borderId="52" xfId="2" applyNumberFormat="1" applyFont="1" applyBorder="1" applyAlignment="1">
      <alignment horizontal="right" vertical="center"/>
    </xf>
    <xf numFmtId="0" fontId="2" fillId="0" borderId="53" xfId="2" applyNumberFormat="1" applyFont="1" applyBorder="1" applyAlignment="1">
      <alignment horizontal="right" vertical="center"/>
    </xf>
    <xf numFmtId="3" fontId="5" fillId="0" borderId="48" xfId="2" applyNumberFormat="1" applyFill="1" applyBorder="1" applyAlignment="1">
      <alignment vertical="center"/>
    </xf>
    <xf numFmtId="0" fontId="5" fillId="0" borderId="48" xfId="2" applyFill="1" applyBorder="1" applyAlignment="1">
      <alignment vertical="center"/>
    </xf>
    <xf numFmtId="0" fontId="2" fillId="0" borderId="19" xfId="2" applyNumberFormat="1" applyFont="1" applyBorder="1" applyAlignment="1">
      <alignment horizontal="right" vertical="center"/>
    </xf>
    <xf numFmtId="0" fontId="2" fillId="0" borderId="20" xfId="2" applyNumberFormat="1" applyFont="1" applyBorder="1" applyAlignment="1">
      <alignment horizontal="right" vertical="center"/>
    </xf>
    <xf numFmtId="0" fontId="2" fillId="0" borderId="21" xfId="2" applyNumberFormat="1" applyFont="1" applyBorder="1" applyAlignment="1">
      <alignment horizontal="right" vertical="center"/>
    </xf>
    <xf numFmtId="9" fontId="5" fillId="0" borderId="0" xfId="2" applyNumberFormat="1" applyAlignment="1">
      <alignment vertical="center"/>
    </xf>
    <xf numFmtId="164" fontId="8" fillId="0" borderId="0" xfId="2" applyNumberFormat="1" applyFont="1" applyBorder="1" applyAlignment="1">
      <alignment horizontal="center" vertical="center"/>
    </xf>
    <xf numFmtId="165" fontId="7" fillId="0" borderId="0" xfId="2" applyNumberFormat="1" applyFont="1" applyBorder="1" applyAlignment="1">
      <alignment horizontal="center" vertical="center"/>
    </xf>
    <xf numFmtId="2" fontId="5" fillId="0" borderId="0" xfId="2" applyNumberForma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NumberFormat="1" applyFont="1" applyBorder="1" applyAlignment="1">
      <alignment horizontal="right" vertical="center"/>
    </xf>
    <xf numFmtId="0" fontId="2" fillId="0" borderId="0" xfId="2" applyNumberFormat="1" applyFont="1" applyBorder="1" applyAlignment="1">
      <alignment horizontal="left" vertical="center"/>
    </xf>
    <xf numFmtId="164" fontId="5" fillId="0" borderId="0" xfId="2" applyNumberFormat="1" applyBorder="1" applyAlignment="1">
      <alignment horizontal="center" vertical="center"/>
    </xf>
    <xf numFmtId="164" fontId="7" fillId="0" borderId="0" xfId="2" applyNumberFormat="1" applyFont="1" applyBorder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left" vertical="center"/>
    </xf>
    <xf numFmtId="1" fontId="5" fillId="0" borderId="0" xfId="2" applyNumberFormat="1" applyAlignment="1">
      <alignment vertical="center"/>
    </xf>
    <xf numFmtId="0" fontId="2" fillId="0" borderId="0" xfId="2" applyNumberFormat="1" applyFont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right" vertical="center"/>
    </xf>
    <xf numFmtId="0" fontId="5" fillId="0" borderId="0" xfId="2" applyFill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1" fillId="0" borderId="13" xfId="2" quotePrefix="1" applyFont="1" applyBorder="1" applyAlignment="1">
      <alignment horizontal="center" vertical="center"/>
    </xf>
    <xf numFmtId="0" fontId="1" fillId="0" borderId="22" xfId="2" quotePrefix="1" applyFont="1" applyBorder="1" applyAlignment="1">
      <alignment horizontal="center" vertical="center"/>
    </xf>
    <xf numFmtId="0" fontId="1" fillId="0" borderId="23" xfId="2" quotePrefix="1" applyFont="1" applyBorder="1" applyAlignment="1">
      <alignment horizontal="center" vertical="center"/>
    </xf>
    <xf numFmtId="0" fontId="1" fillId="0" borderId="24" xfId="2" quotePrefix="1" applyFont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1" fillId="0" borderId="1" xfId="2" quotePrefix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vertical="center"/>
    </xf>
    <xf numFmtId="0" fontId="1" fillId="0" borderId="1" xfId="2" applyFont="1" applyFill="1" applyBorder="1" applyAlignment="1">
      <alignment horizontal="right" vertical="center"/>
    </xf>
    <xf numFmtId="0" fontId="1" fillId="6" borderId="1" xfId="2" applyFont="1" applyFill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7" fillId="0" borderId="54" xfId="2" applyFont="1" applyBorder="1" applyAlignment="1">
      <alignment horizontal="center" vertical="center"/>
    </xf>
    <xf numFmtId="0" fontId="1" fillId="0" borderId="55" xfId="2" applyFont="1" applyBorder="1" applyAlignment="1">
      <alignment horizontal="right" vertical="center"/>
    </xf>
    <xf numFmtId="0" fontId="1" fillId="0" borderId="54" xfId="2" applyFont="1" applyBorder="1" applyAlignment="1">
      <alignment horizontal="right" vertical="center"/>
    </xf>
    <xf numFmtId="0" fontId="7" fillId="2" borderId="56" xfId="2" applyFont="1" applyFill="1" applyBorder="1" applyAlignment="1">
      <alignment vertical="center"/>
    </xf>
    <xf numFmtId="0" fontId="5" fillId="0" borderId="40" xfId="2" applyBorder="1" applyAlignment="1">
      <alignment horizontal="center" vertical="center"/>
    </xf>
    <xf numFmtId="2" fontId="1" fillId="0" borderId="38" xfId="2" applyNumberFormat="1" applyFont="1" applyFill="1" applyBorder="1" applyAlignment="1">
      <alignment horizontal="center" vertical="center"/>
    </xf>
    <xf numFmtId="3" fontId="8" fillId="2" borderId="38" xfId="2" applyNumberFormat="1" applyFont="1" applyFill="1" applyBorder="1" applyAlignment="1">
      <alignment vertical="center"/>
    </xf>
    <xf numFmtId="3" fontId="5" fillId="2" borderId="38" xfId="2" applyNumberFormat="1" applyFill="1" applyBorder="1" applyAlignment="1">
      <alignment vertical="center"/>
    </xf>
    <xf numFmtId="9" fontId="1" fillId="0" borderId="38" xfId="2" applyNumberFormat="1" applyFont="1" applyFill="1" applyBorder="1" applyAlignment="1">
      <alignment vertical="center"/>
    </xf>
    <xf numFmtId="3" fontId="8" fillId="0" borderId="38" xfId="2" applyNumberFormat="1" applyFont="1" applyBorder="1" applyAlignment="1">
      <alignment vertical="center"/>
    </xf>
    <xf numFmtId="167" fontId="1" fillId="0" borderId="38" xfId="2" applyNumberFormat="1" applyFont="1" applyFill="1" applyBorder="1" applyAlignment="1">
      <alignment vertical="center"/>
    </xf>
    <xf numFmtId="167" fontId="1" fillId="0" borderId="38" xfId="5" applyNumberFormat="1" applyFont="1" applyFill="1" applyBorder="1" applyAlignment="1">
      <alignment horizontal="center" vertical="center"/>
    </xf>
    <xf numFmtId="168" fontId="1" fillId="0" borderId="38" xfId="2" applyNumberFormat="1" applyFont="1" applyFill="1" applyBorder="1" applyAlignment="1">
      <alignment horizontal="center" vertical="center"/>
    </xf>
    <xf numFmtId="168" fontId="5" fillId="0" borderId="38" xfId="2" applyNumberFormat="1" applyBorder="1" applyAlignment="1">
      <alignment horizontal="center" vertical="center"/>
    </xf>
    <xf numFmtId="168" fontId="1" fillId="0" borderId="55" xfId="2" applyNumberFormat="1" applyFont="1" applyBorder="1" applyAlignment="1">
      <alignment horizontal="center" vertical="center"/>
    </xf>
    <xf numFmtId="168" fontId="1" fillId="0" borderId="38" xfId="2" applyNumberFormat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1" fontId="2" fillId="0" borderId="10" xfId="2" applyNumberFormat="1" applyFont="1" applyFill="1" applyBorder="1" applyAlignment="1" applyProtection="1">
      <alignment horizontal="right" vertical="center"/>
    </xf>
    <xf numFmtId="1" fontId="2" fillId="0" borderId="11" xfId="2" applyNumberFormat="1" applyFont="1" applyFill="1" applyBorder="1" applyAlignment="1" applyProtection="1">
      <alignment horizontal="right" vertical="center"/>
    </xf>
    <xf numFmtId="3" fontId="2" fillId="0" borderId="25" xfId="2" applyNumberFormat="1" applyFont="1" applyFill="1" applyBorder="1" applyAlignment="1" applyProtection="1">
      <alignment horizontal="right" vertical="center"/>
    </xf>
    <xf numFmtId="1" fontId="2" fillId="0" borderId="12" xfId="2" applyNumberFormat="1" applyFont="1" applyFill="1" applyBorder="1" applyAlignment="1" applyProtection="1">
      <alignment horizontal="right" vertical="center"/>
    </xf>
    <xf numFmtId="0" fontId="5" fillId="0" borderId="4" xfId="2" applyBorder="1" applyAlignment="1">
      <alignment horizontal="center" vertical="center"/>
    </xf>
    <xf numFmtId="2" fontId="1" fillId="0" borderId="2" xfId="2" applyNumberFormat="1" applyFont="1" applyFill="1" applyBorder="1" applyAlignment="1">
      <alignment horizontal="center" vertical="center"/>
    </xf>
    <xf numFmtId="9" fontId="1" fillId="0" borderId="2" xfId="2" applyNumberFormat="1" applyFont="1" applyFill="1" applyBorder="1" applyAlignment="1">
      <alignment vertical="center"/>
    </xf>
    <xf numFmtId="3" fontId="8" fillId="0" borderId="2" xfId="2" applyNumberFormat="1" applyFont="1" applyBorder="1" applyAlignment="1">
      <alignment vertical="center"/>
    </xf>
    <xf numFmtId="10" fontId="1" fillId="0" borderId="2" xfId="5" applyNumberFormat="1" applyFont="1" applyFill="1" applyBorder="1" applyAlignment="1">
      <alignment vertical="center"/>
    </xf>
    <xf numFmtId="10" fontId="1" fillId="0" borderId="2" xfId="5" applyNumberFormat="1" applyFont="1" applyFill="1" applyBorder="1" applyAlignment="1">
      <alignment horizontal="center" vertical="center"/>
    </xf>
    <xf numFmtId="168" fontId="1" fillId="0" borderId="2" xfId="5" applyNumberFormat="1" applyFont="1" applyFill="1" applyBorder="1" applyAlignment="1">
      <alignment horizontal="center" vertical="center"/>
    </xf>
    <xf numFmtId="168" fontId="5" fillId="0" borderId="1" xfId="2" applyNumberFormat="1" applyBorder="1" applyAlignment="1">
      <alignment horizontal="center" vertical="center"/>
    </xf>
    <xf numFmtId="168" fontId="2" fillId="0" borderId="10" xfId="2" applyNumberFormat="1" applyFont="1" applyFill="1" applyBorder="1" applyAlignment="1" applyProtection="1">
      <alignment horizontal="center" vertical="center"/>
    </xf>
    <xf numFmtId="168" fontId="2" fillId="0" borderId="2" xfId="2" applyNumberFormat="1" applyFont="1" applyFill="1" applyBorder="1" applyAlignment="1" applyProtection="1">
      <alignment horizontal="center" vertical="center"/>
    </xf>
    <xf numFmtId="1" fontId="2" fillId="0" borderId="13" xfId="2" applyNumberFormat="1" applyFont="1" applyFill="1" applyBorder="1" applyAlignment="1" applyProtection="1">
      <alignment horizontal="right" vertical="center"/>
    </xf>
    <xf numFmtId="1" fontId="2" fillId="0" borderId="14" xfId="2" applyNumberFormat="1" applyFont="1" applyFill="1" applyBorder="1" applyAlignment="1" applyProtection="1">
      <alignment horizontal="right" vertical="center"/>
    </xf>
    <xf numFmtId="1" fontId="2" fillId="0" borderId="4" xfId="2" applyNumberFormat="1" applyFont="1" applyFill="1" applyBorder="1" applyAlignment="1" applyProtection="1">
      <alignment horizontal="right" vertical="center"/>
    </xf>
    <xf numFmtId="1" fontId="2" fillId="0" borderId="15" xfId="2" applyNumberFormat="1" applyFont="1" applyFill="1" applyBorder="1" applyAlignment="1" applyProtection="1">
      <alignment horizontal="right" vertical="center"/>
    </xf>
    <xf numFmtId="2" fontId="1" fillId="0" borderId="1" xfId="2" applyNumberFormat="1" applyFont="1" applyFill="1" applyBorder="1" applyAlignment="1">
      <alignment horizontal="center" vertical="center"/>
    </xf>
    <xf numFmtId="9" fontId="1" fillId="0" borderId="1" xfId="2" applyNumberFormat="1" applyFont="1" applyFill="1" applyBorder="1" applyAlignment="1">
      <alignment vertical="center"/>
    </xf>
    <xf numFmtId="3" fontId="8" fillId="0" borderId="1" xfId="2" applyNumberFormat="1" applyFont="1" applyBorder="1" applyAlignment="1">
      <alignment vertical="center"/>
    </xf>
    <xf numFmtId="10" fontId="1" fillId="0" borderId="1" xfId="5" applyNumberFormat="1" applyFont="1" applyFill="1" applyBorder="1" applyAlignment="1">
      <alignment vertical="center"/>
    </xf>
    <xf numFmtId="10" fontId="1" fillId="0" borderId="1" xfId="5" applyNumberFormat="1" applyFont="1" applyFill="1" applyBorder="1" applyAlignment="1">
      <alignment horizontal="center" vertical="center"/>
    </xf>
    <xf numFmtId="168" fontId="1" fillId="0" borderId="1" xfId="5" applyNumberFormat="1" applyFont="1" applyFill="1" applyBorder="1" applyAlignment="1">
      <alignment horizontal="center" vertical="center"/>
    </xf>
    <xf numFmtId="168" fontId="1" fillId="8" borderId="1" xfId="5" applyNumberFormat="1" applyFont="1" applyFill="1" applyBorder="1" applyAlignment="1">
      <alignment horizontal="center" vertical="center"/>
    </xf>
    <xf numFmtId="168" fontId="2" fillId="0" borderId="13" xfId="2" applyNumberFormat="1" applyFont="1" applyFill="1" applyBorder="1" applyAlignment="1" applyProtection="1">
      <alignment horizontal="center" vertical="center"/>
    </xf>
    <xf numFmtId="168" fontId="2" fillId="0" borderId="1" xfId="2" applyNumberFormat="1" applyFont="1" applyFill="1" applyBorder="1" applyAlignment="1" applyProtection="1">
      <alignment horizontal="center" vertical="center"/>
    </xf>
    <xf numFmtId="0" fontId="7" fillId="0" borderId="13" xfId="2" applyFont="1" applyBorder="1" applyAlignment="1">
      <alignment horizontal="right" vertical="center"/>
    </xf>
    <xf numFmtId="0" fontId="7" fillId="0" borderId="14" xfId="2" applyFont="1" applyBorder="1" applyAlignment="1">
      <alignment horizontal="right" vertical="center"/>
    </xf>
    <xf numFmtId="0" fontId="7" fillId="0" borderId="8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0" fontId="7" fillId="0" borderId="15" xfId="2" applyFont="1" applyBorder="1" applyAlignment="1">
      <alignment horizontal="right" vertical="center"/>
    </xf>
    <xf numFmtId="168" fontId="7" fillId="0" borderId="13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6" fontId="5" fillId="0" borderId="0" xfId="5" applyNumberFormat="1" applyFont="1" applyAlignment="1">
      <alignment vertical="center"/>
    </xf>
    <xf numFmtId="3" fontId="2" fillId="0" borderId="13" xfId="2" applyNumberFormat="1" applyFont="1" applyFill="1" applyBorder="1" applyAlignment="1" applyProtection="1">
      <alignment horizontal="right" vertical="center"/>
    </xf>
    <xf numFmtId="3" fontId="2" fillId="0" borderId="26" xfId="2" applyNumberFormat="1" applyFont="1" applyFill="1" applyBorder="1" applyAlignment="1" applyProtection="1">
      <alignment horizontal="right" vertical="center"/>
    </xf>
    <xf numFmtId="0" fontId="7" fillId="0" borderId="15" xfId="2" applyFont="1" applyBorder="1" applyAlignment="1">
      <alignment vertical="center"/>
    </xf>
    <xf numFmtId="0" fontId="5" fillId="2" borderId="1" xfId="2" applyFill="1" applyBorder="1" applyAlignment="1">
      <alignment vertical="center"/>
    </xf>
    <xf numFmtId="0" fontId="7" fillId="0" borderId="17" xfId="2" applyFont="1" applyFill="1" applyBorder="1" applyAlignment="1">
      <alignment horizontal="center" vertical="center"/>
    </xf>
    <xf numFmtId="1" fontId="2" fillId="0" borderId="16" xfId="2" applyNumberFormat="1" applyFont="1" applyFill="1" applyBorder="1" applyAlignment="1" applyProtection="1">
      <alignment horizontal="right" vertical="center"/>
    </xf>
    <xf numFmtId="1" fontId="2" fillId="0" borderId="19" xfId="2" applyNumberFormat="1" applyFont="1" applyFill="1" applyBorder="1" applyAlignment="1" applyProtection="1">
      <alignment horizontal="right" vertical="center"/>
    </xf>
    <xf numFmtId="1" fontId="2" fillId="0" borderId="18" xfId="2" applyNumberFormat="1" applyFont="1" applyFill="1" applyBorder="1" applyAlignment="1" applyProtection="1">
      <alignment horizontal="right" vertical="center"/>
    </xf>
    <xf numFmtId="0" fontId="5" fillId="0" borderId="9" xfId="2" applyBorder="1" applyAlignment="1">
      <alignment horizontal="center" vertical="center"/>
    </xf>
    <xf numFmtId="2" fontId="1" fillId="0" borderId="7" xfId="2" applyNumberFormat="1" applyFont="1" applyFill="1" applyBorder="1" applyAlignment="1">
      <alignment horizontal="center" vertical="center"/>
    </xf>
    <xf numFmtId="9" fontId="1" fillId="0" borderId="7" xfId="2" applyNumberFormat="1" applyFont="1" applyFill="1" applyBorder="1" applyAlignment="1">
      <alignment vertical="center"/>
    </xf>
    <xf numFmtId="3" fontId="8" fillId="0" borderId="7" xfId="2" applyNumberFormat="1" applyFont="1" applyBorder="1" applyAlignment="1">
      <alignment vertical="center"/>
    </xf>
    <xf numFmtId="10" fontId="1" fillId="0" borderId="7" xfId="5" applyNumberFormat="1" applyFont="1" applyFill="1" applyBorder="1" applyAlignment="1">
      <alignment vertical="center"/>
    </xf>
    <xf numFmtId="10" fontId="1" fillId="0" borderId="7" xfId="5" applyNumberFormat="1" applyFont="1" applyFill="1" applyBorder="1" applyAlignment="1">
      <alignment horizontal="center" vertical="center"/>
    </xf>
    <xf numFmtId="168" fontId="1" fillId="0" borderId="7" xfId="5" applyNumberFormat="1" applyFont="1" applyFill="1" applyBorder="1" applyAlignment="1">
      <alignment horizontal="center" vertical="center"/>
    </xf>
    <xf numFmtId="168" fontId="1" fillId="8" borderId="7" xfId="5" applyNumberFormat="1" applyFont="1" applyFill="1" applyBorder="1" applyAlignment="1">
      <alignment horizontal="center" vertical="center"/>
    </xf>
    <xf numFmtId="168" fontId="5" fillId="0" borderId="7" xfId="2" applyNumberFormat="1" applyBorder="1" applyAlignment="1">
      <alignment horizontal="center" vertical="center"/>
    </xf>
    <xf numFmtId="168" fontId="2" fillId="0" borderId="16" xfId="2" applyNumberFormat="1" applyFont="1" applyFill="1" applyBorder="1" applyAlignment="1" applyProtection="1">
      <alignment horizontal="center" vertical="center"/>
    </xf>
    <xf numFmtId="168" fontId="2" fillId="0" borderId="7" xfId="2" applyNumberFormat="1" applyFont="1" applyFill="1" applyBorder="1" applyAlignment="1" applyProtection="1">
      <alignment horizontal="center" vertical="center"/>
    </xf>
    <xf numFmtId="0" fontId="2" fillId="0" borderId="25" xfId="2" applyNumberFormat="1" applyFont="1" applyBorder="1" applyAlignment="1">
      <alignment horizontal="right" vertical="center"/>
    </xf>
    <xf numFmtId="168" fontId="1" fillId="8" borderId="2" xfId="5" applyNumberFormat="1" applyFont="1" applyFill="1" applyBorder="1" applyAlignment="1">
      <alignment horizontal="center" vertical="center"/>
    </xf>
    <xf numFmtId="168" fontId="5" fillId="0" borderId="2" xfId="2" applyNumberFormat="1" applyBorder="1" applyAlignment="1">
      <alignment horizontal="center" vertical="center"/>
    </xf>
    <xf numFmtId="168" fontId="2" fillId="0" borderId="10" xfId="2" applyNumberFormat="1" applyFont="1" applyFill="1" applyBorder="1" applyAlignment="1">
      <alignment horizontal="center" vertical="center"/>
    </xf>
    <xf numFmtId="168" fontId="2" fillId="0" borderId="2" xfId="2" applyNumberFormat="1" applyFont="1" applyFill="1" applyBorder="1" applyAlignment="1">
      <alignment horizontal="center" vertical="center"/>
    </xf>
    <xf numFmtId="0" fontId="7" fillId="0" borderId="44" xfId="2" applyFont="1" applyBorder="1" applyAlignment="1">
      <alignment horizontal="center" vertical="center"/>
    </xf>
    <xf numFmtId="0" fontId="2" fillId="0" borderId="57" xfId="2" applyNumberFormat="1" applyFont="1" applyBorder="1" applyAlignment="1">
      <alignment horizontal="right" vertical="center"/>
    </xf>
    <xf numFmtId="0" fontId="2" fillId="0" borderId="58" xfId="2" applyNumberFormat="1" applyFont="1" applyBorder="1" applyAlignment="1">
      <alignment horizontal="right" vertical="center"/>
    </xf>
    <xf numFmtId="0" fontId="2" fillId="0" borderId="45" xfId="2" applyNumberFormat="1" applyFont="1" applyBorder="1" applyAlignment="1">
      <alignment horizontal="right" vertical="center"/>
    </xf>
    <xf numFmtId="0" fontId="5" fillId="0" borderId="46" xfId="2" applyFill="1" applyBorder="1" applyAlignment="1">
      <alignment horizontal="center" vertical="center"/>
    </xf>
    <xf numFmtId="2" fontId="1" fillId="0" borderId="42" xfId="2" applyNumberFormat="1" applyFont="1" applyFill="1" applyBorder="1" applyAlignment="1">
      <alignment horizontal="center" vertical="center"/>
    </xf>
    <xf numFmtId="3" fontId="5" fillId="0" borderId="42" xfId="2" applyNumberFormat="1" applyBorder="1" applyAlignment="1">
      <alignment vertical="center"/>
    </xf>
    <xf numFmtId="9" fontId="1" fillId="0" borderId="42" xfId="2" applyNumberFormat="1" applyFont="1" applyFill="1" applyBorder="1" applyAlignment="1">
      <alignment vertical="center"/>
    </xf>
    <xf numFmtId="3" fontId="8" fillId="0" borderId="42" xfId="2" applyNumberFormat="1" applyFont="1" applyBorder="1" applyAlignment="1">
      <alignment vertical="center"/>
    </xf>
    <xf numFmtId="10" fontId="1" fillId="0" borderId="42" xfId="5" applyNumberFormat="1" applyFont="1" applyFill="1" applyBorder="1" applyAlignment="1">
      <alignment vertical="center"/>
    </xf>
    <xf numFmtId="10" fontId="1" fillId="0" borderId="42" xfId="5" applyNumberFormat="1" applyFont="1" applyFill="1" applyBorder="1" applyAlignment="1">
      <alignment horizontal="center" vertical="center"/>
    </xf>
    <xf numFmtId="168" fontId="1" fillId="0" borderId="42" xfId="5" applyNumberFormat="1" applyFont="1" applyFill="1" applyBorder="1" applyAlignment="1">
      <alignment horizontal="center" vertical="center"/>
    </xf>
    <xf numFmtId="168" fontId="1" fillId="8" borderId="42" xfId="5" applyNumberFormat="1" applyFont="1" applyFill="1" applyBorder="1" applyAlignment="1">
      <alignment horizontal="center" vertical="center"/>
    </xf>
    <xf numFmtId="168" fontId="5" fillId="0" borderId="42" xfId="2" applyNumberFormat="1" applyBorder="1" applyAlignment="1">
      <alignment horizontal="center" vertical="center"/>
    </xf>
    <xf numFmtId="168" fontId="2" fillId="0" borderId="43" xfId="2" applyNumberFormat="1" applyFont="1" applyFill="1" applyBorder="1" applyAlignment="1">
      <alignment horizontal="center" vertical="center"/>
    </xf>
    <xf numFmtId="168" fontId="2" fillId="0" borderId="42" xfId="2" applyNumberFormat="1" applyFont="1" applyFill="1" applyBorder="1" applyAlignment="1">
      <alignment horizontal="center" vertical="center"/>
    </xf>
    <xf numFmtId="0" fontId="5" fillId="0" borderId="4" xfId="2" applyFill="1" applyBorder="1" applyAlignment="1">
      <alignment horizontal="center" vertical="center"/>
    </xf>
    <xf numFmtId="166" fontId="1" fillId="0" borderId="2" xfId="5" applyNumberFormat="1" applyFont="1" applyFill="1" applyBorder="1" applyAlignment="1">
      <alignment vertical="center"/>
    </xf>
    <xf numFmtId="166" fontId="1" fillId="0" borderId="2" xfId="5" applyNumberFormat="1" applyFont="1" applyFill="1" applyBorder="1" applyAlignment="1">
      <alignment horizontal="center" vertical="center"/>
    </xf>
    <xf numFmtId="0" fontId="5" fillId="0" borderId="6" xfId="2" applyFill="1" applyBorder="1" applyAlignment="1">
      <alignment horizontal="center" vertical="center"/>
    </xf>
    <xf numFmtId="166" fontId="1" fillId="0" borderId="1" xfId="5" applyNumberFormat="1" applyFont="1" applyFill="1" applyBorder="1" applyAlignment="1">
      <alignment vertical="center"/>
    </xf>
    <xf numFmtId="166" fontId="1" fillId="0" borderId="1" xfId="5" applyNumberFormat="1" applyFont="1" applyFill="1" applyBorder="1" applyAlignment="1">
      <alignment horizontal="center" vertical="center"/>
    </xf>
    <xf numFmtId="168" fontId="2" fillId="0" borderId="13" xfId="2" applyNumberFormat="1" applyFont="1" applyFill="1" applyBorder="1" applyAlignment="1">
      <alignment horizontal="center" vertical="center"/>
    </xf>
    <xf numFmtId="168" fontId="2" fillId="0" borderId="1" xfId="2" applyNumberFormat="1" applyFont="1" applyFill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2" fillId="0" borderId="27" xfId="2" applyNumberFormat="1" applyFont="1" applyBorder="1" applyAlignment="1">
      <alignment horizontal="right" vertical="center"/>
    </xf>
    <xf numFmtId="0" fontId="2" fillId="0" borderId="28" xfId="2" applyNumberFormat="1" applyFont="1" applyBorder="1" applyAlignment="1">
      <alignment horizontal="right" vertical="center"/>
    </xf>
    <xf numFmtId="0" fontId="5" fillId="0" borderId="9" xfId="2" applyFill="1" applyBorder="1" applyAlignment="1">
      <alignment horizontal="center" vertical="center"/>
    </xf>
    <xf numFmtId="166" fontId="1" fillId="0" borderId="7" xfId="5" applyNumberFormat="1" applyFont="1" applyFill="1" applyBorder="1" applyAlignment="1">
      <alignment vertical="center"/>
    </xf>
    <xf numFmtId="166" fontId="1" fillId="0" borderId="7" xfId="5" applyNumberFormat="1" applyFont="1" applyFill="1" applyBorder="1" applyAlignment="1">
      <alignment horizontal="center" vertical="center"/>
    </xf>
    <xf numFmtId="168" fontId="2" fillId="0" borderId="16" xfId="2" applyNumberFormat="1" applyFont="1" applyFill="1" applyBorder="1" applyAlignment="1">
      <alignment horizontal="center" vertical="center"/>
    </xf>
    <xf numFmtId="168" fontId="2" fillId="0" borderId="7" xfId="2" applyNumberFormat="1" applyFont="1" applyFill="1" applyBorder="1" applyAlignment="1">
      <alignment horizontal="center" vertical="center"/>
    </xf>
    <xf numFmtId="0" fontId="7" fillId="0" borderId="59" xfId="2" applyFont="1" applyBorder="1" applyAlignment="1">
      <alignment horizontal="center" vertical="center"/>
    </xf>
    <xf numFmtId="0" fontId="2" fillId="0" borderId="59" xfId="2" applyNumberFormat="1" applyFont="1" applyBorder="1" applyAlignment="1">
      <alignment horizontal="right" vertical="center"/>
    </xf>
    <xf numFmtId="0" fontId="2" fillId="0" borderId="60" xfId="2" applyNumberFormat="1" applyFont="1" applyBorder="1" applyAlignment="1">
      <alignment horizontal="right" vertical="center"/>
    </xf>
    <xf numFmtId="0" fontId="5" fillId="0" borderId="53" xfId="2" applyBorder="1" applyAlignment="1">
      <alignment horizontal="center" vertical="center"/>
    </xf>
    <xf numFmtId="2" fontId="1" fillId="0" borderId="48" xfId="2" applyNumberFormat="1" applyFont="1" applyFill="1" applyBorder="1" applyAlignment="1">
      <alignment horizontal="center" vertical="center"/>
    </xf>
    <xf numFmtId="3" fontId="5" fillId="0" borderId="48" xfId="2" applyNumberFormat="1" applyBorder="1" applyAlignment="1">
      <alignment vertical="center"/>
    </xf>
    <xf numFmtId="9" fontId="1" fillId="0" borderId="48" xfId="2" applyNumberFormat="1" applyFont="1" applyFill="1" applyBorder="1" applyAlignment="1">
      <alignment vertical="center"/>
    </xf>
    <xf numFmtId="3" fontId="8" fillId="0" borderId="48" xfId="2" applyNumberFormat="1" applyFont="1" applyBorder="1" applyAlignment="1">
      <alignment vertical="center"/>
    </xf>
    <xf numFmtId="166" fontId="1" fillId="0" borderId="48" xfId="5" applyNumberFormat="1" applyFont="1" applyFill="1" applyBorder="1" applyAlignment="1">
      <alignment vertical="center"/>
    </xf>
    <xf numFmtId="166" fontId="1" fillId="0" borderId="48" xfId="5" applyNumberFormat="1" applyFont="1" applyFill="1" applyBorder="1" applyAlignment="1">
      <alignment horizontal="center" vertical="center"/>
    </xf>
    <xf numFmtId="168" fontId="1" fillId="0" borderId="48" xfId="5" applyNumberFormat="1" applyFont="1" applyFill="1" applyBorder="1" applyAlignment="1">
      <alignment horizontal="center" vertical="center"/>
    </xf>
    <xf numFmtId="168" fontId="5" fillId="0" borderId="48" xfId="2" applyNumberFormat="1" applyBorder="1" applyAlignment="1">
      <alignment horizontal="center" vertical="center"/>
    </xf>
    <xf numFmtId="168" fontId="2" fillId="0" borderId="49" xfId="2" applyNumberFormat="1" applyFont="1" applyFill="1" applyBorder="1" applyAlignment="1">
      <alignment horizontal="center" vertical="center"/>
    </xf>
    <xf numFmtId="168" fontId="2" fillId="0" borderId="48" xfId="2" applyNumberFormat="1" applyFont="1" applyFill="1" applyBorder="1" applyAlignment="1">
      <alignment horizontal="center" vertical="center"/>
    </xf>
    <xf numFmtId="168" fontId="5" fillId="0" borderId="0" xfId="2" applyNumberFormat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2" fillId="0" borderId="29" xfId="2" applyNumberFormat="1" applyFont="1" applyBorder="1" applyAlignment="1">
      <alignment horizontal="right" vertical="center"/>
    </xf>
    <xf numFmtId="0" fontId="2" fillId="0" borderId="30" xfId="2" applyNumberFormat="1" applyFont="1" applyBorder="1" applyAlignment="1">
      <alignment horizontal="right" vertical="center"/>
    </xf>
    <xf numFmtId="0" fontId="5" fillId="0" borderId="0" xfId="2" applyBorder="1" applyAlignment="1">
      <alignment horizontal="center" vertical="center"/>
    </xf>
    <xf numFmtId="2" fontId="1" fillId="0" borderId="0" xfId="2" applyNumberFormat="1" applyFont="1" applyFill="1" applyBorder="1" applyAlignment="1">
      <alignment horizontal="center" vertical="center"/>
    </xf>
    <xf numFmtId="3" fontId="5" fillId="0" borderId="0" xfId="2" applyNumberFormat="1" applyBorder="1" applyAlignment="1">
      <alignment vertical="center"/>
    </xf>
    <xf numFmtId="9" fontId="1" fillId="0" borderId="0" xfId="2" applyNumberFormat="1" applyFont="1" applyFill="1" applyBorder="1" applyAlignment="1">
      <alignment vertical="center"/>
    </xf>
    <xf numFmtId="3" fontId="8" fillId="0" borderId="0" xfId="2" applyNumberFormat="1" applyFont="1" applyBorder="1" applyAlignment="1">
      <alignment vertical="center"/>
    </xf>
    <xf numFmtId="10" fontId="1" fillId="0" borderId="0" xfId="5" applyNumberFormat="1" applyFont="1" applyFill="1" applyBorder="1" applyAlignment="1">
      <alignment vertical="center"/>
    </xf>
    <xf numFmtId="0" fontId="5" fillId="6" borderId="37" xfId="2" applyFill="1" applyBorder="1" applyAlignment="1">
      <alignment vertical="center"/>
    </xf>
    <xf numFmtId="0" fontId="5" fillId="6" borderId="34" xfId="2" applyFill="1" applyBorder="1" applyAlignment="1">
      <alignment vertical="center"/>
    </xf>
    <xf numFmtId="0" fontId="5" fillId="6" borderId="32" xfId="2" applyFill="1" applyBorder="1" applyAlignment="1">
      <alignment vertical="center"/>
    </xf>
    <xf numFmtId="0" fontId="5" fillId="6" borderId="32" xfId="2" applyFill="1" applyBorder="1" applyAlignment="1">
      <alignment horizontal="center" vertical="center"/>
    </xf>
    <xf numFmtId="2" fontId="1" fillId="6" borderId="32" xfId="2" applyNumberFormat="1" applyFont="1" applyFill="1" applyBorder="1" applyAlignment="1">
      <alignment horizontal="center" vertical="center"/>
    </xf>
    <xf numFmtId="3" fontId="5" fillId="6" borderId="32" xfId="2" applyNumberFormat="1" applyFill="1" applyBorder="1" applyAlignment="1">
      <alignment vertical="center"/>
    </xf>
    <xf numFmtId="0" fontId="7" fillId="6" borderId="32" xfId="2" applyFont="1" applyFill="1" applyBorder="1" applyAlignment="1">
      <alignment vertical="center"/>
    </xf>
    <xf numFmtId="10" fontId="1" fillId="6" borderId="32" xfId="5" applyNumberFormat="1" applyFont="1" applyFill="1" applyBorder="1" applyAlignment="1">
      <alignment vertical="center"/>
    </xf>
    <xf numFmtId="168" fontId="1" fillId="6" borderId="32" xfId="5" applyNumberFormat="1" applyFont="1" applyFill="1" applyBorder="1" applyAlignment="1">
      <alignment horizontal="center" vertical="center"/>
    </xf>
    <xf numFmtId="0" fontId="5" fillId="6" borderId="33" xfId="2" applyFill="1" applyBorder="1" applyAlignment="1">
      <alignment vertical="center"/>
    </xf>
    <xf numFmtId="0" fontId="5" fillId="6" borderId="0" xfId="2" applyFill="1" applyBorder="1" applyAlignment="1">
      <alignment vertical="center"/>
    </xf>
    <xf numFmtId="0" fontId="5" fillId="6" borderId="35" xfId="2" applyFill="1" applyBorder="1" applyAlignment="1">
      <alignment vertical="center"/>
    </xf>
    <xf numFmtId="0" fontId="5" fillId="6" borderId="0" xfId="2" applyFill="1" applyBorder="1" applyAlignment="1">
      <alignment horizontal="right" vertical="center"/>
    </xf>
    <xf numFmtId="0" fontId="5" fillId="6" borderId="10" xfId="2" applyFill="1" applyBorder="1" applyAlignment="1">
      <alignment vertical="center"/>
    </xf>
    <xf numFmtId="0" fontId="5" fillId="6" borderId="36" xfId="2" applyFill="1" applyBorder="1" applyAlignment="1">
      <alignment vertical="center"/>
    </xf>
    <xf numFmtId="0" fontId="7" fillId="6" borderId="36" xfId="2" applyFont="1" applyFill="1" applyBorder="1" applyAlignment="1">
      <alignment vertical="center"/>
    </xf>
    <xf numFmtId="0" fontId="5" fillId="6" borderId="4" xfId="2" applyFill="1" applyBorder="1" applyAlignment="1">
      <alignment vertical="center"/>
    </xf>
    <xf numFmtId="0" fontId="1" fillId="0" borderId="2" xfId="2" applyFont="1" applyBorder="1" applyAlignment="1">
      <alignment horizontal="center" vertical="center"/>
    </xf>
    <xf numFmtId="0" fontId="1" fillId="2" borderId="1" xfId="2" quotePrefix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7" fillId="0" borderId="41" xfId="2" applyFont="1" applyBorder="1" applyAlignment="1">
      <alignment vertical="center"/>
    </xf>
    <xf numFmtId="0" fontId="5" fillId="0" borderId="38" xfId="2" applyBorder="1" applyAlignment="1">
      <alignment horizontal="center" vertical="center"/>
    </xf>
    <xf numFmtId="0" fontId="1" fillId="0" borderId="54" xfId="2" quotePrefix="1" applyFont="1" applyBorder="1" applyAlignment="1">
      <alignment horizontal="center" vertical="center"/>
    </xf>
    <xf numFmtId="9" fontId="8" fillId="0" borderId="38" xfId="2" applyNumberFormat="1" applyFont="1" applyBorder="1" applyAlignment="1">
      <alignment vertical="center"/>
    </xf>
    <xf numFmtId="0" fontId="10" fillId="0" borderId="38" xfId="2" applyFont="1" applyFill="1" applyBorder="1" applyAlignment="1">
      <alignment horizontal="center" vertical="center"/>
    </xf>
    <xf numFmtId="2" fontId="7" fillId="0" borderId="38" xfId="2" applyNumberFormat="1" applyFont="1" applyBorder="1" applyAlignment="1">
      <alignment horizontal="center" vertical="center"/>
    </xf>
    <xf numFmtId="3" fontId="8" fillId="0" borderId="38" xfId="2" applyNumberFormat="1" applyFont="1" applyBorder="1" applyAlignment="1">
      <alignment horizontal="center" vertical="center"/>
    </xf>
    <xf numFmtId="0" fontId="8" fillId="0" borderId="38" xfId="2" applyFont="1" applyBorder="1" applyAlignment="1">
      <alignment horizontal="center" vertical="center"/>
    </xf>
    <xf numFmtId="0" fontId="10" fillId="0" borderId="40" xfId="2" applyFont="1" applyFill="1" applyBorder="1" applyAlignment="1">
      <alignment horizontal="center" vertical="center"/>
    </xf>
    <xf numFmtId="2" fontId="7" fillId="0" borderId="48" xfId="2" applyNumberFormat="1" applyFont="1" applyBorder="1" applyAlignment="1">
      <alignment horizontal="center" vertical="center"/>
    </xf>
    <xf numFmtId="168" fontId="7" fillId="0" borderId="48" xfId="2" applyNumberFormat="1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5" fillId="0" borderId="2" xfId="2" applyBorder="1" applyAlignment="1">
      <alignment horizontal="center" vertical="center"/>
    </xf>
    <xf numFmtId="2" fontId="1" fillId="0" borderId="11" xfId="2" quotePrefix="1" applyNumberFormat="1" applyFont="1" applyBorder="1" applyAlignment="1">
      <alignment horizontal="center" vertical="center"/>
    </xf>
    <xf numFmtId="9" fontId="8" fillId="0" borderId="2" xfId="2" applyNumberFormat="1" applyFont="1" applyBorder="1" applyAlignment="1">
      <alignment vertical="center"/>
    </xf>
    <xf numFmtId="0" fontId="10" fillId="0" borderId="2" xfId="2" applyFont="1" applyFill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168" fontId="7" fillId="0" borderId="2" xfId="2" applyNumberFormat="1" applyFont="1" applyBorder="1" applyAlignment="1">
      <alignment horizontal="center" vertical="center"/>
    </xf>
    <xf numFmtId="2" fontId="1" fillId="0" borderId="14" xfId="2" quotePrefix="1" applyNumberFormat="1" applyFont="1" applyBorder="1" applyAlignment="1">
      <alignment horizontal="center" vertical="center"/>
    </xf>
    <xf numFmtId="9" fontId="8" fillId="0" borderId="1" xfId="2" applyNumberFormat="1" applyFont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2" fontId="1" fillId="0" borderId="14" xfId="2" quotePrefix="1" applyNumberFormat="1" applyFont="1" applyFill="1" applyBorder="1" applyAlignment="1">
      <alignment horizontal="center" vertical="center"/>
    </xf>
    <xf numFmtId="3" fontId="12" fillId="0" borderId="0" xfId="2" applyNumberFormat="1" applyFont="1" applyAlignment="1">
      <alignment vertical="center"/>
    </xf>
    <xf numFmtId="3" fontId="12" fillId="0" borderId="0" xfId="2" applyNumberFormat="1" applyFont="1">
      <alignment vertical="center"/>
    </xf>
    <xf numFmtId="0" fontId="12" fillId="0" borderId="0" xfId="2" applyFont="1">
      <alignment vertical="center"/>
    </xf>
    <xf numFmtId="0" fontId="7" fillId="0" borderId="31" xfId="2" applyFont="1" applyBorder="1" applyAlignment="1">
      <alignment vertical="center"/>
    </xf>
    <xf numFmtId="0" fontId="5" fillId="0" borderId="7" xfId="2" applyBorder="1" applyAlignment="1">
      <alignment horizontal="center" vertical="center"/>
    </xf>
    <xf numFmtId="2" fontId="1" fillId="0" borderId="17" xfId="2" quotePrefix="1" applyNumberFormat="1" applyFont="1" applyFill="1" applyBorder="1" applyAlignment="1">
      <alignment horizontal="center" vertical="center"/>
    </xf>
    <xf numFmtId="9" fontId="8" fillId="0" borderId="7" xfId="2" applyNumberFormat="1" applyFont="1" applyBorder="1" applyAlignment="1">
      <alignment vertical="center"/>
    </xf>
    <xf numFmtId="0" fontId="5" fillId="0" borderId="31" xfId="2" applyBorder="1" applyAlignment="1">
      <alignment vertical="center"/>
    </xf>
    <xf numFmtId="0" fontId="10" fillId="0" borderId="7" xfId="2" applyFont="1" applyFill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3" fontId="8" fillId="0" borderId="7" xfId="2" applyNumberFormat="1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10" fillId="0" borderId="9" xfId="2" applyFont="1" applyFill="1" applyBorder="1" applyAlignment="1">
      <alignment horizontal="center" vertical="center"/>
    </xf>
    <xf numFmtId="2" fontId="7" fillId="0" borderId="20" xfId="2" applyNumberFormat="1" applyFont="1" applyBorder="1" applyAlignment="1">
      <alignment horizontal="center" vertical="center"/>
    </xf>
    <xf numFmtId="168" fontId="7" fillId="0" borderId="20" xfId="2" applyNumberFormat="1" applyFont="1" applyBorder="1" applyAlignment="1">
      <alignment horizontal="center" vertical="center"/>
    </xf>
    <xf numFmtId="168" fontId="12" fillId="0" borderId="0" xfId="2" applyNumberFormat="1" applyFont="1">
      <alignment vertical="center"/>
    </xf>
    <xf numFmtId="2" fontId="1" fillId="0" borderId="11" xfId="2" quotePrefix="1" applyNumberFormat="1" applyFont="1" applyFill="1" applyBorder="1" applyAlignment="1">
      <alignment horizontal="center" vertical="center"/>
    </xf>
    <xf numFmtId="3" fontId="8" fillId="6" borderId="2" xfId="2" applyNumberFormat="1" applyFont="1" applyFill="1" applyBorder="1" applyAlignment="1">
      <alignment vertical="center"/>
    </xf>
    <xf numFmtId="9" fontId="8" fillId="6" borderId="2" xfId="2" applyNumberFormat="1" applyFont="1" applyFill="1" applyBorder="1" applyAlignment="1">
      <alignment vertical="center"/>
    </xf>
    <xf numFmtId="0" fontId="5" fillId="0" borderId="42" xfId="2" applyFill="1" applyBorder="1" applyAlignment="1">
      <alignment horizontal="center" vertical="center"/>
    </xf>
    <xf numFmtId="2" fontId="1" fillId="0" borderId="44" xfId="2" quotePrefix="1" applyNumberFormat="1" applyFont="1" applyFill="1" applyBorder="1" applyAlignment="1">
      <alignment horizontal="center" vertical="center"/>
    </xf>
    <xf numFmtId="3" fontId="8" fillId="6" borderId="42" xfId="2" applyNumberFormat="1" applyFont="1" applyFill="1" applyBorder="1" applyAlignment="1">
      <alignment vertical="center"/>
    </xf>
    <xf numFmtId="9" fontId="8" fillId="6" borderId="42" xfId="2" applyNumberFormat="1" applyFont="1" applyFill="1" applyBorder="1" applyAlignment="1">
      <alignment vertical="center"/>
    </xf>
    <xf numFmtId="3" fontId="8" fillId="0" borderId="63" xfId="2" applyNumberFormat="1" applyFont="1" applyBorder="1" applyAlignment="1">
      <alignment vertical="center"/>
    </xf>
    <xf numFmtId="0" fontId="10" fillId="0" borderId="42" xfId="2" applyFont="1" applyFill="1" applyBorder="1" applyAlignment="1">
      <alignment horizontal="center" vertical="center"/>
    </xf>
    <xf numFmtId="2" fontId="7" fillId="0" borderId="42" xfId="2" applyNumberFormat="1" applyFont="1" applyBorder="1" applyAlignment="1">
      <alignment horizontal="center" vertical="center"/>
    </xf>
    <xf numFmtId="3" fontId="8" fillId="0" borderId="42" xfId="2" applyNumberFormat="1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0" fontId="10" fillId="0" borderId="46" xfId="2" applyFont="1" applyFill="1" applyBorder="1" applyAlignment="1">
      <alignment horizontal="center" vertical="center"/>
    </xf>
    <xf numFmtId="2" fontId="7" fillId="0" borderId="63" xfId="2" applyNumberFormat="1" applyFont="1" applyBorder="1" applyAlignment="1">
      <alignment horizontal="center" vertical="center"/>
    </xf>
    <xf numFmtId="168" fontId="7" fillId="0" borderId="63" xfId="2" applyNumberFormat="1" applyFont="1" applyBorder="1" applyAlignment="1">
      <alignment horizontal="center" vertical="center"/>
    </xf>
    <xf numFmtId="171" fontId="12" fillId="0" borderId="0" xfId="2" applyNumberFormat="1" applyFont="1" applyAlignment="1">
      <alignment vertical="center"/>
    </xf>
    <xf numFmtId="0" fontId="5" fillId="0" borderId="2" xfId="2" applyFill="1" applyBorder="1" applyAlignment="1">
      <alignment horizontal="center" vertical="center"/>
    </xf>
    <xf numFmtId="0" fontId="5" fillId="0" borderId="1" xfId="2" applyFill="1" applyBorder="1" applyAlignment="1">
      <alignment horizontal="center" vertical="center"/>
    </xf>
    <xf numFmtId="3" fontId="8" fillId="6" borderId="1" xfId="2" applyNumberFormat="1" applyFont="1" applyFill="1" applyBorder="1" applyAlignment="1">
      <alignment vertical="center"/>
    </xf>
    <xf numFmtId="9" fontId="8" fillId="6" borderId="1" xfId="2" applyNumberFormat="1" applyFont="1" applyFill="1" applyBorder="1" applyAlignment="1">
      <alignment vertical="center"/>
    </xf>
    <xf numFmtId="0" fontId="5" fillId="0" borderId="13" xfId="2" applyBorder="1" applyAlignment="1">
      <alignment vertical="center"/>
    </xf>
    <xf numFmtId="0" fontId="5" fillId="0" borderId="22" xfId="2" applyBorder="1" applyAlignment="1">
      <alignment vertical="center"/>
    </xf>
    <xf numFmtId="0" fontId="5" fillId="0" borderId="24" xfId="2" applyBorder="1" applyAlignment="1">
      <alignment vertical="center"/>
    </xf>
    <xf numFmtId="0" fontId="5" fillId="0" borderId="7" xfId="2" applyFill="1" applyBorder="1" applyAlignment="1">
      <alignment horizontal="center" vertical="center"/>
    </xf>
    <xf numFmtId="3" fontId="8" fillId="6" borderId="7" xfId="2" applyNumberFormat="1" applyFont="1" applyFill="1" applyBorder="1" applyAlignment="1">
      <alignment vertical="center"/>
    </xf>
    <xf numFmtId="9" fontId="8" fillId="6" borderId="7" xfId="2" applyNumberFormat="1" applyFont="1" applyFill="1" applyBorder="1" applyAlignment="1">
      <alignment vertical="center"/>
    </xf>
    <xf numFmtId="3" fontId="8" fillId="0" borderId="20" xfId="2" applyNumberFormat="1" applyFont="1" applyBorder="1" applyAlignment="1">
      <alignment vertical="center"/>
    </xf>
    <xf numFmtId="0" fontId="5" fillId="0" borderId="14" xfId="2" applyBorder="1" applyAlignment="1">
      <alignment vertical="center"/>
    </xf>
    <xf numFmtId="0" fontId="5" fillId="0" borderId="15" xfId="2" applyBorder="1" applyAlignment="1">
      <alignment vertical="center"/>
    </xf>
    <xf numFmtId="0" fontId="7" fillId="0" borderId="51" xfId="2" applyFont="1" applyBorder="1" applyAlignment="1">
      <alignment horizontal="center" vertical="center"/>
    </xf>
    <xf numFmtId="168" fontId="1" fillId="0" borderId="51" xfId="2" applyNumberFormat="1" applyFont="1" applyBorder="1" applyAlignment="1">
      <alignment horizontal="center" vertical="center"/>
    </xf>
    <xf numFmtId="0" fontId="7" fillId="0" borderId="61" xfId="2" applyFont="1" applyBorder="1" applyAlignment="1">
      <alignment vertical="center"/>
    </xf>
    <xf numFmtId="0" fontId="5" fillId="0" borderId="51" xfId="2" applyBorder="1" applyAlignment="1">
      <alignment horizontal="center" vertical="center"/>
    </xf>
    <xf numFmtId="2" fontId="1" fillId="0" borderId="50" xfId="2" quotePrefix="1" applyNumberFormat="1" applyFont="1" applyFill="1" applyBorder="1" applyAlignment="1">
      <alignment horizontal="center" vertical="center"/>
    </xf>
    <xf numFmtId="3" fontId="8" fillId="7" borderId="51" xfId="2" applyNumberFormat="1" applyFont="1" applyFill="1" applyBorder="1" applyAlignment="1">
      <alignment vertical="center"/>
    </xf>
    <xf numFmtId="9" fontId="8" fillId="0" borderId="51" xfId="2" applyNumberFormat="1" applyFont="1" applyBorder="1" applyAlignment="1">
      <alignment vertical="center"/>
    </xf>
    <xf numFmtId="3" fontId="8" fillId="0" borderId="51" xfId="2" applyNumberFormat="1" applyFont="1" applyBorder="1" applyAlignment="1">
      <alignment vertical="center"/>
    </xf>
    <xf numFmtId="0" fontId="5" fillId="0" borderId="61" xfId="2" applyBorder="1" applyAlignment="1">
      <alignment vertical="center"/>
    </xf>
    <xf numFmtId="0" fontId="10" fillId="0" borderId="51" xfId="2" applyFont="1" applyFill="1" applyBorder="1" applyAlignment="1">
      <alignment horizontal="center" vertical="center"/>
    </xf>
    <xf numFmtId="2" fontId="7" fillId="0" borderId="51" xfId="2" applyNumberFormat="1" applyFont="1" applyBorder="1" applyAlignment="1">
      <alignment horizontal="center" vertical="center"/>
    </xf>
    <xf numFmtId="3" fontId="8" fillId="0" borderId="51" xfId="2" applyNumberFormat="1" applyFont="1" applyBorder="1" applyAlignment="1">
      <alignment horizontal="center" vertical="center"/>
    </xf>
    <xf numFmtId="0" fontId="8" fillId="0" borderId="51" xfId="2" applyFont="1" applyBorder="1" applyAlignment="1">
      <alignment horizontal="center" vertical="center"/>
    </xf>
    <xf numFmtId="0" fontId="10" fillId="0" borderId="62" xfId="2" applyFont="1" applyFill="1" applyBorder="1" applyAlignment="1">
      <alignment horizontal="center" vertical="center"/>
    </xf>
    <xf numFmtId="168" fontId="7" fillId="0" borderId="51" xfId="2" applyNumberFormat="1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2" fontId="1" fillId="0" borderId="64" xfId="2" quotePrefix="1" applyNumberFormat="1" applyFont="1" applyFill="1" applyBorder="1" applyAlignment="1">
      <alignment horizontal="center" vertical="center"/>
    </xf>
    <xf numFmtId="3" fontId="8" fillId="7" borderId="2" xfId="2" applyNumberFormat="1" applyFont="1" applyFill="1" applyBorder="1" applyAlignment="1">
      <alignment vertical="center"/>
    </xf>
    <xf numFmtId="0" fontId="5" fillId="0" borderId="17" xfId="2" applyBorder="1" applyAlignment="1">
      <alignment vertical="center"/>
    </xf>
    <xf numFmtId="0" fontId="5" fillId="0" borderId="18" xfId="2" applyBorder="1" applyAlignment="1">
      <alignment vertical="center"/>
    </xf>
    <xf numFmtId="169" fontId="11" fillId="0" borderId="0" xfId="2" applyNumberFormat="1" applyFont="1" applyAlignment="1">
      <alignment vertical="center"/>
    </xf>
    <xf numFmtId="9" fontId="11" fillId="0" borderId="0" xfId="2" applyNumberFormat="1" applyFont="1" applyAlignment="1">
      <alignment vertical="center"/>
    </xf>
    <xf numFmtId="3" fontId="11" fillId="0" borderId="0" xfId="2" applyNumberFormat="1" applyFont="1" applyAlignment="1">
      <alignment vertical="center"/>
    </xf>
    <xf numFmtId="0" fontId="11" fillId="0" borderId="0" xfId="2" applyFont="1" applyAlignment="1">
      <alignment horizontal="right" vertical="center"/>
    </xf>
    <xf numFmtId="170" fontId="11" fillId="0" borderId="0" xfId="2" applyNumberFormat="1" applyFont="1" applyAlignment="1">
      <alignment vertical="center"/>
    </xf>
  </cellXfs>
  <cellStyles count="6">
    <cellStyle name="Normal" xfId="0" builtinId="0"/>
    <cellStyle name="Normal 2" xfId="1"/>
    <cellStyle name="Normal 3" xfId="2"/>
    <cellStyle name="Normal 4" xfId="3"/>
    <cellStyle name="Percent" xfId="4" builtinId="5"/>
    <cellStyle name="Percent 2" xfId="5"/>
  </cellStyles>
  <dxfs count="7"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Comparison, USG estimates of national fatality risk of very large scale terrorist attacks vs. pandemics, 2008-21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3721462191528"/>
          <c:y val="0.14077863812889035"/>
          <c:w val="0.73386237334858284"/>
          <c:h val="0.79715629429386259"/>
        </c:manualLayout>
      </c:layout>
      <c:areaChart>
        <c:grouping val="stacked"/>
        <c:varyColors val="0"/>
        <c:ser>
          <c:idx val="2"/>
          <c:order val="2"/>
          <c:tx>
            <c:strRef>
              <c:f>'Time series filled chart'!$I$1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chart'!$I$2:$I$32</c:f>
              <c:numCache>
                <c:formatCode>General</c:formatCode>
                <c:ptCount val="31"/>
                <c:pt idx="2" formatCode="#,##0">
                  <c:v>8333.3333333333339</c:v>
                </c:pt>
                <c:pt idx="3" formatCode="#,##0">
                  <c:v>8333.3333333333339</c:v>
                </c:pt>
                <c:pt idx="4" formatCode="#,##0">
                  <c:v>6901.8365999538164</c:v>
                </c:pt>
                <c:pt idx="5" formatCode="#,##0">
                  <c:v>6901.8365999538164</c:v>
                </c:pt>
                <c:pt idx="6" formatCode="#,##0">
                  <c:v>6901.8365999538164</c:v>
                </c:pt>
                <c:pt idx="7" formatCode="#,##0">
                  <c:v>6901.8365999538164</c:v>
                </c:pt>
                <c:pt idx="8" formatCode="#,##0">
                  <c:v>6901.8365999538164</c:v>
                </c:pt>
                <c:pt idx="9" formatCode="#,##0">
                  <c:v>5133.333333333333</c:v>
                </c:pt>
                <c:pt idx="10" formatCode="#,##0">
                  <c:v>5133.333333333333</c:v>
                </c:pt>
                <c:pt idx="11" formatCode="#,##0">
                  <c:v>4114.7899991817158</c:v>
                </c:pt>
                <c:pt idx="12" formatCode="#,##0">
                  <c:v>3827.0796844110459</c:v>
                </c:pt>
                <c:pt idx="13" formatCode="#,##0">
                  <c:v>2882.2359715630823</c:v>
                </c:pt>
                <c:pt idx="14" formatCode="#,##0">
                  <c:v>2748.6619224821188</c:v>
                </c:pt>
                <c:pt idx="15" formatCode="#,##0">
                  <c:v>2472.4426429576183</c:v>
                </c:pt>
                <c:pt idx="18" formatCode="0.00">
                  <c:v>#N/A</c:v>
                </c:pt>
                <c:pt idx="19" formatCode="0.00">
                  <c:v>8333.3333333333339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6901.8365999538164</c:v>
                </c:pt>
                <c:pt idx="25" formatCode="0.00">
                  <c:v>#N/A</c:v>
                </c:pt>
                <c:pt idx="26" formatCode="0.00">
                  <c:v>5133.333333333333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'Time series filled chart'!$J$1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chart'!$J$2:$J$32</c:f>
              <c:numCache>
                <c:formatCode>General</c:formatCode>
                <c:ptCount val="31"/>
                <c:pt idx="2" formatCode="#,##0">
                  <c:v>6465.8553076402968</c:v>
                </c:pt>
                <c:pt idx="3" formatCode="#,##0">
                  <c:v>5984.3253163334284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1768.5032666204834</c:v>
                </c:pt>
                <c:pt idx="10" formatCode="#,##0">
                  <c:v>1768.5032666204834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filled chart'!$K$1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pct50">
              <a:fgClr>
                <a:srgbClr val="C00000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chart'!$K$2:$K$32</c:f>
              <c:numCache>
                <c:formatCode>General</c:formatCode>
                <c:ptCount val="31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1431.4967333795175</c:v>
                </c:pt>
                <c:pt idx="5" formatCode="#,##0">
                  <c:v>1431.4967333795175</c:v>
                </c:pt>
                <c:pt idx="6" formatCode="#,##0">
                  <c:v>1431.4967333795175</c:v>
                </c:pt>
                <c:pt idx="7" formatCode="#,##0">
                  <c:v>1431.4967333795175</c:v>
                </c:pt>
                <c:pt idx="8" formatCode="#,##0">
                  <c:v>1431.4967333795175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1018.5433341516173</c:v>
                </c:pt>
                <c:pt idx="12" formatCode="#,##0">
                  <c:v>1306.2536489222871</c:v>
                </c:pt>
                <c:pt idx="13" formatCode="#,##0">
                  <c:v>2251.0973617702507</c:v>
                </c:pt>
                <c:pt idx="14" formatCode="#,##0">
                  <c:v>2384.6714108512142</c:v>
                </c:pt>
                <c:pt idx="15" formatCode="#,##0">
                  <c:v>2660.8906903757147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72096"/>
        <c:axId val="912772656"/>
      </c:areaChart>
      <c:scatterChart>
        <c:scatterStyle val="lineMarker"/>
        <c:varyColors val="0"/>
        <c:ser>
          <c:idx val="0"/>
          <c:order val="0"/>
          <c:tx>
            <c:strRef>
              <c:f>'Time series filled chart'!$F$3</c:f>
              <c:strCache>
                <c:ptCount val="1"/>
                <c:pt idx="0">
                  <c:v>Value1</c:v>
                </c:pt>
              </c:strCache>
            </c:strRef>
          </c:tx>
          <c:spPr>
            <a:ln w="22225" cmpd="sng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4.9833322116786684E-2"/>
                  <c:y val="-3.134669325132642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026CCBF6-3007-4FCA-A60B-0FA40717A709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35908151145912"/>
                      <c:h val="3.410582199952278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315822544401174"/>
                  <c:y val="3.4414091903928842E-2"/>
                </c:manualLayout>
              </c:layout>
              <c:tx>
                <c:rich>
                  <a:bodyPr/>
                  <a:lstStyle/>
                  <a:p>
                    <a:pPr algn="ctr">
                      <a:defRPr sz="900"/>
                    </a:pPr>
                    <a:fld id="{E356AB6E-4AC4-4609-93ED-3E988CCF6922}" type="CELLRANGE">
                      <a:rPr lang="en-US"/>
                      <a:pPr algn="ctr">
                        <a:defRPr sz="9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0481540779027758"/>
                      <c:h val="0.11014433041730205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4263484158497283"/>
                  <c:y val="5.0199797986625064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30B99C33-700F-474B-8CD1-A5537C4DA932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935908151145912"/>
                      <c:h val="3.789370078740157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961CEC1-290E-4B21-A33C-806C7A3AF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5F66FAA-9090-4AC0-B1F8-84AE96444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6F1C969-B831-4105-9438-CC3AF8C2E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024461E-098C-4FE4-8931-163A1FD2E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A29D401-FC66-44A2-8A9A-488EDDC2B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F9D3568-0EF9-42B9-95BF-6ED2679FD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23162659881667491"/>
                  <c:y val="5.8763347053209257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E8188AE0-3521-446E-B161-00D7711E6C89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328831801052799"/>
                      <c:h val="4.736339775709853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A5AAD38-F77F-4379-93C5-2C66F3B63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75C1147-5DEE-44C8-A029-06F02045E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0A047FF-BDC8-44AF-8C21-2C16D83F5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19834369201585547"/>
                  <c:y val="5.1479954870590747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5AB4071F-A08D-4025-BC60-54CB61BFE9AF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'Time series filled chart'!$E$4:$E$17</c:f>
              <c:numCache>
                <c:formatCode>#,##0</c:formatCode>
                <c:ptCount val="14"/>
                <c:pt idx="0">
                  <c:v>0</c:v>
                </c:pt>
                <c:pt idx="1">
                  <c:v>170</c:v>
                </c:pt>
                <c:pt idx="2">
                  <c:v>420</c:v>
                </c:pt>
                <c:pt idx="3">
                  <c:v>498</c:v>
                </c:pt>
                <c:pt idx="4">
                  <c:v>600</c:v>
                </c:pt>
                <c:pt idx="5">
                  <c:v>830</c:v>
                </c:pt>
                <c:pt idx="6">
                  <c:v>1000</c:v>
                </c:pt>
                <c:pt idx="7">
                  <c:v>1170</c:v>
                </c:pt>
                <c:pt idx="8">
                  <c:v>1340</c:v>
                </c:pt>
                <c:pt idx="9">
                  <c:v>1510</c:v>
                </c:pt>
                <c:pt idx="10">
                  <c:v>1680</c:v>
                </c:pt>
                <c:pt idx="11">
                  <c:v>1850</c:v>
                </c:pt>
                <c:pt idx="12">
                  <c:v>2020</c:v>
                </c:pt>
                <c:pt idx="13">
                  <c:v>2190</c:v>
                </c:pt>
              </c:numCache>
            </c:numRef>
          </c:xVal>
          <c:yVal>
            <c:numRef>
              <c:f>'Time series filled chart'!$F$4:$F$17</c:f>
              <c:numCache>
                <c:formatCode>#,##0</c:formatCode>
                <c:ptCount val="14"/>
                <c:pt idx="0">
                  <c:v>14799.188640973631</c:v>
                </c:pt>
                <c:pt idx="1">
                  <c:v>14317.658649666762</c:v>
                </c:pt>
                <c:pt idx="2">
                  <c:v>6901.8365999538164</c:v>
                </c:pt>
                <c:pt idx="3">
                  <c:v>6901.8365999538164</c:v>
                </c:pt>
                <c:pt idx="4">
                  <c:v>6901.8365999538164</c:v>
                </c:pt>
                <c:pt idx="5">
                  <c:v>6901.8365999538164</c:v>
                </c:pt>
                <c:pt idx="6">
                  <c:v>6901.8365999538164</c:v>
                </c:pt>
                <c:pt idx="7">
                  <c:v>6901.8365999538164</c:v>
                </c:pt>
                <c:pt idx="8">
                  <c:v>6901.8365999538164</c:v>
                </c:pt>
                <c:pt idx="9">
                  <c:v>4114.7899991817158</c:v>
                </c:pt>
                <c:pt idx="10">
                  <c:v>3827.0796844110459</c:v>
                </c:pt>
                <c:pt idx="11">
                  <c:v>2882.2359715630823</c:v>
                </c:pt>
                <c:pt idx="12">
                  <c:v>2748.6619224821188</c:v>
                </c:pt>
                <c:pt idx="13">
                  <c:v>2472.4426429576183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series filled chart'!$A$4:$A$17</c15:f>
                <c15:dlblRangeCache>
                  <c:ptCount val="14"/>
                  <c:pt idx="0">
                    <c:v>FY 2009 Budget</c:v>
                  </c:pt>
                  <c:pt idx="1">
                    <c:v>Upper bound, USG estimated fatality risk of 2008 scenario scale terrorist attack</c:v>
                  </c:pt>
                  <c:pt idx="2">
                    <c:v>FY 2011 Budget</c:v>
                  </c:pt>
                  <c:pt idx="9">
                    <c:v>FY 2018 Budget</c:v>
                  </c:pt>
                  <c:pt idx="13">
                    <c:v>FY 2022 Budget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'Time series filled chart'!$G$3</c:f>
              <c:strCache>
                <c:ptCount val="1"/>
                <c:pt idx="0">
                  <c:v>Value2</c:v>
                </c:pt>
              </c:strCache>
            </c:strRef>
          </c:tx>
          <c:spPr>
            <a:ln w="19050" cmpd="sng"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5875" cmpd="sng">
                <a:solidFill>
                  <a:srgbClr val="C00000"/>
                </a:solidFill>
                <a:prstDash val="sysDot"/>
              </a:ln>
            </c:spPr>
          </c:dPt>
          <c:dPt>
            <c:idx val="2"/>
            <c:bubble3D val="0"/>
            <c:spPr>
              <a:ln w="15875" cmpd="sng">
                <a:solidFill>
                  <a:srgbClr val="C00000"/>
                </a:solidFill>
                <a:prstDash val="sysDot"/>
              </a:ln>
            </c:spPr>
          </c:dPt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6350">
                  <a:solidFill>
                    <a:srgbClr val="000000"/>
                  </a:solidFill>
                </a:ln>
              </c:spPr>
            </c:marker>
            <c:bubble3D val="0"/>
            <c:spPr>
              <a:ln w="19050" cmpd="sng">
                <a:solidFill>
                  <a:srgbClr val="C00000"/>
                </a:solidFill>
                <a:prstDash val="sysDot"/>
              </a:ln>
            </c:spPr>
          </c:dPt>
          <c:dPt>
            <c:idx val="4"/>
            <c:bubble3D val="0"/>
          </c:dPt>
          <c:dPt>
            <c:idx val="7"/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6711DCC-E095-4277-92A5-90FEECBA7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6243386243386235"/>
                  <c:y val="-0.33333333333333331"/>
                </c:manualLayout>
              </c:layout>
              <c:tx>
                <c:rich>
                  <a:bodyPr/>
                  <a:lstStyle/>
                  <a:p>
                    <a:fld id="{7297AF8B-2D49-431E-9894-01F906360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879579C-C091-4294-A7BA-7810CFB63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9.9474317847021293E-2"/>
                  <c:y val="-0.13832689368764536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BD9383E7-D4E5-4A99-9DEF-18DB5745B55D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32616969887309"/>
                      <c:h val="8.54183141270431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.1227514893971587"/>
                  <c:y val="-5.5871212121212127E-2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A11E3F69-ABF2-4E3A-8B9F-DBC2157F697A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87847352414279"/>
                      <c:h val="7.057772607969457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AACA732-301C-43B4-AC9C-AE7A5DDA3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3.9106145251396669E-2"/>
                  <c:y val="-5.6818181818181886E-2"/>
                </c:manualLayout>
              </c:layout>
              <c:tx>
                <c:rich>
                  <a:bodyPr/>
                  <a:lstStyle/>
                  <a:p>
                    <a:pPr algn="ctr">
                      <a:defRPr sz="900"/>
                    </a:pPr>
                    <a:fld id="{21282959-9D6D-40C2-BE39-B1543C650C10}" type="CELLRANGE">
                      <a:rPr lang="en-US"/>
                      <a:pPr algn="ctr">
                        <a:defRPr sz="9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0612706931186678"/>
                      <c:h val="8.359699355762348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39217494684565568"/>
                  <c:y val="4.8542677599293822E-2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023A4EF2-E915-47A0-BA9C-B9772CB488DD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70547368944207"/>
                      <c:h val="7.415944252858076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8A6CF7A-7219-44CE-AE93-7B189CBB9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CAAD41D-7BA6-4951-96AF-91C3BE938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0252CDE-D688-476F-9832-36DA1C756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3.1744365287672376E-3"/>
                  <c:y val="-0.15624992543545699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D2C9CCA9-451C-44C2-995C-A8A6E7903C63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43915343915337"/>
                      <c:h val="8.6136363636363622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18E30F8-B9E1-4627-B128-95603DDF1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B7A92BB-D948-45FD-9858-6374DE764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'Time series filled chart'!$D$4:$D$17</c:f>
              <c:numCache>
                <c:formatCode>#,##0</c:formatCode>
                <c:ptCount val="14"/>
                <c:pt idx="0">
                  <c:v>0</c:v>
                </c:pt>
                <c:pt idx="1">
                  <c:v>170</c:v>
                </c:pt>
                <c:pt idx="2">
                  <c:v>340</c:v>
                </c:pt>
                <c:pt idx="3">
                  <c:v>510</c:v>
                </c:pt>
                <c:pt idx="4">
                  <c:v>600</c:v>
                </c:pt>
                <c:pt idx="5">
                  <c:v>830</c:v>
                </c:pt>
                <c:pt idx="6">
                  <c:v>1000</c:v>
                </c:pt>
                <c:pt idx="7">
                  <c:v>1170</c:v>
                </c:pt>
                <c:pt idx="8">
                  <c:v>1340</c:v>
                </c:pt>
                <c:pt idx="9">
                  <c:v>1510</c:v>
                </c:pt>
                <c:pt idx="10">
                  <c:v>1680</c:v>
                </c:pt>
                <c:pt idx="11">
                  <c:v>1850</c:v>
                </c:pt>
                <c:pt idx="12">
                  <c:v>2020</c:v>
                </c:pt>
                <c:pt idx="13">
                  <c:v>2190</c:v>
                </c:pt>
              </c:numCache>
            </c:numRef>
          </c:xVal>
          <c:yVal>
            <c:numRef>
              <c:f>'Time series filled chart'!$G$4:$G$17</c:f>
              <c:numCache>
                <c:formatCode>#,##0</c:formatCode>
                <c:ptCount val="14"/>
                <c:pt idx="0">
                  <c:v>8333.3333333333339</c:v>
                </c:pt>
                <c:pt idx="1">
                  <c:v>8333.3333333333339</c:v>
                </c:pt>
                <c:pt idx="2">
                  <c:v>8333.3333333333339</c:v>
                </c:pt>
                <c:pt idx="3">
                  <c:v>8333.3333333333339</c:v>
                </c:pt>
                <c:pt idx="4">
                  <c:v>8333.3333333333339</c:v>
                </c:pt>
                <c:pt idx="5">
                  <c:v>8333.3333333333339</c:v>
                </c:pt>
                <c:pt idx="6">
                  <c:v>8333.3333333333339</c:v>
                </c:pt>
                <c:pt idx="7">
                  <c:v>5133.333333333333</c:v>
                </c:pt>
                <c:pt idx="8">
                  <c:v>5133.333333333333</c:v>
                </c:pt>
                <c:pt idx="9">
                  <c:v>5133.333333333333</c:v>
                </c:pt>
                <c:pt idx="10">
                  <c:v>5133.333333333333</c:v>
                </c:pt>
                <c:pt idx="11">
                  <c:v>5133.333333333333</c:v>
                </c:pt>
                <c:pt idx="12">
                  <c:v>5133.333333333333</c:v>
                </c:pt>
                <c:pt idx="13">
                  <c:v>5133.333333333333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series filled chart'!$B$4:$B$17</c15:f>
                <c15:dlblRangeCache>
                  <c:ptCount val="14"/>
                  <c:pt idx="3">
                    <c:v>SNRA 2011 (National Planning Scenario #3 with CDC updated numbers)</c:v>
                  </c:pt>
                  <c:pt idx="6">
                    <c:v>Best estimate, SNRA pandemic fatality risk</c:v>
                  </c:pt>
                  <c:pt idx="7">
                    <c:v>SNRA 2015 (CDC 2015 pandemic national resourcing review)</c:v>
                  </c:pt>
                </c15:dlblRangeCache>
              </c15:datalabelsRange>
            </c:ext>
          </c:extLst>
        </c:ser>
        <c:ser>
          <c:idx val="5"/>
          <c:order val="5"/>
          <c:tx>
            <c:v>2008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chart'!$E$4</c:f>
              <c:numCache>
                <c:formatCode>#,##0</c:formatCode>
                <c:ptCount val="1"/>
                <c:pt idx="0">
                  <c:v>0</c:v>
                </c:pt>
              </c:numCache>
            </c:numRef>
          </c:xVal>
          <c:yVal>
            <c:numRef>
              <c:f>'Time series filled chart'!$R$4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'Time series filled chart'!$Q$7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chart'!$D$7</c:f>
              <c:numCache>
                <c:formatCode>#,##0</c:formatCode>
                <c:ptCount val="1"/>
                <c:pt idx="0">
                  <c:v>510</c:v>
                </c:pt>
              </c:numCache>
            </c:numRef>
          </c:xVal>
          <c:yVal>
            <c:numRef>
              <c:f>'Time series filled chart'!$R$7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'Time series filled chart'!$Q$10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chart'!$D$10</c:f>
              <c:numCache>
                <c:formatCode>#,##0</c:formatCode>
                <c:ptCount val="1"/>
                <c:pt idx="0">
                  <c:v>1000</c:v>
                </c:pt>
              </c:numCache>
            </c:numRef>
          </c:xVal>
          <c:yVal>
            <c:numRef>
              <c:f>'Time series filled chart'!$R$10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'Time series filled chart'!$Q$13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chart'!$D$13</c:f>
              <c:numCache>
                <c:formatCode>#,##0</c:formatCode>
                <c:ptCount val="1"/>
                <c:pt idx="0">
                  <c:v>1510</c:v>
                </c:pt>
              </c:numCache>
            </c:numRef>
          </c:xVal>
          <c:yVal>
            <c:numRef>
              <c:f>'Time series filled chart'!$R$13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'Time series filled chart'!$Q$16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chart'!$D$16</c:f>
              <c:numCache>
                <c:formatCode>#,##0</c:formatCode>
                <c:ptCount val="1"/>
                <c:pt idx="0">
                  <c:v>2020</c:v>
                </c:pt>
              </c:numCache>
            </c:numRef>
          </c:xVal>
          <c:yVal>
            <c:numRef>
              <c:f>'Time series filled chart'!$R$16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70976"/>
        <c:axId val="912771536"/>
      </c:scatterChart>
      <c:valAx>
        <c:axId val="912770976"/>
        <c:scaling>
          <c:orientation val="minMax"/>
          <c:max val="2200"/>
          <c:min val="0"/>
        </c:scaling>
        <c:delete val="0"/>
        <c:axPos val="b"/>
        <c:majorGridlines>
          <c:spPr>
            <a:ln>
              <a:solidFill>
                <a:srgbClr val="BABABA"/>
              </a:solidFill>
            </a:ln>
          </c:spPr>
        </c:majorGridlines>
        <c:numFmt formatCode="#,##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12771536"/>
        <c:crosses val="autoZero"/>
        <c:crossBetween val="midCat"/>
      </c:valAx>
      <c:valAx>
        <c:axId val="912771536"/>
        <c:scaling>
          <c:orientation val="minMax"/>
          <c:max val="16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912770976"/>
        <c:crosses val="autoZero"/>
        <c:crossBetween val="midCat"/>
      </c:valAx>
      <c:dateAx>
        <c:axId val="9127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772656"/>
        <c:crosses val="autoZero"/>
        <c:auto val="0"/>
        <c:lblOffset val="100"/>
        <c:baseTimeUnit val="days"/>
      </c:dateAx>
      <c:valAx>
        <c:axId val="9127726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12772096"/>
        <c:crosses val="max"/>
        <c:crossBetween val="midCat"/>
      </c:valAx>
      <c:spPr>
        <a:noFill/>
        <a:ln w="3175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6350">
      <a:solidFill>
        <a:srgbClr val="000000"/>
      </a:solidFill>
    </a:ln>
  </c:spPr>
  <c:txPr>
    <a:bodyPr/>
    <a:lstStyle/>
    <a:p>
      <a:pPr>
        <a:defRPr sz="750" b="0" i="0" u="none" strike="noStrike" cap="all" baseline="0">
          <a:solidFill>
            <a:srgbClr val="000000"/>
          </a:solidFill>
          <a:latin typeface="Tw Cen MT" panose="020B06020201040206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200"/>
              <a:t>Probability of $100b+ event compared with overall relative large scale attack risk over time, Terrorism Risk Insurance Program budget estimates, President's Budget 2008-20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risk of large scale attack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'President''s estimate'!$V$24:$V$37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estimate'!$AH$24:$AH$37</c:f>
              <c:numCache>
                <c:formatCode>0.000</c:formatCode>
                <c:ptCount val="14"/>
                <c:pt idx="0">
                  <c:v>1.0336318949270435</c:v>
                </c:pt>
                <c:pt idx="1">
                  <c:v>1</c:v>
                </c:pt>
                <c:pt idx="2">
                  <c:v>0.40291826147778276</c:v>
                </c:pt>
                <c:pt idx="3">
                  <c:v>0.39814742854922386</c:v>
                </c:pt>
                <c:pt idx="4">
                  <c:v>0.4161825564903146</c:v>
                </c:pt>
                <c:pt idx="5">
                  <c:v>0.42796634867590205</c:v>
                </c:pt>
                <c:pt idx="6">
                  <c:v>0.4783364743826381</c:v>
                </c:pt>
                <c:pt idx="7">
                  <c:v>0.42977558037056962</c:v>
                </c:pt>
                <c:pt idx="8">
                  <c:v>0.48205064590741964</c:v>
                </c:pt>
                <c:pt idx="9">
                  <c:v>0.28739265964253768</c:v>
                </c:pt>
                <c:pt idx="10">
                  <c:v>0.2672978716740198</c:v>
                </c:pt>
                <c:pt idx="11">
                  <c:v>0.20130637572017859</c:v>
                </c:pt>
                <c:pt idx="12">
                  <c:v>0.19197705363272458</c:v>
                </c:pt>
                <c:pt idx="13">
                  <c:v>0.17268484348278296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76016"/>
        <c:axId val="912776576"/>
      </c:scatterChart>
      <c:valAx>
        <c:axId val="912776016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912776576"/>
        <c:crosses val="autoZero"/>
        <c:crossBetween val="midCat"/>
        <c:majorUnit val="3"/>
      </c:valAx>
      <c:valAx>
        <c:axId val="9127765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127760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100"/>
              <a:t>Upper</a:t>
            </a:r>
            <a:r>
              <a:rPr lang="en-US" sz="1100" baseline="0"/>
              <a:t> limit on annual </a:t>
            </a:r>
            <a:r>
              <a:rPr lang="en-US" sz="1100"/>
              <a:t>Probability of a $100b+ event from President's Budget 2008-21, projections for terrorism risk insurance program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in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'President''s estimate'!$V$24:$V$37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estimate'!$AF$24:$AF$37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5.0603913434702375E-3</c:v>
                </c:pt>
                <c:pt idx="3">
                  <c:v>5.0004727843950651E-3</c:v>
                </c:pt>
                <c:pt idx="4">
                  <c:v>5.2269822629596304E-3</c:v>
                </c:pt>
                <c:pt idx="5">
                  <c:v>5.3749790297244124E-3</c:v>
                </c:pt>
                <c:pt idx="6">
                  <c:v>6.0075950525400722E-3</c:v>
                </c:pt>
                <c:pt idx="7">
                  <c:v>5.3977018032528414E-3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ser>
          <c:idx val="1"/>
          <c:order val="1"/>
          <c:tx>
            <c:v>Presumed (presumed flat through period)</c:v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'President''s estimate'!$H$24:$H$37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estimate'!$AG$24:$AG$37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6.0542426315384357E-3</c:v>
                </c:pt>
                <c:pt idx="3">
                  <c:v>6.0542426315384357E-3</c:v>
                </c:pt>
                <c:pt idx="4">
                  <c:v>6.0542426315384357E-3</c:v>
                </c:pt>
                <c:pt idx="5">
                  <c:v>6.0542426315384357E-3</c:v>
                </c:pt>
                <c:pt idx="6">
                  <c:v>6.0542426315384357E-3</c:v>
                </c:pt>
                <c:pt idx="7">
                  <c:v>6.0542426315384357E-3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14832"/>
        <c:axId val="912015392"/>
      </c:scatterChart>
      <c:valAx>
        <c:axId val="912014832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912015392"/>
        <c:crosses val="autoZero"/>
        <c:crossBetween val="midCat"/>
        <c:majorUnit val="3"/>
      </c:valAx>
      <c:valAx>
        <c:axId val="91201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120148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25</xdr:col>
      <xdr:colOff>205316</xdr:colOff>
      <xdr:row>47</xdr:row>
      <xdr:rowOff>18700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53</xdr:row>
      <xdr:rowOff>114300</xdr:rowOff>
    </xdr:from>
    <xdr:to>
      <xdr:col>0</xdr:col>
      <xdr:colOff>3467100</xdr:colOff>
      <xdr:row>103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0</xdr:row>
      <xdr:rowOff>28575</xdr:rowOff>
    </xdr:from>
    <xdr:to>
      <xdr:col>0</xdr:col>
      <xdr:colOff>3390900</xdr:colOff>
      <xdr:row>52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zoomScaleNormal="100" workbookViewId="0">
      <selection activeCell="AA47" sqref="AA47"/>
    </sheetView>
  </sheetViews>
  <sheetFormatPr defaultRowHeight="10.5" x14ac:dyDescent="0.15"/>
  <sheetData>
    <row r="1" spans="1:27" x14ac:dyDescent="0.15">
      <c r="A1" s="43"/>
      <c r="B1" s="43"/>
      <c r="C1" s="43"/>
      <c r="D1" s="43"/>
      <c r="E1" s="109">
        <v>1</v>
      </c>
      <c r="F1" s="108">
        <v>500000</v>
      </c>
      <c r="G1" s="108"/>
      <c r="H1" s="108"/>
      <c r="I1" s="110" t="s">
        <v>252</v>
      </c>
      <c r="J1" s="110" t="s">
        <v>251</v>
      </c>
      <c r="K1" s="111" t="s">
        <v>250</v>
      </c>
      <c r="L1" s="105"/>
      <c r="M1" s="43"/>
      <c r="N1" s="43"/>
      <c r="O1" s="43"/>
      <c r="P1" s="43"/>
      <c r="Q1" s="43"/>
      <c r="R1" s="43"/>
      <c r="S1" s="43"/>
      <c r="T1" s="2" t="s">
        <v>249</v>
      </c>
      <c r="U1" s="2"/>
      <c r="V1" s="2"/>
      <c r="W1" s="2"/>
      <c r="X1" s="2"/>
      <c r="Y1" s="2"/>
      <c r="Z1" s="1"/>
      <c r="AA1" s="1"/>
    </row>
    <row r="2" spans="1:27" x14ac:dyDescent="0.15">
      <c r="A2" s="43"/>
      <c r="B2" s="43"/>
      <c r="C2" s="43"/>
      <c r="D2" s="43">
        <v>170</v>
      </c>
      <c r="E2" s="56">
        <v>2200</v>
      </c>
      <c r="F2" s="107">
        <v>1000</v>
      </c>
      <c r="G2" s="107"/>
      <c r="H2" s="107">
        <v>0</v>
      </c>
      <c r="I2" s="107"/>
      <c r="J2" s="107"/>
      <c r="K2" s="106"/>
      <c r="L2" s="105"/>
      <c r="M2" s="43"/>
      <c r="N2" s="43"/>
      <c r="O2" s="43"/>
      <c r="P2" s="43"/>
      <c r="Q2" s="43"/>
      <c r="R2" s="43"/>
      <c r="S2" s="43"/>
      <c r="T2" s="2" t="s">
        <v>248</v>
      </c>
      <c r="U2" s="2"/>
      <c r="V2" s="2"/>
      <c r="W2" s="2"/>
      <c r="X2" s="2"/>
      <c r="Y2" s="2"/>
      <c r="Z2" s="1"/>
      <c r="AA2" s="1"/>
    </row>
    <row r="3" spans="1:27" ht="11.25" thickBot="1" x14ac:dyDescent="0.2">
      <c r="A3" s="103"/>
      <c r="B3" s="103"/>
      <c r="C3" s="104" t="s">
        <v>85</v>
      </c>
      <c r="D3" s="103"/>
      <c r="E3" s="103"/>
      <c r="F3" s="103" t="s">
        <v>247</v>
      </c>
      <c r="G3" s="103" t="s">
        <v>246</v>
      </c>
      <c r="H3" s="103">
        <f>H4</f>
        <v>1000</v>
      </c>
      <c r="I3" s="103"/>
      <c r="J3" s="103"/>
      <c r="K3" s="103"/>
      <c r="L3" s="103"/>
      <c r="M3" s="103"/>
      <c r="N3" s="103"/>
      <c r="O3" s="103"/>
      <c r="P3" s="103"/>
      <c r="Q3" s="104" t="s">
        <v>85</v>
      </c>
      <c r="R3" s="103"/>
      <c r="S3" s="43"/>
      <c r="T3" s="2"/>
      <c r="U3" s="2"/>
      <c r="V3" s="2"/>
      <c r="W3" s="2"/>
      <c r="X3" s="2"/>
      <c r="Y3" s="2"/>
      <c r="Z3" s="1"/>
      <c r="AA3" s="1"/>
    </row>
    <row r="4" spans="1:27" ht="11.25" thickBot="1" x14ac:dyDescent="0.2">
      <c r="A4" s="80" t="s">
        <v>245</v>
      </c>
      <c r="B4" s="78"/>
      <c r="C4" s="102">
        <v>2008</v>
      </c>
      <c r="D4" s="79">
        <v>0</v>
      </c>
      <c r="E4" s="79">
        <f>D4*$E$1</f>
        <v>0</v>
      </c>
      <c r="F4" s="79">
        <v>14799.188640973631</v>
      </c>
      <c r="G4" s="79">
        <v>8333.3333333333339</v>
      </c>
      <c r="H4" s="79">
        <f t="shared" ref="H4:H17" si="0">INT($F$1*E4/$E$2+$F$2)</f>
        <v>1000</v>
      </c>
      <c r="I4" s="79">
        <f t="shared" ref="I4:I17" si="1">MIN(F4:G4)</f>
        <v>8333.3333333333339</v>
      </c>
      <c r="J4" s="79">
        <f t="shared" ref="J4:J17" si="2">MAX(F4-G4,0)</f>
        <v>6465.8553076402968</v>
      </c>
      <c r="K4" s="79">
        <f t="shared" ref="K4:K17" si="3">MAX(G4-F4,0)</f>
        <v>0</v>
      </c>
      <c r="L4" s="79"/>
      <c r="M4" s="115">
        <f t="shared" ref="M4:M17" si="4">F4</f>
        <v>14799.188640973631</v>
      </c>
      <c r="N4" s="115">
        <f t="shared" ref="N4:N17" si="5">G4-F4</f>
        <v>-6465.8553076402968</v>
      </c>
      <c r="O4" s="115">
        <f t="shared" ref="O4:O17" si="6">MAX(F4:G4)-G4</f>
        <v>6465.8553076402968</v>
      </c>
      <c r="P4" s="78"/>
      <c r="Q4" s="102">
        <v>2008</v>
      </c>
      <c r="R4" s="76">
        <v>0</v>
      </c>
      <c r="S4" s="43"/>
      <c r="T4" s="2"/>
      <c r="U4" s="2"/>
      <c r="V4" s="2"/>
      <c r="W4" s="2"/>
      <c r="X4" s="2"/>
      <c r="Y4" s="2"/>
      <c r="Z4" s="1"/>
      <c r="AA4" s="1"/>
    </row>
    <row r="5" spans="1:27" x14ac:dyDescent="0.15">
      <c r="A5" s="93" t="s">
        <v>244</v>
      </c>
      <c r="B5" s="91"/>
      <c r="C5" s="41">
        <v>2009</v>
      </c>
      <c r="D5" s="92">
        <f>D4+$D$2</f>
        <v>170</v>
      </c>
      <c r="E5" s="112">
        <f>D5*$E$1</f>
        <v>170</v>
      </c>
      <c r="F5" s="92">
        <v>14317.658649666762</v>
      </c>
      <c r="G5" s="92">
        <v>8333.3333333333339</v>
      </c>
      <c r="H5" s="92">
        <f t="shared" si="0"/>
        <v>39636</v>
      </c>
      <c r="I5" s="92">
        <f t="shared" si="1"/>
        <v>8333.3333333333339</v>
      </c>
      <c r="J5" s="92">
        <f t="shared" si="2"/>
        <v>5984.3253163334284</v>
      </c>
      <c r="K5" s="92">
        <f t="shared" si="3"/>
        <v>0</v>
      </c>
      <c r="L5" s="92"/>
      <c r="M5" s="112">
        <f t="shared" si="4"/>
        <v>14317.658649666762</v>
      </c>
      <c r="N5" s="112">
        <f t="shared" si="5"/>
        <v>-5984.3253163334284</v>
      </c>
      <c r="O5" s="112">
        <f t="shared" si="6"/>
        <v>5984.3253163334284</v>
      </c>
      <c r="P5" s="91"/>
      <c r="Q5" s="41">
        <v>2009</v>
      </c>
      <c r="R5" s="90">
        <v>0</v>
      </c>
      <c r="S5" s="43"/>
      <c r="T5" s="2"/>
      <c r="U5" s="2"/>
      <c r="V5" s="2"/>
      <c r="W5" s="2"/>
      <c r="X5" s="2"/>
      <c r="Y5" s="2"/>
      <c r="Z5" s="1"/>
      <c r="AA5" s="1"/>
    </row>
    <row r="6" spans="1:27" x14ac:dyDescent="0.15">
      <c r="A6" s="89" t="s">
        <v>243</v>
      </c>
      <c r="B6" s="87"/>
      <c r="C6" s="38">
        <v>2010</v>
      </c>
      <c r="D6" s="88">
        <f>D5+$D$2</f>
        <v>340</v>
      </c>
      <c r="E6" s="44">
        <v>420</v>
      </c>
      <c r="F6" s="47">
        <v>6901.8365999538164</v>
      </c>
      <c r="G6" s="88">
        <v>8333.3333333333339</v>
      </c>
      <c r="H6" s="88">
        <f t="shared" si="0"/>
        <v>96454</v>
      </c>
      <c r="I6" s="88">
        <f t="shared" si="1"/>
        <v>6901.8365999538164</v>
      </c>
      <c r="J6" s="88">
        <f t="shared" si="2"/>
        <v>0</v>
      </c>
      <c r="K6" s="88">
        <f t="shared" si="3"/>
        <v>1431.4967333795175</v>
      </c>
      <c r="L6" s="88"/>
      <c r="M6" s="44">
        <f t="shared" si="4"/>
        <v>6901.8365999538164</v>
      </c>
      <c r="N6" s="44">
        <f t="shared" si="5"/>
        <v>1431.4967333795175</v>
      </c>
      <c r="O6" s="44">
        <f t="shared" si="6"/>
        <v>0</v>
      </c>
      <c r="P6" s="87"/>
      <c r="Q6" s="38">
        <v>2010</v>
      </c>
      <c r="R6" s="86">
        <v>0</v>
      </c>
      <c r="S6" s="43"/>
      <c r="T6" s="2"/>
      <c r="U6" s="2"/>
      <c r="V6" s="2"/>
      <c r="W6" s="2"/>
      <c r="X6" s="2"/>
      <c r="Y6" s="2"/>
      <c r="Z6" s="1"/>
      <c r="AA6" s="1"/>
    </row>
    <row r="7" spans="1:27" x14ac:dyDescent="0.15">
      <c r="A7" s="89"/>
      <c r="B7" s="87" t="s">
        <v>242</v>
      </c>
      <c r="C7" s="40">
        <v>2011</v>
      </c>
      <c r="D7" s="88">
        <f>D6+$D$2</f>
        <v>510</v>
      </c>
      <c r="E7" s="44">
        <v>498</v>
      </c>
      <c r="F7" s="47">
        <v>6901.8365999538164</v>
      </c>
      <c r="G7" s="47">
        <v>8333.3333333333339</v>
      </c>
      <c r="H7" s="47">
        <f t="shared" si="0"/>
        <v>114181</v>
      </c>
      <c r="I7" s="47">
        <f t="shared" si="1"/>
        <v>6901.8365999538164</v>
      </c>
      <c r="J7" s="47">
        <f t="shared" si="2"/>
        <v>0</v>
      </c>
      <c r="K7" s="47">
        <f t="shared" si="3"/>
        <v>1431.4967333795175</v>
      </c>
      <c r="L7" s="47"/>
      <c r="M7" s="47">
        <f t="shared" si="4"/>
        <v>6901.8365999538164</v>
      </c>
      <c r="N7" s="47">
        <f t="shared" si="5"/>
        <v>1431.4967333795175</v>
      </c>
      <c r="O7" s="47">
        <f t="shared" si="6"/>
        <v>0</v>
      </c>
      <c r="P7" s="87"/>
      <c r="Q7" s="38">
        <v>2011</v>
      </c>
      <c r="R7" s="86">
        <v>0</v>
      </c>
      <c r="S7" s="43"/>
      <c r="T7" s="2"/>
      <c r="U7" s="2"/>
      <c r="V7" s="2"/>
      <c r="W7" s="2"/>
      <c r="X7" s="2"/>
      <c r="Y7" s="2"/>
      <c r="Z7" s="1"/>
      <c r="AA7" s="1"/>
    </row>
    <row r="8" spans="1:27" x14ac:dyDescent="0.15">
      <c r="A8" s="89"/>
      <c r="B8" s="87"/>
      <c r="C8" s="38">
        <v>2012</v>
      </c>
      <c r="D8" s="88">
        <v>600</v>
      </c>
      <c r="E8" s="44">
        <f t="shared" ref="E8:E17" si="7">D8*$E$1</f>
        <v>600</v>
      </c>
      <c r="F8" s="88">
        <v>6901.8365999538164</v>
      </c>
      <c r="G8" s="88">
        <v>8333.3333333333339</v>
      </c>
      <c r="H8" s="88">
        <f t="shared" si="0"/>
        <v>137363</v>
      </c>
      <c r="I8" s="88">
        <f t="shared" si="1"/>
        <v>6901.8365999538164</v>
      </c>
      <c r="J8" s="88">
        <f t="shared" si="2"/>
        <v>0</v>
      </c>
      <c r="K8" s="88">
        <f t="shared" si="3"/>
        <v>1431.4967333795175</v>
      </c>
      <c r="L8" s="88"/>
      <c r="M8" s="44">
        <f t="shared" si="4"/>
        <v>6901.8365999538164</v>
      </c>
      <c r="N8" s="44">
        <f t="shared" si="5"/>
        <v>1431.4967333795175</v>
      </c>
      <c r="O8" s="44">
        <f t="shared" si="6"/>
        <v>0</v>
      </c>
      <c r="P8" s="87"/>
      <c r="Q8" s="38">
        <v>2012</v>
      </c>
      <c r="R8" s="86">
        <v>0</v>
      </c>
      <c r="S8" s="43"/>
      <c r="T8" s="2"/>
      <c r="U8" s="2"/>
      <c r="V8" s="2"/>
      <c r="W8" s="2"/>
      <c r="X8" s="2"/>
      <c r="Y8" s="2"/>
      <c r="Z8" s="1"/>
      <c r="AA8" s="1"/>
    </row>
    <row r="9" spans="1:27" x14ac:dyDescent="0.15">
      <c r="A9" s="89"/>
      <c r="B9" s="87"/>
      <c r="C9" s="38">
        <v>2013</v>
      </c>
      <c r="D9" s="88">
        <v>830</v>
      </c>
      <c r="E9" s="44">
        <f t="shared" si="7"/>
        <v>830</v>
      </c>
      <c r="F9" s="88">
        <v>6901.8365999538164</v>
      </c>
      <c r="G9" s="88">
        <v>8333.3333333333339</v>
      </c>
      <c r="H9" s="88">
        <f t="shared" si="0"/>
        <v>189636</v>
      </c>
      <c r="I9" s="88">
        <f t="shared" si="1"/>
        <v>6901.8365999538164</v>
      </c>
      <c r="J9" s="88">
        <f t="shared" si="2"/>
        <v>0</v>
      </c>
      <c r="K9" s="88">
        <f t="shared" si="3"/>
        <v>1431.4967333795175</v>
      </c>
      <c r="L9" s="88"/>
      <c r="M9" s="44">
        <f t="shared" si="4"/>
        <v>6901.8365999538164</v>
      </c>
      <c r="N9" s="44">
        <f t="shared" si="5"/>
        <v>1431.4967333795175</v>
      </c>
      <c r="O9" s="44">
        <f t="shared" si="6"/>
        <v>0</v>
      </c>
      <c r="P9" s="87"/>
      <c r="Q9" s="38">
        <v>2013</v>
      </c>
      <c r="R9" s="86">
        <v>0</v>
      </c>
      <c r="S9" s="43"/>
      <c r="T9" s="2"/>
      <c r="U9" s="2"/>
      <c r="V9" s="2"/>
      <c r="W9" s="2"/>
      <c r="X9" s="2"/>
      <c r="Y9" s="2"/>
      <c r="Z9" s="1"/>
      <c r="AA9" s="1"/>
    </row>
    <row r="10" spans="1:27" ht="11.25" thickBot="1" x14ac:dyDescent="0.2">
      <c r="A10" s="85"/>
      <c r="B10" s="83" t="s">
        <v>241</v>
      </c>
      <c r="C10" s="99">
        <v>2014</v>
      </c>
      <c r="D10" s="101">
        <f t="shared" ref="D10:D17" si="8">D9+$D$2</f>
        <v>1000</v>
      </c>
      <c r="E10" s="113">
        <f t="shared" si="7"/>
        <v>1000</v>
      </c>
      <c r="F10" s="101">
        <v>6901.8365999538164</v>
      </c>
      <c r="G10" s="101">
        <v>8333.3333333333339</v>
      </c>
      <c r="H10" s="101">
        <f t="shared" si="0"/>
        <v>228272</v>
      </c>
      <c r="I10" s="101">
        <f t="shared" si="1"/>
        <v>6901.8365999538164</v>
      </c>
      <c r="J10" s="101">
        <f t="shared" si="2"/>
        <v>0</v>
      </c>
      <c r="K10" s="101">
        <f t="shared" si="3"/>
        <v>1431.4967333795175</v>
      </c>
      <c r="L10" s="101"/>
      <c r="M10" s="101">
        <f t="shared" si="4"/>
        <v>6901.8365999538164</v>
      </c>
      <c r="N10" s="101">
        <f t="shared" si="5"/>
        <v>1431.4967333795175</v>
      </c>
      <c r="O10" s="101">
        <f t="shared" si="6"/>
        <v>0</v>
      </c>
      <c r="P10" s="100"/>
      <c r="Q10" s="99">
        <v>2014</v>
      </c>
      <c r="R10" s="98">
        <v>0</v>
      </c>
      <c r="S10" s="43"/>
      <c r="T10" s="2"/>
      <c r="U10" s="2"/>
      <c r="V10" s="2"/>
      <c r="W10" s="2"/>
      <c r="X10" s="2"/>
      <c r="Y10" s="2"/>
      <c r="Z10" s="1"/>
      <c r="AA10" s="1"/>
    </row>
    <row r="11" spans="1:27" x14ac:dyDescent="0.15">
      <c r="A11" s="93"/>
      <c r="B11" s="91" t="s">
        <v>240</v>
      </c>
      <c r="C11" s="41">
        <v>2015</v>
      </c>
      <c r="D11" s="112">
        <f t="shared" si="8"/>
        <v>1170</v>
      </c>
      <c r="E11" s="112">
        <f t="shared" si="7"/>
        <v>1170</v>
      </c>
      <c r="F11" s="92">
        <v>6901.8365999538164</v>
      </c>
      <c r="G11" s="92">
        <v>5133.333333333333</v>
      </c>
      <c r="H11" s="92">
        <f t="shared" si="0"/>
        <v>266909</v>
      </c>
      <c r="I11" s="92">
        <f t="shared" si="1"/>
        <v>5133.333333333333</v>
      </c>
      <c r="J11" s="92">
        <f t="shared" si="2"/>
        <v>1768.5032666204834</v>
      </c>
      <c r="K11" s="92">
        <f t="shared" si="3"/>
        <v>0</v>
      </c>
      <c r="L11" s="92"/>
      <c r="M11" s="112">
        <f t="shared" si="4"/>
        <v>6901.8365999538164</v>
      </c>
      <c r="N11" s="112">
        <f t="shared" si="5"/>
        <v>-1768.5032666204834</v>
      </c>
      <c r="O11" s="112">
        <f t="shared" si="6"/>
        <v>1768.5032666204834</v>
      </c>
      <c r="P11" s="91"/>
      <c r="Q11" s="41">
        <v>2015</v>
      </c>
      <c r="R11" s="90">
        <v>0</v>
      </c>
      <c r="S11" s="43"/>
      <c r="T11" s="2"/>
      <c r="U11" s="2"/>
      <c r="V11" s="2"/>
      <c r="W11" s="2"/>
      <c r="X11" s="2"/>
      <c r="Y11" s="2"/>
      <c r="Z11" s="1"/>
      <c r="AA11" s="1"/>
    </row>
    <row r="12" spans="1:27" ht="11.25" thickBot="1" x14ac:dyDescent="0.2">
      <c r="A12" s="97"/>
      <c r="B12" s="95"/>
      <c r="C12" s="37">
        <v>2016</v>
      </c>
      <c r="D12" s="114">
        <f t="shared" si="8"/>
        <v>1340</v>
      </c>
      <c r="E12" s="114">
        <f t="shared" si="7"/>
        <v>1340</v>
      </c>
      <c r="F12" s="96">
        <v>6901.8365999538164</v>
      </c>
      <c r="G12" s="96">
        <v>5133.333333333333</v>
      </c>
      <c r="H12" s="96">
        <f t="shared" si="0"/>
        <v>305545</v>
      </c>
      <c r="I12" s="96">
        <f t="shared" si="1"/>
        <v>5133.333333333333</v>
      </c>
      <c r="J12" s="96">
        <f t="shared" si="2"/>
        <v>1768.5032666204834</v>
      </c>
      <c r="K12" s="96">
        <f t="shared" si="3"/>
        <v>0</v>
      </c>
      <c r="L12" s="96"/>
      <c r="M12" s="114">
        <f t="shared" si="4"/>
        <v>6901.8365999538164</v>
      </c>
      <c r="N12" s="114">
        <f t="shared" si="5"/>
        <v>-1768.5032666204834</v>
      </c>
      <c r="O12" s="114">
        <f t="shared" si="6"/>
        <v>1768.5032666204834</v>
      </c>
      <c r="P12" s="95"/>
      <c r="Q12" s="37">
        <v>2016</v>
      </c>
      <c r="R12" s="94">
        <v>0</v>
      </c>
      <c r="S12" s="43"/>
      <c r="T12" s="2"/>
      <c r="U12" s="2"/>
      <c r="V12" s="2"/>
      <c r="W12" s="2"/>
      <c r="X12" s="2"/>
      <c r="Y12" s="2"/>
      <c r="Z12" s="1"/>
      <c r="AA12" s="1"/>
    </row>
    <row r="13" spans="1:27" x14ac:dyDescent="0.15">
      <c r="A13" s="93" t="s">
        <v>239</v>
      </c>
      <c r="B13" s="91"/>
      <c r="C13" s="30">
        <v>2017</v>
      </c>
      <c r="D13" s="112">
        <f t="shared" si="8"/>
        <v>1510</v>
      </c>
      <c r="E13" s="112">
        <f t="shared" si="7"/>
        <v>1510</v>
      </c>
      <c r="F13" s="92">
        <v>4114.7899991817158</v>
      </c>
      <c r="G13" s="92">
        <v>5133.333333333333</v>
      </c>
      <c r="H13" s="92">
        <f t="shared" si="0"/>
        <v>344181</v>
      </c>
      <c r="I13" s="92">
        <f t="shared" si="1"/>
        <v>4114.7899991817158</v>
      </c>
      <c r="J13" s="92">
        <f t="shared" si="2"/>
        <v>0</v>
      </c>
      <c r="K13" s="92">
        <f t="shared" si="3"/>
        <v>1018.5433341516173</v>
      </c>
      <c r="L13" s="92"/>
      <c r="M13" s="112">
        <f t="shared" si="4"/>
        <v>4114.7899991817158</v>
      </c>
      <c r="N13" s="112">
        <f t="shared" si="5"/>
        <v>1018.5433341516173</v>
      </c>
      <c r="O13" s="112">
        <f t="shared" si="6"/>
        <v>0</v>
      </c>
      <c r="P13" s="91"/>
      <c r="Q13" s="30">
        <v>2017</v>
      </c>
      <c r="R13" s="90">
        <v>0</v>
      </c>
      <c r="S13" s="43"/>
      <c r="T13" s="2"/>
      <c r="U13" s="2"/>
      <c r="V13" s="2"/>
      <c r="W13" s="2"/>
      <c r="X13" s="2"/>
      <c r="Y13" s="2"/>
      <c r="Z13" s="1"/>
      <c r="AA13" s="1"/>
    </row>
    <row r="14" spans="1:27" x14ac:dyDescent="0.15">
      <c r="A14" s="89"/>
      <c r="B14" s="87"/>
      <c r="C14" s="35">
        <v>2018</v>
      </c>
      <c r="D14" s="44">
        <f t="shared" si="8"/>
        <v>1680</v>
      </c>
      <c r="E14" s="44">
        <f t="shared" si="7"/>
        <v>1680</v>
      </c>
      <c r="F14" s="88">
        <v>3827.0796844110459</v>
      </c>
      <c r="G14" s="88">
        <v>5133.333333333333</v>
      </c>
      <c r="H14" s="88">
        <f t="shared" si="0"/>
        <v>382818</v>
      </c>
      <c r="I14" s="88">
        <f t="shared" si="1"/>
        <v>3827.0796844110459</v>
      </c>
      <c r="J14" s="88">
        <f t="shared" si="2"/>
        <v>0</v>
      </c>
      <c r="K14" s="88">
        <f t="shared" si="3"/>
        <v>1306.2536489222871</v>
      </c>
      <c r="L14" s="88"/>
      <c r="M14" s="44">
        <f t="shared" si="4"/>
        <v>3827.0796844110459</v>
      </c>
      <c r="N14" s="44">
        <f t="shared" si="5"/>
        <v>1306.2536489222871</v>
      </c>
      <c r="O14" s="44">
        <f t="shared" si="6"/>
        <v>0</v>
      </c>
      <c r="P14" s="87"/>
      <c r="Q14" s="35">
        <v>2018</v>
      </c>
      <c r="R14" s="86">
        <v>0</v>
      </c>
      <c r="S14" s="43"/>
      <c r="T14" s="2"/>
      <c r="U14" s="2"/>
      <c r="V14" s="2"/>
      <c r="W14" s="2"/>
      <c r="X14" s="2"/>
      <c r="Y14" s="2"/>
      <c r="Z14" s="1"/>
      <c r="AA14" s="1"/>
    </row>
    <row r="15" spans="1:27" ht="11.25" thickBot="1" x14ac:dyDescent="0.2">
      <c r="A15" s="85"/>
      <c r="B15" s="83"/>
      <c r="C15" s="82">
        <v>2019</v>
      </c>
      <c r="D15" s="113">
        <f t="shared" si="8"/>
        <v>1850</v>
      </c>
      <c r="E15" s="113">
        <f t="shared" si="7"/>
        <v>1850</v>
      </c>
      <c r="F15" s="84">
        <v>2882.2359715630823</v>
      </c>
      <c r="G15" s="84">
        <v>5133.333333333333</v>
      </c>
      <c r="H15" s="84">
        <f t="shared" si="0"/>
        <v>421454</v>
      </c>
      <c r="I15" s="84">
        <f t="shared" si="1"/>
        <v>2882.2359715630823</v>
      </c>
      <c r="J15" s="84">
        <f t="shared" si="2"/>
        <v>0</v>
      </c>
      <c r="K15" s="84">
        <f t="shared" si="3"/>
        <v>2251.0973617702507</v>
      </c>
      <c r="L15" s="84"/>
      <c r="M15" s="113">
        <f t="shared" si="4"/>
        <v>2882.2359715630823</v>
      </c>
      <c r="N15" s="113">
        <f t="shared" si="5"/>
        <v>2251.0973617702507</v>
      </c>
      <c r="O15" s="113">
        <f t="shared" si="6"/>
        <v>0</v>
      </c>
      <c r="P15" s="83"/>
      <c r="Q15" s="82">
        <v>2019</v>
      </c>
      <c r="R15" s="81">
        <v>0</v>
      </c>
      <c r="S15" s="43"/>
      <c r="T15" s="2"/>
      <c r="U15" s="2"/>
      <c r="V15" s="2"/>
      <c r="W15" s="2"/>
      <c r="X15" s="2"/>
      <c r="Y15" s="2"/>
      <c r="Z15" s="1"/>
      <c r="AA15" s="1"/>
    </row>
    <row r="16" spans="1:27" ht="11.25" thickBot="1" x14ac:dyDescent="0.2">
      <c r="A16" s="80"/>
      <c r="B16" s="78"/>
      <c r="C16" s="77">
        <v>2020</v>
      </c>
      <c r="D16" s="115">
        <f t="shared" si="8"/>
        <v>2020</v>
      </c>
      <c r="E16" s="115">
        <f t="shared" si="7"/>
        <v>2020</v>
      </c>
      <c r="F16" s="79">
        <v>2748.6619224821188</v>
      </c>
      <c r="G16" s="79">
        <v>5133.333333333333</v>
      </c>
      <c r="H16" s="79">
        <f t="shared" si="0"/>
        <v>460090</v>
      </c>
      <c r="I16" s="79">
        <f t="shared" si="1"/>
        <v>2748.6619224821188</v>
      </c>
      <c r="J16" s="79">
        <f t="shared" si="2"/>
        <v>0</v>
      </c>
      <c r="K16" s="79">
        <f t="shared" si="3"/>
        <v>2384.6714108512142</v>
      </c>
      <c r="L16" s="79"/>
      <c r="M16" s="115">
        <f t="shared" si="4"/>
        <v>2748.6619224821188</v>
      </c>
      <c r="N16" s="115">
        <f t="shared" si="5"/>
        <v>2384.6714108512142</v>
      </c>
      <c r="O16" s="115">
        <f t="shared" si="6"/>
        <v>0</v>
      </c>
      <c r="P16" s="78"/>
      <c r="Q16" s="77">
        <v>2020</v>
      </c>
      <c r="R16" s="76">
        <v>0</v>
      </c>
      <c r="S16" s="43"/>
      <c r="T16" s="2"/>
      <c r="U16" s="2"/>
      <c r="V16" s="2"/>
      <c r="W16" s="2"/>
      <c r="X16" s="2"/>
      <c r="Y16" s="2"/>
      <c r="Z16" s="1"/>
      <c r="AA16" s="1"/>
    </row>
    <row r="17" spans="1:27" ht="11.25" thickBot="1" x14ac:dyDescent="0.2">
      <c r="A17" s="75" t="s">
        <v>238</v>
      </c>
      <c r="B17" s="73"/>
      <c r="C17" s="72">
        <v>2021</v>
      </c>
      <c r="D17" s="116">
        <f t="shared" si="8"/>
        <v>2190</v>
      </c>
      <c r="E17" s="116">
        <f t="shared" si="7"/>
        <v>2190</v>
      </c>
      <c r="F17" s="74">
        <v>2472.4426429576183</v>
      </c>
      <c r="G17" s="74">
        <v>5133.333333333333</v>
      </c>
      <c r="H17" s="74">
        <f t="shared" si="0"/>
        <v>498727</v>
      </c>
      <c r="I17" s="74">
        <f t="shared" si="1"/>
        <v>2472.4426429576183</v>
      </c>
      <c r="J17" s="74">
        <f t="shared" si="2"/>
        <v>0</v>
      </c>
      <c r="K17" s="74">
        <f t="shared" si="3"/>
        <v>2660.8906903757147</v>
      </c>
      <c r="L17" s="74"/>
      <c r="M17" s="116">
        <f t="shared" si="4"/>
        <v>2472.4426429576183</v>
      </c>
      <c r="N17" s="116">
        <f t="shared" si="5"/>
        <v>2660.8906903757147</v>
      </c>
      <c r="O17" s="116">
        <f t="shared" si="6"/>
        <v>0</v>
      </c>
      <c r="P17" s="73"/>
      <c r="Q17" s="72">
        <v>2021</v>
      </c>
      <c r="R17" s="71">
        <v>0</v>
      </c>
      <c r="S17" s="43"/>
      <c r="T17" s="2"/>
      <c r="U17" s="2"/>
      <c r="V17" s="2"/>
      <c r="W17" s="2"/>
      <c r="X17" s="2"/>
      <c r="Y17" s="2"/>
      <c r="Z17" s="1"/>
      <c r="AA17" s="1"/>
    </row>
    <row r="18" spans="1:27" x14ac:dyDescent="0.15">
      <c r="A18" s="43"/>
      <c r="B18" s="43"/>
      <c r="C18" s="43"/>
      <c r="D18" s="43" t="s">
        <v>237</v>
      </c>
      <c r="E18" s="70"/>
      <c r="F18" s="69"/>
      <c r="G18" s="68"/>
      <c r="H18" s="68">
        <f>H17</f>
        <v>498727</v>
      </c>
      <c r="I18" s="68"/>
      <c r="J18" s="68"/>
      <c r="K18" s="67"/>
      <c r="L18" s="49"/>
      <c r="M18" s="43"/>
      <c r="N18" s="43"/>
      <c r="O18" s="43"/>
      <c r="P18" s="43"/>
      <c r="Q18" s="43"/>
      <c r="R18" s="43"/>
      <c r="S18" s="43"/>
      <c r="T18" s="2"/>
      <c r="U18" s="2"/>
      <c r="V18" s="2"/>
      <c r="W18" s="2"/>
      <c r="X18" s="2"/>
      <c r="Y18" s="2"/>
      <c r="Z18" s="1"/>
      <c r="AA18" s="1"/>
    </row>
    <row r="19" spans="1:27" x14ac:dyDescent="0.15">
      <c r="A19" s="43"/>
      <c r="B19" s="43"/>
      <c r="C19" s="43"/>
      <c r="D19" s="66"/>
      <c r="E19" s="65"/>
      <c r="F19" s="64"/>
      <c r="G19" s="63"/>
      <c r="H19" s="51">
        <f>$F$1</f>
        <v>500000</v>
      </c>
      <c r="I19" s="51"/>
      <c r="J19" s="51"/>
      <c r="K19" s="50"/>
      <c r="L19" s="49"/>
      <c r="M19" s="43"/>
      <c r="N19" s="43"/>
      <c r="O19" s="43"/>
      <c r="P19" s="43"/>
      <c r="Q19" s="43"/>
      <c r="R19" s="43"/>
      <c r="S19" s="43"/>
      <c r="T19" s="2"/>
      <c r="U19" s="2"/>
      <c r="V19" s="2"/>
      <c r="W19" s="2"/>
      <c r="X19" s="2"/>
      <c r="Y19" s="2"/>
      <c r="Z19" s="1"/>
      <c r="AA19" s="1"/>
    </row>
    <row r="20" spans="1:27" x14ac:dyDescent="0.15">
      <c r="A20" s="43"/>
      <c r="B20" s="43"/>
      <c r="C20" s="43"/>
      <c r="D20" s="62"/>
      <c r="E20" s="61"/>
      <c r="F20" s="60"/>
      <c r="G20" s="52">
        <f>1/30</f>
        <v>3.3333333333333333E-2</v>
      </c>
      <c r="H20" s="52" t="e">
        <f t="shared" ref="H20:H31" si="9">IF(($G4-$F4)*($G5-$F5)&lt;0,$G4-$F4,NA())/(($G4-$F4)-($G5-$F5))*(H5-H4)+H4</f>
        <v>#N/A</v>
      </c>
      <c r="I20" s="52" t="e">
        <f t="shared" ref="I20:I31" si="10">IF(($G4-$F4)*($G5-$F5)&lt;0,$G4-$F4,NA())/(($G4-$F4)-($G5-$F5))*($F5-$F4)+$F4</f>
        <v>#N/A</v>
      </c>
      <c r="J20" s="51">
        <v>0</v>
      </c>
      <c r="K20" s="50">
        <v>0</v>
      </c>
      <c r="L20" s="49"/>
      <c r="M20" s="43" t="e">
        <f t="shared" ref="M20:M31" si="11">(I20-F4)/(F5-F4)*(H5-H4)+H4</f>
        <v>#N/A</v>
      </c>
      <c r="N20" s="43"/>
      <c r="O20" s="43"/>
      <c r="P20" s="43"/>
      <c r="Q20" s="43"/>
      <c r="R20" s="43"/>
      <c r="S20" s="43"/>
      <c r="T20" s="2"/>
      <c r="U20" s="2"/>
      <c r="V20" s="2"/>
      <c r="W20" s="2"/>
      <c r="X20" s="2"/>
      <c r="Y20" s="2"/>
      <c r="Z20" s="1"/>
      <c r="AA20" s="1"/>
    </row>
    <row r="21" spans="1:27" x14ac:dyDescent="0.15">
      <c r="A21" s="43"/>
      <c r="B21" s="43"/>
      <c r="C21" s="43"/>
      <c r="D21" s="43"/>
      <c r="E21" s="58"/>
      <c r="F21" s="52"/>
      <c r="G21" s="52">
        <f>1/25</f>
        <v>0.04</v>
      </c>
      <c r="H21" s="52">
        <f t="shared" si="9"/>
        <v>85486.263604504144</v>
      </c>
      <c r="I21" s="52">
        <f t="shared" si="10"/>
        <v>8333.3333333333339</v>
      </c>
      <c r="J21" s="51">
        <v>0</v>
      </c>
      <c r="K21" s="50">
        <v>0</v>
      </c>
      <c r="L21" s="49"/>
      <c r="M21" s="43">
        <f t="shared" si="11"/>
        <v>85486.263604504144</v>
      </c>
      <c r="N21" s="43"/>
      <c r="O21" s="43"/>
      <c r="P21" s="43"/>
      <c r="Q21" s="43"/>
      <c r="R21" s="43"/>
      <c r="S21" s="43"/>
      <c r="T21" s="2"/>
      <c r="U21" s="2"/>
      <c r="V21" s="2"/>
      <c r="W21" s="2"/>
      <c r="X21" s="2"/>
      <c r="Y21" s="2"/>
      <c r="Z21" s="1"/>
      <c r="AA21" s="1"/>
    </row>
    <row r="22" spans="1:27" x14ac:dyDescent="0.15">
      <c r="A22" s="43"/>
      <c r="B22" s="43"/>
      <c r="C22" s="43"/>
      <c r="D22" s="43"/>
      <c r="E22" s="58"/>
      <c r="F22" s="52"/>
      <c r="G22" s="52">
        <f>G21/G20</f>
        <v>1.2</v>
      </c>
      <c r="H22" s="52" t="e">
        <f t="shared" si="9"/>
        <v>#N/A</v>
      </c>
      <c r="I22" s="52" t="e">
        <f t="shared" si="10"/>
        <v>#N/A</v>
      </c>
      <c r="J22" s="51">
        <v>0</v>
      </c>
      <c r="K22" s="50">
        <v>0</v>
      </c>
      <c r="L22" s="49"/>
      <c r="M22" s="43" t="e">
        <f t="shared" si="11"/>
        <v>#N/A</v>
      </c>
      <c r="N22" s="43"/>
      <c r="O22" s="43"/>
      <c r="P22" s="43"/>
      <c r="Q22" s="43"/>
      <c r="R22" s="43"/>
      <c r="S22" s="43"/>
      <c r="T22" s="2"/>
      <c r="U22" s="2"/>
      <c r="V22" s="2"/>
      <c r="W22" s="2"/>
      <c r="X22" s="2"/>
      <c r="Y22" s="2"/>
      <c r="Z22" s="1"/>
      <c r="AA22" s="1"/>
    </row>
    <row r="23" spans="1:27" x14ac:dyDescent="0.15">
      <c r="A23" s="43"/>
      <c r="B23" s="43"/>
      <c r="C23" s="43"/>
      <c r="D23" s="43"/>
      <c r="E23" s="58"/>
      <c r="F23" s="52"/>
      <c r="G23" s="52"/>
      <c r="H23" s="52" t="e">
        <f t="shared" si="9"/>
        <v>#N/A</v>
      </c>
      <c r="I23" s="52" t="e">
        <f t="shared" si="10"/>
        <v>#N/A</v>
      </c>
      <c r="J23" s="51">
        <v>0</v>
      </c>
      <c r="K23" s="50">
        <v>0</v>
      </c>
      <c r="L23" s="49"/>
      <c r="M23" s="43" t="e">
        <f t="shared" si="11"/>
        <v>#N/A</v>
      </c>
      <c r="N23" s="43"/>
      <c r="O23" s="43"/>
      <c r="P23" s="43"/>
      <c r="Q23" s="43"/>
      <c r="R23" s="43"/>
      <c r="S23" s="43"/>
      <c r="T23" s="2"/>
      <c r="U23" s="2"/>
      <c r="V23" s="2"/>
      <c r="W23" s="2"/>
      <c r="X23" s="2"/>
      <c r="Y23" s="2"/>
      <c r="Z23" s="1"/>
      <c r="AA23" s="1"/>
    </row>
    <row r="24" spans="1:27" x14ac:dyDescent="0.15">
      <c r="A24" s="43"/>
      <c r="B24" s="43"/>
      <c r="C24" s="43"/>
      <c r="D24" s="43"/>
      <c r="E24" s="58"/>
      <c r="F24" s="52"/>
      <c r="G24" s="52"/>
      <c r="H24" s="52" t="e">
        <f t="shared" si="9"/>
        <v>#N/A</v>
      </c>
      <c r="I24" s="52" t="e">
        <f t="shared" si="10"/>
        <v>#N/A</v>
      </c>
      <c r="J24" s="51">
        <v>0</v>
      </c>
      <c r="K24" s="50">
        <v>0</v>
      </c>
      <c r="L24" s="49"/>
      <c r="M24" s="43" t="e">
        <f t="shared" si="11"/>
        <v>#N/A</v>
      </c>
      <c r="N24" s="43"/>
      <c r="O24" s="43"/>
      <c r="P24" s="43"/>
      <c r="Q24" s="43"/>
      <c r="R24" s="43"/>
      <c r="S24" s="43"/>
      <c r="T24" s="2"/>
      <c r="U24" s="2"/>
      <c r="V24" s="2"/>
      <c r="W24" s="2"/>
      <c r="X24" s="2"/>
      <c r="Y24" s="2"/>
      <c r="Z24" s="1"/>
      <c r="AA24" s="1"/>
    </row>
    <row r="25" spans="1:27" x14ac:dyDescent="0.15">
      <c r="A25" s="43"/>
      <c r="B25" s="43"/>
      <c r="C25" s="43"/>
      <c r="D25" s="43"/>
      <c r="E25" s="58"/>
      <c r="F25" s="52"/>
      <c r="G25" s="52"/>
      <c r="H25" s="52" t="e">
        <f t="shared" si="9"/>
        <v>#N/A</v>
      </c>
      <c r="I25" s="52" t="e">
        <f t="shared" si="10"/>
        <v>#N/A</v>
      </c>
      <c r="J25" s="51">
        <v>0</v>
      </c>
      <c r="K25" s="50">
        <v>0</v>
      </c>
      <c r="L25" s="49"/>
      <c r="M25" s="43" t="e">
        <f t="shared" si="11"/>
        <v>#N/A</v>
      </c>
      <c r="N25" s="43"/>
      <c r="O25" s="43"/>
      <c r="P25" s="43"/>
      <c r="Q25" s="43"/>
      <c r="R25" s="43"/>
      <c r="S25" s="59"/>
      <c r="T25" s="2"/>
      <c r="U25" s="2"/>
      <c r="V25" s="2"/>
      <c r="W25" s="2"/>
      <c r="X25" s="2"/>
      <c r="Y25" s="2"/>
      <c r="Z25" s="1"/>
      <c r="AA25" s="1"/>
    </row>
    <row r="26" spans="1:27" x14ac:dyDescent="0.15">
      <c r="A26" s="43"/>
      <c r="B26" s="43"/>
      <c r="C26" s="43"/>
      <c r="D26" s="43"/>
      <c r="E26" s="58"/>
      <c r="F26" s="52"/>
      <c r="G26" s="52"/>
      <c r="H26" s="52">
        <f t="shared" si="9"/>
        <v>245555.98102737012</v>
      </c>
      <c r="I26" s="52">
        <f t="shared" si="10"/>
        <v>6901.8365999538164</v>
      </c>
      <c r="J26" s="51">
        <v>0</v>
      </c>
      <c r="K26" s="50">
        <v>0</v>
      </c>
      <c r="L26" s="49"/>
      <c r="M26" s="43" t="e">
        <f t="shared" si="11"/>
        <v>#DIV/0!</v>
      </c>
      <c r="N26" s="43"/>
      <c r="O26" s="43"/>
      <c r="P26" s="43"/>
      <c r="Q26" s="43"/>
      <c r="R26" s="43"/>
      <c r="S26" s="2"/>
      <c r="T26" s="2"/>
      <c r="U26" s="2"/>
      <c r="V26" s="2"/>
      <c r="W26" s="2"/>
      <c r="X26" s="2"/>
      <c r="Y26" s="2"/>
      <c r="Z26" s="1"/>
      <c r="AA26" s="1"/>
    </row>
    <row r="27" spans="1:27" x14ac:dyDescent="0.15">
      <c r="A27" s="43"/>
      <c r="B27" s="43"/>
      <c r="C27" s="43"/>
      <c r="D27" s="43"/>
      <c r="E27" s="58"/>
      <c r="F27" s="57"/>
      <c r="G27" s="57"/>
      <c r="H27" s="52" t="e">
        <f t="shared" si="9"/>
        <v>#N/A</v>
      </c>
      <c r="I27" s="52" t="e">
        <f t="shared" si="10"/>
        <v>#N/A</v>
      </c>
      <c r="J27" s="51">
        <v>0</v>
      </c>
      <c r="K27" s="50">
        <v>0</v>
      </c>
      <c r="L27" s="49"/>
      <c r="M27" s="43" t="e">
        <f t="shared" si="11"/>
        <v>#N/A</v>
      </c>
      <c r="N27" s="43"/>
      <c r="O27" s="43"/>
      <c r="P27" s="43"/>
      <c r="Q27" s="43"/>
      <c r="R27" s="43"/>
      <c r="S27" s="2"/>
      <c r="T27" s="2"/>
      <c r="U27" s="2"/>
      <c r="V27" s="2"/>
      <c r="W27" s="2"/>
      <c r="X27" s="2"/>
      <c r="Y27" s="2"/>
      <c r="Z27" s="1"/>
      <c r="AA27" s="1"/>
    </row>
    <row r="28" spans="1:27" x14ac:dyDescent="0.15">
      <c r="A28" s="43"/>
      <c r="B28" s="43"/>
      <c r="C28" s="43"/>
      <c r="D28" s="43"/>
      <c r="E28" s="58"/>
      <c r="F28" s="57"/>
      <c r="G28" s="57"/>
      <c r="H28" s="52">
        <f t="shared" si="9"/>
        <v>330061.23600058211</v>
      </c>
      <c r="I28" s="52">
        <f t="shared" si="10"/>
        <v>5133.333333333333</v>
      </c>
      <c r="J28" s="51">
        <v>0</v>
      </c>
      <c r="K28" s="50">
        <v>0</v>
      </c>
      <c r="L28" s="49"/>
      <c r="M28" s="43">
        <f t="shared" si="11"/>
        <v>330061.23600058211</v>
      </c>
      <c r="N28" s="43"/>
      <c r="O28" s="43"/>
      <c r="P28" s="43"/>
      <c r="Q28" s="43"/>
      <c r="R28" s="43"/>
      <c r="S28" s="2"/>
      <c r="T28" s="2"/>
      <c r="U28" s="2"/>
      <c r="V28" s="2"/>
      <c r="W28" s="2"/>
      <c r="X28" s="2"/>
      <c r="Y28" s="2"/>
      <c r="Z28" s="1"/>
      <c r="AA28" s="1"/>
    </row>
    <row r="29" spans="1:27" x14ac:dyDescent="0.15">
      <c r="A29" s="43"/>
      <c r="B29" s="43"/>
      <c r="C29" s="43"/>
      <c r="D29" s="43"/>
      <c r="E29" s="58"/>
      <c r="F29" s="57"/>
      <c r="G29" s="57"/>
      <c r="H29" s="52" t="e">
        <f t="shared" si="9"/>
        <v>#N/A</v>
      </c>
      <c r="I29" s="52" t="e">
        <f t="shared" si="10"/>
        <v>#N/A</v>
      </c>
      <c r="J29" s="51">
        <v>0</v>
      </c>
      <c r="K29" s="50">
        <v>0</v>
      </c>
      <c r="L29" s="49"/>
      <c r="M29" s="43" t="e">
        <f t="shared" si="11"/>
        <v>#N/A</v>
      </c>
      <c r="N29" s="43"/>
      <c r="O29" s="43"/>
      <c r="P29" s="43"/>
      <c r="Q29" s="43"/>
      <c r="R29" s="43"/>
      <c r="S29" s="2"/>
      <c r="T29" s="2"/>
      <c r="U29" s="2"/>
      <c r="V29" s="2"/>
      <c r="W29" s="2"/>
      <c r="X29" s="2"/>
      <c r="Y29" s="2"/>
      <c r="Z29" s="1"/>
      <c r="AA29" s="1"/>
    </row>
    <row r="30" spans="1:27" x14ac:dyDescent="0.15">
      <c r="A30" s="43"/>
      <c r="B30" s="43"/>
      <c r="C30" s="43"/>
      <c r="D30" s="43"/>
      <c r="E30" s="56"/>
      <c r="F30" s="55"/>
      <c r="G30" s="55"/>
      <c r="H30" s="52" t="e">
        <f t="shared" si="9"/>
        <v>#N/A</v>
      </c>
      <c r="I30" s="52" t="e">
        <f t="shared" si="10"/>
        <v>#N/A</v>
      </c>
      <c r="J30" s="51">
        <v>0</v>
      </c>
      <c r="K30" s="50">
        <v>0</v>
      </c>
      <c r="L30" s="49"/>
      <c r="M30" s="43" t="e">
        <f t="shared" si="11"/>
        <v>#N/A</v>
      </c>
      <c r="N30" s="43"/>
      <c r="O30" s="43"/>
      <c r="P30" s="43"/>
      <c r="Q30" s="43"/>
      <c r="R30" s="43"/>
      <c r="S30" s="2"/>
      <c r="T30" s="2"/>
      <c r="U30" s="2"/>
      <c r="V30" s="2"/>
      <c r="W30" s="2"/>
      <c r="X30" s="2"/>
      <c r="Y30" s="2"/>
      <c r="Z30" s="1"/>
      <c r="AA30" s="1"/>
    </row>
    <row r="31" spans="1:27" x14ac:dyDescent="0.15">
      <c r="A31" s="43"/>
      <c r="B31" s="43"/>
      <c r="C31" s="43"/>
      <c r="D31" s="43"/>
      <c r="E31" s="56"/>
      <c r="F31" s="55"/>
      <c r="G31" s="55"/>
      <c r="H31" s="52" t="e">
        <f t="shared" si="9"/>
        <v>#N/A</v>
      </c>
      <c r="I31" s="52" t="e">
        <f t="shared" si="10"/>
        <v>#N/A</v>
      </c>
      <c r="J31" s="51">
        <v>0</v>
      </c>
      <c r="K31" s="50">
        <v>0</v>
      </c>
      <c r="L31" s="49"/>
      <c r="M31" s="43" t="e">
        <f t="shared" si="11"/>
        <v>#N/A</v>
      </c>
      <c r="N31" s="43"/>
      <c r="O31" s="43"/>
      <c r="P31" s="43"/>
      <c r="Q31" s="43"/>
      <c r="R31" s="43"/>
      <c r="S31" s="2"/>
      <c r="T31" s="2"/>
      <c r="U31" s="2"/>
      <c r="V31" s="2"/>
      <c r="W31" s="2"/>
      <c r="X31" s="2"/>
      <c r="Y31" s="2"/>
      <c r="Z31" s="1"/>
      <c r="AA31" s="1"/>
    </row>
    <row r="32" spans="1:27" x14ac:dyDescent="0.15">
      <c r="A32" s="43"/>
      <c r="B32" s="43"/>
      <c r="C32" s="43"/>
      <c r="D32" s="43"/>
      <c r="E32" s="54"/>
      <c r="F32" s="53"/>
      <c r="G32" s="53"/>
      <c r="H32" s="52" t="e">
        <f>IF(($G15-$F15)*($G17-$F17)&lt;0,$G15-$F15,NA())/(($G15-$F15)-($G17-$F17))*(H17-H15)+H15</f>
        <v>#N/A</v>
      </c>
      <c r="I32" s="52" t="e">
        <f>IF(($G15-$F15)*($G17-$F17)&lt;0,$G15-$F15,NA())/(($G15-$F15)-($G17-$F17))*($F17-$F15)+$F15</f>
        <v>#N/A</v>
      </c>
      <c r="J32" s="51">
        <v>0</v>
      </c>
      <c r="K32" s="50">
        <v>0</v>
      </c>
      <c r="L32" s="49"/>
      <c r="M32" s="43" t="e">
        <f>(I32-F15)/(F17-F15)*(H17-H15)+H15</f>
        <v>#N/A</v>
      </c>
      <c r="N32" s="43"/>
      <c r="O32" s="43"/>
      <c r="P32" s="43"/>
      <c r="Q32" s="43"/>
      <c r="R32" s="43"/>
      <c r="S32" s="2"/>
      <c r="T32" s="2"/>
      <c r="U32" s="2"/>
      <c r="V32" s="2"/>
      <c r="W32" s="2"/>
      <c r="X32" s="2"/>
      <c r="Y32" s="2"/>
      <c r="Z32" s="1"/>
      <c r="AA32" s="1"/>
    </row>
    <row r="33" spans="1:27" x14ac:dyDescent="0.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2"/>
      <c r="T33" s="2"/>
      <c r="U33" s="2"/>
      <c r="V33" s="2"/>
      <c r="W33" s="2"/>
      <c r="X33" s="2"/>
      <c r="Y33" s="2"/>
      <c r="Z33" s="1"/>
      <c r="AA33" s="1"/>
    </row>
    <row r="34" spans="1:27" x14ac:dyDescent="0.15">
      <c r="A34" s="48" t="s">
        <v>236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2"/>
      <c r="T34" s="2"/>
      <c r="U34" s="2"/>
      <c r="V34" s="2"/>
      <c r="W34" s="2"/>
      <c r="X34" s="2"/>
      <c r="Y34" s="2"/>
      <c r="Z34" s="1"/>
      <c r="AA34" s="1"/>
    </row>
    <row r="35" spans="1:27" x14ac:dyDescent="0.15">
      <c r="A35" s="45">
        <v>1.8</v>
      </c>
      <c r="B35" s="45">
        <f>SQRT(C35)</f>
        <v>71.64728420068225</v>
      </c>
      <c r="C35" s="47">
        <v>5133.333333333333</v>
      </c>
      <c r="D35" s="46" t="s">
        <v>235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2"/>
      <c r="T35" s="2"/>
      <c r="U35" s="2"/>
      <c r="V35" s="2"/>
      <c r="W35" s="2"/>
      <c r="X35" s="2"/>
      <c r="Y35" s="2"/>
      <c r="Z35" s="1"/>
      <c r="AA35" s="1"/>
    </row>
    <row r="36" spans="1:27" x14ac:dyDescent="0.15">
      <c r="A36" s="43"/>
      <c r="B36" s="45"/>
      <c r="C36" s="44">
        <v>14799.188640973631</v>
      </c>
      <c r="D36" s="43" t="s">
        <v>234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2"/>
      <c r="T36" s="2"/>
      <c r="U36" s="2"/>
      <c r="V36" s="2"/>
      <c r="W36" s="2"/>
      <c r="X36" s="2"/>
      <c r="Y36" s="2"/>
      <c r="Z36" s="1"/>
      <c r="AA36" s="1"/>
    </row>
    <row r="37" spans="1:27" x14ac:dyDescent="0.15">
      <c r="A37" s="45">
        <f>(B37/B35)*A35</f>
        <v>2.0871569513841335</v>
      </c>
      <c r="B37" s="45">
        <f>SQRT(C37)</f>
        <v>83.0772929262492</v>
      </c>
      <c r="C37" s="47">
        <v>6901.8365999538164</v>
      </c>
      <c r="D37" s="46" t="s">
        <v>233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2"/>
      <c r="T37" s="2"/>
      <c r="U37" s="2"/>
      <c r="V37" s="2"/>
      <c r="W37" s="2"/>
      <c r="X37" s="2"/>
      <c r="Y37" s="2"/>
      <c r="Z37" s="1"/>
      <c r="AA37" s="1"/>
    </row>
    <row r="38" spans="1:27" x14ac:dyDescent="0.15">
      <c r="A38" s="45">
        <f>(B38/B35)*A35</f>
        <v>1.3171445375854967</v>
      </c>
      <c r="B38" s="45">
        <f>SQRT(C38)</f>
        <v>52.427682787646823</v>
      </c>
      <c r="C38" s="44">
        <v>2748.6619224821188</v>
      </c>
      <c r="D38" s="43" t="s">
        <v>232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2"/>
      <c r="T38" s="2"/>
      <c r="U38" s="2"/>
      <c r="V38" s="2"/>
      <c r="W38" s="2"/>
      <c r="X38" s="2"/>
      <c r="Y38" s="2"/>
      <c r="Z38" s="1"/>
      <c r="AA38" s="1"/>
    </row>
    <row r="39" spans="1:27" x14ac:dyDescent="0.15">
      <c r="A39" s="43"/>
      <c r="B39" s="43"/>
      <c r="C39" s="34">
        <f>C36/3</f>
        <v>4933.0628803245436</v>
      </c>
      <c r="D39" s="2" t="s">
        <v>231</v>
      </c>
      <c r="E39" s="43"/>
      <c r="F39" s="43"/>
      <c r="G39" s="43" t="s">
        <v>230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2"/>
      <c r="T39" s="2"/>
      <c r="U39" s="2"/>
      <c r="V39" s="2"/>
      <c r="W39" s="2"/>
      <c r="X39" s="2"/>
      <c r="Y39" s="2"/>
      <c r="Z39" s="1"/>
      <c r="AA39" s="1"/>
    </row>
    <row r="40" spans="1:27" x14ac:dyDescent="0.15">
      <c r="A40" s="43"/>
      <c r="B40" s="43"/>
      <c r="C40" s="34">
        <f>C37/3</f>
        <v>2300.6121999846055</v>
      </c>
      <c r="D40" s="43" t="s">
        <v>229</v>
      </c>
      <c r="E40" s="43"/>
      <c r="F40" s="43"/>
      <c r="G40" s="43">
        <v>650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2"/>
      <c r="T40" s="2"/>
      <c r="U40" s="2"/>
      <c r="V40" s="2"/>
      <c r="W40" s="2"/>
      <c r="X40" s="2"/>
      <c r="Y40" s="2"/>
      <c r="Z40" s="1"/>
      <c r="AA40" s="1"/>
    </row>
    <row r="41" spans="1:27" x14ac:dyDescent="0.15">
      <c r="A41" s="43"/>
      <c r="B41" s="43"/>
      <c r="C41" s="34">
        <f>C38/3</f>
        <v>916.2206408273729</v>
      </c>
      <c r="D41" s="43" t="s">
        <v>228</v>
      </c>
      <c r="E41" s="43"/>
      <c r="F41" s="43"/>
      <c r="G41" s="43">
        <v>1.39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2"/>
      <c r="T41" s="2"/>
      <c r="U41" s="2"/>
      <c r="V41" s="2"/>
      <c r="W41" s="2"/>
      <c r="X41" s="2"/>
      <c r="Y41" s="2"/>
      <c r="Z41" s="1"/>
      <c r="AA41" s="1"/>
    </row>
    <row r="42" spans="1:27" x14ac:dyDescent="0.15">
      <c r="A42" s="43"/>
      <c r="B42" s="43"/>
      <c r="C42" s="44">
        <v>470</v>
      </c>
      <c r="D42" s="43" t="s">
        <v>227</v>
      </c>
      <c r="E42" s="43"/>
      <c r="F42" s="43"/>
      <c r="G42" s="43">
        <f>G40/G41</f>
        <v>467.6258992805756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2"/>
      <c r="T42" s="2"/>
      <c r="U42" s="2"/>
      <c r="V42" s="2"/>
      <c r="W42" s="2"/>
      <c r="X42" s="2"/>
      <c r="Y42" s="2"/>
      <c r="Z42" s="1"/>
      <c r="AA42" s="1"/>
    </row>
    <row r="43" spans="1:27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2"/>
      <c r="T43" s="2"/>
      <c r="U43" s="2"/>
      <c r="V43" s="2"/>
      <c r="W43" s="2"/>
      <c r="X43" s="2"/>
      <c r="Y43" s="2"/>
      <c r="Z43" s="1"/>
      <c r="AA43" s="1"/>
    </row>
    <row r="44" spans="1:27" x14ac:dyDescent="0.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2"/>
      <c r="T44" s="2"/>
      <c r="U44" s="2"/>
      <c r="V44" s="2"/>
      <c r="W44" s="2"/>
      <c r="X44" s="2"/>
      <c r="Y44" s="2"/>
      <c r="Z44" s="1"/>
      <c r="AA44" s="1"/>
    </row>
    <row r="45" spans="1:27" x14ac:dyDescent="0.15">
      <c r="A45" s="2"/>
      <c r="B45" s="2"/>
      <c r="C45" s="2"/>
      <c r="D45" s="2"/>
      <c r="E45" s="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2"/>
      <c r="T45" s="2"/>
      <c r="U45" s="2"/>
      <c r="V45" s="2"/>
      <c r="W45" s="2"/>
      <c r="X45" s="2"/>
      <c r="Y45" s="2"/>
      <c r="Z45" s="1"/>
      <c r="AA45" s="1"/>
    </row>
    <row r="46" spans="1:27" x14ac:dyDescent="0.15">
      <c r="A46" s="2"/>
      <c r="B46" s="2"/>
      <c r="C46" s="2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"/>
      <c r="AA46" s="1"/>
    </row>
    <row r="47" spans="1:27" x14ac:dyDescent="0.15">
      <c r="A47" s="2" t="s">
        <v>226</v>
      </c>
      <c r="B47" s="2"/>
      <c r="C47" s="2"/>
      <c r="D47" s="44">
        <v>380000</v>
      </c>
      <c r="E47" s="2" t="s">
        <v>225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"/>
      <c r="AA47" s="1"/>
    </row>
    <row r="48" spans="1:27" x14ac:dyDescent="0.15">
      <c r="A48" s="43"/>
      <c r="B48" s="2"/>
      <c r="C48" s="2"/>
      <c r="D48" s="34">
        <f>D47*3</f>
        <v>1140000</v>
      </c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"/>
      <c r="AA48" s="1"/>
    </row>
    <row r="49" spans="1:27" x14ac:dyDescent="0.15">
      <c r="A49" s="4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"/>
      <c r="AA49" s="1"/>
    </row>
    <row r="50" spans="1:27" x14ac:dyDescent="0.15">
      <c r="A50" s="38" t="s">
        <v>85</v>
      </c>
      <c r="B50" s="11" t="s">
        <v>95</v>
      </c>
      <c r="C50" s="38" t="s">
        <v>85</v>
      </c>
      <c r="D50" s="3" t="s">
        <v>223</v>
      </c>
      <c r="E50" s="2"/>
      <c r="F50" s="2"/>
      <c r="G50" s="1" t="s">
        <v>253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"/>
      <c r="AA50" s="1"/>
    </row>
    <row r="51" spans="1:27" ht="11.25" thickBot="1" x14ac:dyDescent="0.2">
      <c r="A51" s="42">
        <v>2008</v>
      </c>
      <c r="B51" s="5">
        <v>1.2981744421906694E-2</v>
      </c>
      <c r="C51" s="42">
        <v>2008</v>
      </c>
      <c r="D51" s="31">
        <f t="shared" ref="D51:D64" si="12">$D$48*B51</f>
        <v>14799.188640973631</v>
      </c>
      <c r="E51" s="2"/>
      <c r="F51" s="2"/>
      <c r="G51" s="1" t="s">
        <v>254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"/>
      <c r="AA51" s="1"/>
    </row>
    <row r="52" spans="1:27" x14ac:dyDescent="0.15">
      <c r="A52" s="41">
        <v>2009</v>
      </c>
      <c r="B52" s="6">
        <v>1.2559349692690142E-2</v>
      </c>
      <c r="C52" s="41">
        <v>2009</v>
      </c>
      <c r="D52" s="29">
        <f t="shared" si="12"/>
        <v>14317.658649666762</v>
      </c>
      <c r="E52" s="2"/>
      <c r="F52" s="2"/>
      <c r="G52" s="1" t="s">
        <v>255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"/>
      <c r="AA52" s="1"/>
    </row>
    <row r="53" spans="1:27" x14ac:dyDescent="0.15">
      <c r="A53" s="38">
        <v>2010</v>
      </c>
      <c r="B53" s="7">
        <v>6.0542426315384357E-3</v>
      </c>
      <c r="C53" s="38">
        <v>2010</v>
      </c>
      <c r="D53" s="34">
        <f t="shared" si="12"/>
        <v>6901.8365999538164</v>
      </c>
      <c r="E53" s="2"/>
      <c r="F53" s="2"/>
      <c r="G53" s="1" t="s">
        <v>256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"/>
      <c r="AA53" s="1"/>
    </row>
    <row r="54" spans="1:27" x14ac:dyDescent="0.15">
      <c r="A54" s="40">
        <v>2011</v>
      </c>
      <c r="B54" s="7">
        <v>6.0542426315384357E-3</v>
      </c>
      <c r="C54" s="40">
        <v>2011</v>
      </c>
      <c r="D54" s="39">
        <f t="shared" si="12"/>
        <v>6901.8365999538164</v>
      </c>
      <c r="E54" s="2"/>
      <c r="F54" s="2"/>
      <c r="G54" s="1" t="s">
        <v>257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"/>
      <c r="AA54" s="1"/>
    </row>
    <row r="55" spans="1:27" x14ac:dyDescent="0.15">
      <c r="A55" s="38">
        <v>2012</v>
      </c>
      <c r="B55" s="7">
        <v>6.0542426315384357E-3</v>
      </c>
      <c r="C55" s="38">
        <v>2012</v>
      </c>
      <c r="D55" s="34">
        <f t="shared" si="12"/>
        <v>6901.8365999538164</v>
      </c>
      <c r="E55" s="2"/>
      <c r="F55" s="2"/>
      <c r="G55" t="s">
        <v>258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"/>
      <c r="AA55" s="1"/>
    </row>
    <row r="56" spans="1:27" x14ac:dyDescent="0.15">
      <c r="A56" s="38">
        <v>2013</v>
      </c>
      <c r="B56" s="7">
        <v>6.0542426315384357E-3</v>
      </c>
      <c r="C56" s="38">
        <v>2013</v>
      </c>
      <c r="D56" s="34">
        <f t="shared" si="12"/>
        <v>6901.8365999538164</v>
      </c>
      <c r="E56" s="2"/>
      <c r="F56" s="2"/>
      <c r="G56" s="2" t="s">
        <v>259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"/>
      <c r="AA56" s="1"/>
    </row>
    <row r="57" spans="1:27" x14ac:dyDescent="0.15">
      <c r="A57" s="40">
        <v>2014</v>
      </c>
      <c r="B57" s="7">
        <v>6.0542426315384357E-3</v>
      </c>
      <c r="C57" s="40">
        <v>2014</v>
      </c>
      <c r="D57" s="39">
        <f t="shared" si="12"/>
        <v>6901.8365999538164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"/>
      <c r="AA57" s="1"/>
    </row>
    <row r="58" spans="1:27" x14ac:dyDescent="0.15">
      <c r="A58" s="38">
        <v>2015</v>
      </c>
      <c r="B58" s="7">
        <v>6.0542426315384357E-3</v>
      </c>
      <c r="C58" s="38">
        <v>2015</v>
      </c>
      <c r="D58" s="34">
        <f t="shared" si="12"/>
        <v>6901.8365999538164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1"/>
    </row>
    <row r="59" spans="1:27" ht="11.25" thickBot="1" x14ac:dyDescent="0.2">
      <c r="A59" s="37">
        <v>2016</v>
      </c>
      <c r="B59" s="8">
        <v>6.0542426315384357E-3</v>
      </c>
      <c r="C59" s="37">
        <v>2016</v>
      </c>
      <c r="D59" s="36">
        <f t="shared" si="12"/>
        <v>6901.8365999538164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"/>
      <c r="AA59" s="1"/>
    </row>
    <row r="60" spans="1:27" x14ac:dyDescent="0.15">
      <c r="A60" s="30">
        <v>2017</v>
      </c>
      <c r="B60" s="9">
        <v>3.6094649115629087E-3</v>
      </c>
      <c r="C60" s="30">
        <v>2017</v>
      </c>
      <c r="D60" s="29">
        <f t="shared" si="12"/>
        <v>4114.7899991817158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"/>
      <c r="AA60" s="1"/>
    </row>
    <row r="61" spans="1:27" x14ac:dyDescent="0.15">
      <c r="A61" s="35">
        <v>2018</v>
      </c>
      <c r="B61" s="10">
        <v>3.35708744246583E-3</v>
      </c>
      <c r="C61" s="35">
        <v>2018</v>
      </c>
      <c r="D61" s="34">
        <f t="shared" si="12"/>
        <v>3827.0796844110459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"/>
      <c r="AA61" s="1"/>
    </row>
    <row r="62" spans="1:27" x14ac:dyDescent="0.15">
      <c r="A62" s="35">
        <v>2019</v>
      </c>
      <c r="B62" s="10">
        <v>2.5282771680377914E-3</v>
      </c>
      <c r="C62" s="35">
        <v>2019</v>
      </c>
      <c r="D62" s="34">
        <f t="shared" si="12"/>
        <v>2882.2359715630823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"/>
      <c r="AA62" s="1"/>
    </row>
    <row r="63" spans="1:27" ht="11.25" thickBot="1" x14ac:dyDescent="0.2">
      <c r="A63" s="32">
        <v>2020</v>
      </c>
      <c r="B63" s="33">
        <v>2.4111069495457182E-3</v>
      </c>
      <c r="C63" s="32">
        <v>2020</v>
      </c>
      <c r="D63" s="31">
        <f t="shared" si="12"/>
        <v>2748.6619224821188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"/>
      <c r="AA63" s="1"/>
    </row>
    <row r="64" spans="1:27" x14ac:dyDescent="0.15">
      <c r="A64" s="30">
        <v>2021</v>
      </c>
      <c r="B64" s="9">
        <v>2.1688093359277356E-3</v>
      </c>
      <c r="C64" s="30">
        <v>2021</v>
      </c>
      <c r="D64" s="29">
        <f t="shared" si="12"/>
        <v>2472.4426429576183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"/>
      <c r="AA64" s="1"/>
    </row>
    <row r="65" spans="1:27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"/>
      <c r="AA65" s="1"/>
    </row>
    <row r="66" spans="1:27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"/>
      <c r="AA66" s="1"/>
    </row>
    <row r="67" spans="1:27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"/>
      <c r="AA67" s="1"/>
    </row>
    <row r="68" spans="1:27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1"/>
      <c r="AA68" s="1"/>
    </row>
    <row r="69" spans="1:27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"/>
      <c r="AA69" s="1"/>
    </row>
    <row r="70" spans="1:27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</sheetData>
  <conditionalFormatting sqref="B51:B6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1:B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1"/>
  <sheetViews>
    <sheetView tabSelected="1" zoomScale="70" zoomScaleNormal="70" zoomScaleSheetLayoutView="100" workbookViewId="0"/>
  </sheetViews>
  <sheetFormatPr defaultColWidth="9.1640625" defaultRowHeight="10.5" x14ac:dyDescent="0.15"/>
  <cols>
    <col min="1" max="1" width="68.33203125" style="12" customWidth="1"/>
    <col min="2" max="2" width="12.6640625" style="12" customWidth="1"/>
    <col min="3" max="3" width="6.33203125" style="12" customWidth="1"/>
    <col min="4" max="4" width="40.6640625" style="12" customWidth="1"/>
    <col min="5" max="7" width="6.33203125" style="12" customWidth="1"/>
    <col min="8" max="31" width="6" style="12" customWidth="1"/>
    <col min="32" max="33" width="7.6640625" style="12" customWidth="1"/>
    <col min="34" max="37" width="6.33203125" style="12" customWidth="1"/>
    <col min="38" max="39" width="7.83203125" style="12" customWidth="1"/>
    <col min="40" max="58" width="6" style="12" customWidth="1"/>
    <col min="59" max="59" width="12.33203125" style="12" customWidth="1"/>
    <col min="60" max="60" width="9.1640625" style="12"/>
    <col min="61" max="61" width="12.83203125" style="12" customWidth="1"/>
    <col min="62" max="62" width="13.1640625" style="12" customWidth="1"/>
    <col min="63" max="63" width="9.1640625" style="12"/>
    <col min="64" max="64" width="14" style="12" customWidth="1"/>
    <col min="65" max="77" width="9.1640625" style="12"/>
    <col min="78" max="78" width="15.6640625" style="12" bestFit="1" customWidth="1"/>
    <col min="79" max="16384" width="9.1640625" style="12"/>
  </cols>
  <sheetData>
    <row r="1" spans="2:81" x14ac:dyDescent="0.15">
      <c r="B1" s="12" t="s">
        <v>253</v>
      </c>
      <c r="I1" s="117" t="s">
        <v>0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O1" s="119" t="s">
        <v>1</v>
      </c>
      <c r="AP1" s="120"/>
      <c r="AR1" s="120"/>
      <c r="AS1" s="120"/>
      <c r="AT1" s="120"/>
      <c r="AU1" s="120"/>
      <c r="CC1" s="121"/>
    </row>
    <row r="2" spans="2:81" x14ac:dyDescent="0.15">
      <c r="B2" s="12" t="s">
        <v>254</v>
      </c>
      <c r="H2" s="120" t="s">
        <v>3</v>
      </c>
      <c r="I2" s="120" t="s">
        <v>4</v>
      </c>
      <c r="J2" s="118"/>
      <c r="L2" s="118" t="s">
        <v>5</v>
      </c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 t="s">
        <v>6</v>
      </c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M2" s="122" t="s">
        <v>7</v>
      </c>
      <c r="AP2" s="120"/>
      <c r="AQ2" s="120"/>
      <c r="AR2" s="120"/>
      <c r="AS2" s="120"/>
      <c r="AT2" s="120"/>
      <c r="AU2" s="120"/>
      <c r="CB2" s="123"/>
      <c r="CC2" s="121"/>
    </row>
    <row r="3" spans="2:81" x14ac:dyDescent="0.15">
      <c r="B3" s="12" t="s">
        <v>255</v>
      </c>
      <c r="H3" s="124" t="s">
        <v>8</v>
      </c>
      <c r="I3" s="125" t="s">
        <v>9</v>
      </c>
      <c r="J3" s="126" t="s">
        <v>10</v>
      </c>
      <c r="K3" s="127" t="s">
        <v>11</v>
      </c>
      <c r="L3" s="128" t="s">
        <v>12</v>
      </c>
      <c r="M3" s="124">
        <v>2007</v>
      </c>
      <c r="N3" s="129" t="s">
        <v>13</v>
      </c>
      <c r="O3" s="129" t="s">
        <v>14</v>
      </c>
      <c r="P3" s="129" t="s">
        <v>15</v>
      </c>
      <c r="Q3" s="129" t="s">
        <v>16</v>
      </c>
      <c r="R3" s="129" t="s">
        <v>17</v>
      </c>
      <c r="S3" s="129" t="s">
        <v>18</v>
      </c>
      <c r="T3" s="130" t="s">
        <v>19</v>
      </c>
      <c r="U3" s="130" t="s">
        <v>20</v>
      </c>
      <c r="V3" s="130" t="s">
        <v>21</v>
      </c>
      <c r="W3" s="131" t="s">
        <v>22</v>
      </c>
      <c r="X3" s="131" t="s">
        <v>23</v>
      </c>
      <c r="Y3" s="131" t="s">
        <v>24</v>
      </c>
      <c r="Z3" s="132">
        <v>2020</v>
      </c>
      <c r="AA3" s="132">
        <v>2021</v>
      </c>
      <c r="AB3" s="132">
        <v>2022</v>
      </c>
      <c r="AC3" s="132">
        <v>2023</v>
      </c>
      <c r="AD3" s="132">
        <v>2024</v>
      </c>
      <c r="AE3" s="132">
        <v>2025</v>
      </c>
      <c r="AF3" s="132">
        <v>2026</v>
      </c>
      <c r="AG3" s="132">
        <v>2027</v>
      </c>
      <c r="AH3" s="132">
        <v>2028</v>
      </c>
      <c r="AI3" s="132">
        <v>2029</v>
      </c>
      <c r="AJ3" s="132">
        <v>2030</v>
      </c>
      <c r="AK3" s="132">
        <v>2031</v>
      </c>
      <c r="AL3" s="128" t="s">
        <v>12</v>
      </c>
      <c r="AM3" s="14" t="s">
        <v>25</v>
      </c>
      <c r="AN3" s="133" t="s">
        <v>26</v>
      </c>
      <c r="AO3" s="12" t="s">
        <v>27</v>
      </c>
    </row>
    <row r="4" spans="2:81" ht="11.25" thickBot="1" x14ac:dyDescent="0.2">
      <c r="B4" s="12" t="s">
        <v>256</v>
      </c>
      <c r="H4" s="134">
        <v>39482</v>
      </c>
      <c r="I4" s="135">
        <v>42004</v>
      </c>
      <c r="J4" s="136">
        <f t="shared" ref="J4:J17" si="0">(I4-H4)/365.25</f>
        <v>6.9048596851471595</v>
      </c>
      <c r="K4" s="137">
        <v>2008</v>
      </c>
      <c r="L4" s="137">
        <v>2009</v>
      </c>
      <c r="M4" s="138">
        <v>2</v>
      </c>
      <c r="N4" s="138">
        <v>152</v>
      </c>
      <c r="O4" s="138">
        <v>426</v>
      </c>
      <c r="P4" s="138">
        <v>727</v>
      </c>
      <c r="Q4" s="139">
        <v>1019</v>
      </c>
      <c r="R4" s="139">
        <v>1262</v>
      </c>
      <c r="S4" s="139">
        <v>1449</v>
      </c>
      <c r="T4" s="140">
        <v>1600</v>
      </c>
      <c r="U4" s="141">
        <v>1500</v>
      </c>
      <c r="V4" s="142">
        <v>1200</v>
      </c>
      <c r="W4" s="143">
        <v>900</v>
      </c>
      <c r="X4" s="143">
        <v>600</v>
      </c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37">
        <v>2009</v>
      </c>
      <c r="AM4" s="145">
        <v>3850</v>
      </c>
      <c r="AN4" s="146" t="s">
        <v>29</v>
      </c>
      <c r="AO4" s="147" t="s">
        <v>30</v>
      </c>
      <c r="AP4" s="147"/>
    </row>
    <row r="5" spans="2:81" x14ac:dyDescent="0.15">
      <c r="B5" s="12" t="s">
        <v>257</v>
      </c>
      <c r="H5" s="148">
        <v>39944</v>
      </c>
      <c r="I5" s="149">
        <v>42004</v>
      </c>
      <c r="J5" s="150">
        <f t="shared" si="0"/>
        <v>5.6399726214921291</v>
      </c>
      <c r="K5" s="151">
        <v>2009</v>
      </c>
      <c r="L5" s="151">
        <v>2010</v>
      </c>
      <c r="M5" s="152"/>
      <c r="N5" s="153">
        <v>2</v>
      </c>
      <c r="O5" s="153">
        <v>109</v>
      </c>
      <c r="P5" s="153">
        <v>366</v>
      </c>
      <c r="Q5" s="153">
        <v>684</v>
      </c>
      <c r="R5" s="153">
        <v>999</v>
      </c>
      <c r="S5" s="154">
        <v>1281</v>
      </c>
      <c r="T5" s="155">
        <v>1502</v>
      </c>
      <c r="U5" s="156">
        <v>1468</v>
      </c>
      <c r="V5" s="154">
        <v>1215</v>
      </c>
      <c r="W5" s="153">
        <v>905</v>
      </c>
      <c r="X5" s="153">
        <v>611</v>
      </c>
      <c r="Y5" s="153">
        <v>385</v>
      </c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1">
        <v>2010</v>
      </c>
      <c r="AM5" s="22">
        <v>3069</v>
      </c>
      <c r="AN5" s="21" t="s">
        <v>32</v>
      </c>
      <c r="AO5" s="12" t="s">
        <v>33</v>
      </c>
    </row>
    <row r="6" spans="2:81" x14ac:dyDescent="0.15">
      <c r="B6" s="157" t="s">
        <v>258</v>
      </c>
      <c r="H6" s="158">
        <v>40210</v>
      </c>
      <c r="I6" s="159">
        <v>42004</v>
      </c>
      <c r="J6" s="160">
        <f t="shared" si="0"/>
        <v>4.9117043121149901</v>
      </c>
      <c r="K6" s="128">
        <v>2010</v>
      </c>
      <c r="L6" s="128">
        <v>2011</v>
      </c>
      <c r="M6" s="161"/>
      <c r="N6" s="162"/>
      <c r="O6" s="162">
        <v>2</v>
      </c>
      <c r="P6" s="162">
        <v>104</v>
      </c>
      <c r="Q6" s="162">
        <v>236</v>
      </c>
      <c r="R6" s="162">
        <v>326</v>
      </c>
      <c r="S6" s="162">
        <v>385</v>
      </c>
      <c r="T6" s="163">
        <v>430</v>
      </c>
      <c r="U6" s="164">
        <v>380</v>
      </c>
      <c r="V6" s="162">
        <v>259</v>
      </c>
      <c r="W6" s="162">
        <v>161</v>
      </c>
      <c r="X6" s="162">
        <v>107</v>
      </c>
      <c r="Y6" s="162">
        <v>103</v>
      </c>
      <c r="Z6" s="162">
        <v>79</v>
      </c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28">
        <v>2011</v>
      </c>
      <c r="AM6" s="16">
        <v>1260</v>
      </c>
      <c r="AN6" s="15" t="s">
        <v>35</v>
      </c>
      <c r="AO6" s="12" t="s">
        <v>36</v>
      </c>
    </row>
    <row r="7" spans="2:81" x14ac:dyDescent="0.15">
      <c r="B7" s="118" t="s">
        <v>259</v>
      </c>
      <c r="H7" s="158">
        <v>40588</v>
      </c>
      <c r="I7" s="159">
        <v>42004</v>
      </c>
      <c r="J7" s="160">
        <f t="shared" si="0"/>
        <v>3.8767967145790556</v>
      </c>
      <c r="K7" s="165">
        <v>2011</v>
      </c>
      <c r="L7" s="128">
        <v>2012</v>
      </c>
      <c r="M7" s="161"/>
      <c r="N7" s="162"/>
      <c r="O7" s="162"/>
      <c r="P7" s="127">
        <v>2</v>
      </c>
      <c r="Q7" s="127">
        <v>108</v>
      </c>
      <c r="R7" s="127">
        <v>241</v>
      </c>
      <c r="S7" s="127">
        <v>335</v>
      </c>
      <c r="T7" s="166">
        <v>390</v>
      </c>
      <c r="U7" s="167">
        <v>359</v>
      </c>
      <c r="V7" s="127">
        <v>237</v>
      </c>
      <c r="W7" s="127">
        <v>149</v>
      </c>
      <c r="X7" s="127">
        <v>91</v>
      </c>
      <c r="Y7" s="127">
        <v>60</v>
      </c>
      <c r="Z7" s="127">
        <v>69</v>
      </c>
      <c r="AA7" s="127">
        <v>55</v>
      </c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28">
        <v>2012</v>
      </c>
      <c r="AM7" s="16">
        <v>984</v>
      </c>
      <c r="AN7" s="15" t="s">
        <v>38</v>
      </c>
      <c r="AO7" s="12" t="s">
        <v>39</v>
      </c>
    </row>
    <row r="8" spans="2:81" x14ac:dyDescent="0.15">
      <c r="H8" s="158">
        <v>40952</v>
      </c>
      <c r="I8" s="159">
        <v>42004</v>
      </c>
      <c r="J8" s="160">
        <f t="shared" si="0"/>
        <v>2.8802190280629705</v>
      </c>
      <c r="K8" s="165">
        <v>2012</v>
      </c>
      <c r="L8" s="128">
        <v>2013</v>
      </c>
      <c r="M8" s="161"/>
      <c r="N8" s="162"/>
      <c r="O8" s="162"/>
      <c r="P8" s="162"/>
      <c r="Q8" s="127">
        <v>2</v>
      </c>
      <c r="R8" s="127">
        <v>105</v>
      </c>
      <c r="S8" s="127">
        <v>245</v>
      </c>
      <c r="T8" s="166">
        <v>341</v>
      </c>
      <c r="U8" s="167">
        <v>316</v>
      </c>
      <c r="V8" s="127">
        <v>215</v>
      </c>
      <c r="W8" s="127">
        <v>131</v>
      </c>
      <c r="X8" s="127">
        <v>84</v>
      </c>
      <c r="Y8" s="127">
        <v>56</v>
      </c>
      <c r="Z8" s="127">
        <v>38</v>
      </c>
      <c r="AA8" s="127">
        <v>57</v>
      </c>
      <c r="AB8" s="127">
        <v>48</v>
      </c>
      <c r="AC8" s="161"/>
      <c r="AD8" s="161"/>
      <c r="AE8" s="161"/>
      <c r="AF8" s="161"/>
      <c r="AG8" s="161"/>
      <c r="AH8" s="161"/>
      <c r="AI8" s="161"/>
      <c r="AJ8" s="161"/>
      <c r="AK8" s="161"/>
      <c r="AL8" s="128">
        <v>2013</v>
      </c>
      <c r="AM8" s="16">
        <v>780</v>
      </c>
      <c r="AN8" s="15" t="s">
        <v>41</v>
      </c>
      <c r="AO8" s="12" t="s">
        <v>42</v>
      </c>
    </row>
    <row r="9" spans="2:81" x14ac:dyDescent="0.15">
      <c r="B9" s="12" t="s">
        <v>216</v>
      </c>
      <c r="H9" s="158">
        <v>41374</v>
      </c>
      <c r="I9" s="159">
        <v>42004</v>
      </c>
      <c r="J9" s="160">
        <f t="shared" si="0"/>
        <v>1.7248459958932238</v>
      </c>
      <c r="K9" s="165">
        <v>2013</v>
      </c>
      <c r="L9" s="128">
        <v>2014</v>
      </c>
      <c r="M9" s="161"/>
      <c r="N9" s="162"/>
      <c r="O9" s="162"/>
      <c r="P9" s="162"/>
      <c r="Q9" s="162"/>
      <c r="R9" s="162">
        <v>2</v>
      </c>
      <c r="S9" s="168">
        <v>108</v>
      </c>
      <c r="T9" s="169">
        <v>253</v>
      </c>
      <c r="U9" s="170">
        <v>267</v>
      </c>
      <c r="V9" s="168">
        <v>183</v>
      </c>
      <c r="W9" s="162">
        <v>110</v>
      </c>
      <c r="X9" s="162">
        <v>71</v>
      </c>
      <c r="Y9" s="162">
        <v>47</v>
      </c>
      <c r="Z9" s="161">
        <v>32</v>
      </c>
      <c r="AA9" s="161">
        <v>22</v>
      </c>
      <c r="AB9" s="161">
        <v>48</v>
      </c>
      <c r="AC9" s="161">
        <v>43</v>
      </c>
      <c r="AD9" s="161"/>
      <c r="AE9" s="161"/>
      <c r="AF9" s="161"/>
      <c r="AG9" s="161"/>
      <c r="AH9" s="161"/>
      <c r="AI9" s="161"/>
      <c r="AJ9" s="161"/>
      <c r="AK9" s="161"/>
      <c r="AL9" s="128">
        <v>2014</v>
      </c>
      <c r="AM9" s="16">
        <v>526</v>
      </c>
      <c r="AN9" s="15" t="s">
        <v>44</v>
      </c>
      <c r="AO9" s="12" t="s">
        <v>45</v>
      </c>
    </row>
    <row r="10" spans="2:81" ht="11.25" thickBot="1" x14ac:dyDescent="0.2">
      <c r="B10" s="12" t="s">
        <v>215</v>
      </c>
      <c r="H10" s="171">
        <v>41708</v>
      </c>
      <c r="I10" s="172">
        <v>42004</v>
      </c>
      <c r="J10" s="173">
        <f t="shared" si="0"/>
        <v>0.81040383299110197</v>
      </c>
      <c r="K10" s="174">
        <v>2014</v>
      </c>
      <c r="L10" s="174">
        <v>2015</v>
      </c>
      <c r="M10" s="175"/>
      <c r="N10" s="175"/>
      <c r="O10" s="175"/>
      <c r="P10" s="175"/>
      <c r="Q10" s="175"/>
      <c r="R10" s="175"/>
      <c r="S10" s="176">
        <v>2</v>
      </c>
      <c r="T10" s="177">
        <v>113</v>
      </c>
      <c r="U10" s="178">
        <v>179</v>
      </c>
      <c r="V10" s="176">
        <v>135</v>
      </c>
      <c r="W10" s="176">
        <v>78</v>
      </c>
      <c r="X10" s="176">
        <v>50</v>
      </c>
      <c r="Y10" s="176">
        <v>34</v>
      </c>
      <c r="Z10" s="176">
        <v>23</v>
      </c>
      <c r="AA10" s="176">
        <v>16</v>
      </c>
      <c r="AB10" s="176">
        <v>12</v>
      </c>
      <c r="AC10" s="176">
        <v>43</v>
      </c>
      <c r="AD10" s="176">
        <v>13</v>
      </c>
      <c r="AE10" s="175"/>
      <c r="AF10" s="175"/>
      <c r="AG10" s="175"/>
      <c r="AH10" s="175"/>
      <c r="AI10" s="175"/>
      <c r="AJ10" s="175"/>
      <c r="AK10" s="175"/>
      <c r="AL10" s="179">
        <v>2015</v>
      </c>
      <c r="AM10" s="20">
        <v>300</v>
      </c>
      <c r="AN10" s="19" t="s">
        <v>47</v>
      </c>
      <c r="AO10" s="12" t="s">
        <v>48</v>
      </c>
    </row>
    <row r="11" spans="2:81" x14ac:dyDescent="0.15">
      <c r="B11" s="12" t="s">
        <v>2</v>
      </c>
      <c r="H11" s="180">
        <v>42037</v>
      </c>
      <c r="I11" s="181">
        <v>44196</v>
      </c>
      <c r="J11" s="182">
        <f t="shared" si="0"/>
        <v>5.9110198494182065</v>
      </c>
      <c r="K11" s="183">
        <v>2015</v>
      </c>
      <c r="L11" s="151">
        <v>2016</v>
      </c>
      <c r="M11" s="152"/>
      <c r="N11" s="152"/>
      <c r="O11" s="152"/>
      <c r="P11" s="152"/>
      <c r="Q11" s="152"/>
      <c r="R11" s="152"/>
      <c r="S11" s="152"/>
      <c r="T11" s="184">
        <v>1</v>
      </c>
      <c r="U11" s="184">
        <v>88</v>
      </c>
      <c r="V11" s="184">
        <v>230</v>
      </c>
      <c r="W11" s="184">
        <v>345</v>
      </c>
      <c r="X11" s="184">
        <v>415</v>
      </c>
      <c r="Y11" s="184">
        <v>464</v>
      </c>
      <c r="Z11" s="185">
        <v>499</v>
      </c>
      <c r="AA11" s="186">
        <v>432</v>
      </c>
      <c r="AB11" s="184">
        <v>292</v>
      </c>
      <c r="AC11" s="184">
        <v>180</v>
      </c>
      <c r="AD11" s="184">
        <v>143</v>
      </c>
      <c r="AE11" s="184">
        <v>111</v>
      </c>
      <c r="AF11" s="152"/>
      <c r="AG11" s="187"/>
      <c r="AH11" s="188"/>
      <c r="AI11" s="152"/>
      <c r="AJ11" s="152"/>
      <c r="AK11" s="152"/>
      <c r="AL11" s="151">
        <v>2016</v>
      </c>
      <c r="AM11" s="189">
        <v>1200</v>
      </c>
      <c r="AN11" s="190" t="s">
        <v>50</v>
      </c>
      <c r="AO11" s="12" t="s">
        <v>51</v>
      </c>
    </row>
    <row r="12" spans="2:81" ht="11.25" thickBot="1" x14ac:dyDescent="0.2">
      <c r="H12" s="191">
        <v>42409</v>
      </c>
      <c r="I12" s="192">
        <v>44196</v>
      </c>
      <c r="J12" s="193">
        <f t="shared" si="0"/>
        <v>4.8925393566050648</v>
      </c>
      <c r="K12" s="194">
        <v>2016</v>
      </c>
      <c r="L12" s="195">
        <v>2017</v>
      </c>
      <c r="M12" s="196"/>
      <c r="N12" s="196"/>
      <c r="O12" s="196"/>
      <c r="P12" s="196"/>
      <c r="Q12" s="196"/>
      <c r="R12" s="196"/>
      <c r="S12" s="196"/>
      <c r="T12" s="196"/>
      <c r="U12" s="197">
        <v>1</v>
      </c>
      <c r="V12" s="197">
        <v>88</v>
      </c>
      <c r="W12" s="197">
        <v>233</v>
      </c>
      <c r="X12" s="197">
        <v>350</v>
      </c>
      <c r="Y12" s="197">
        <v>421</v>
      </c>
      <c r="Z12" s="198">
        <v>469</v>
      </c>
      <c r="AA12" s="199">
        <v>411</v>
      </c>
      <c r="AB12" s="200">
        <v>278</v>
      </c>
      <c r="AC12" s="197">
        <v>171</v>
      </c>
      <c r="AD12" s="197">
        <v>111</v>
      </c>
      <c r="AE12" s="197">
        <v>100</v>
      </c>
      <c r="AF12" s="197">
        <v>83</v>
      </c>
      <c r="AG12" s="201"/>
      <c r="AH12" s="202"/>
      <c r="AI12" s="196"/>
      <c r="AJ12" s="196"/>
      <c r="AK12" s="196"/>
      <c r="AL12" s="195">
        <v>2017</v>
      </c>
      <c r="AM12" s="203">
        <v>1183</v>
      </c>
      <c r="AN12" s="204" t="s">
        <v>53</v>
      </c>
      <c r="AO12" s="205" t="s">
        <v>54</v>
      </c>
      <c r="AP12" s="206"/>
      <c r="AQ12" s="118"/>
      <c r="AR12" s="118"/>
    </row>
    <row r="13" spans="2:81" x14ac:dyDescent="0.15">
      <c r="B13" s="12" t="s">
        <v>214</v>
      </c>
      <c r="H13" s="180">
        <v>42878</v>
      </c>
      <c r="I13" s="181">
        <v>44196</v>
      </c>
      <c r="J13" s="182">
        <f t="shared" si="0"/>
        <v>3.6084873374401094</v>
      </c>
      <c r="K13" s="183">
        <v>2017</v>
      </c>
      <c r="L13" s="151">
        <v>2018</v>
      </c>
      <c r="M13" s="152"/>
      <c r="N13" s="152"/>
      <c r="O13" s="152"/>
      <c r="P13" s="152"/>
      <c r="Q13" s="152"/>
      <c r="R13" s="152"/>
      <c r="S13" s="152"/>
      <c r="T13" s="152"/>
      <c r="U13" s="152"/>
      <c r="V13" s="184">
        <v>2</v>
      </c>
      <c r="W13" s="184">
        <v>48</v>
      </c>
      <c r="X13" s="184">
        <v>133</v>
      </c>
      <c r="Y13" s="184">
        <v>204</v>
      </c>
      <c r="Z13" s="185">
        <v>247</v>
      </c>
      <c r="AA13" s="186">
        <v>229</v>
      </c>
      <c r="AB13" s="184">
        <v>161</v>
      </c>
      <c r="AC13" s="184">
        <v>103</v>
      </c>
      <c r="AD13" s="184">
        <v>72</v>
      </c>
      <c r="AE13" s="184">
        <v>54</v>
      </c>
      <c r="AF13" s="184">
        <v>53</v>
      </c>
      <c r="AG13" s="207">
        <v>49</v>
      </c>
      <c r="AH13" s="208"/>
      <c r="AI13" s="184"/>
      <c r="AJ13" s="184"/>
      <c r="AK13" s="184"/>
      <c r="AL13" s="151">
        <v>2018</v>
      </c>
      <c r="AM13" s="189">
        <v>519</v>
      </c>
      <c r="AN13" s="190" t="s">
        <v>56</v>
      </c>
      <c r="AO13" s="12" t="s">
        <v>57</v>
      </c>
      <c r="AP13" s="118"/>
      <c r="AQ13" s="118"/>
      <c r="AR13" s="118"/>
    </row>
    <row r="14" spans="2:81" x14ac:dyDescent="0.15">
      <c r="H14" s="209">
        <v>43143</v>
      </c>
      <c r="I14" s="210">
        <v>44196</v>
      </c>
      <c r="J14" s="211">
        <f t="shared" si="0"/>
        <v>2.8829568788501025</v>
      </c>
      <c r="K14" s="165">
        <v>2018</v>
      </c>
      <c r="L14" s="128">
        <v>2019</v>
      </c>
      <c r="M14" s="161"/>
      <c r="N14" s="161"/>
      <c r="O14" s="161"/>
      <c r="P14" s="161"/>
      <c r="Q14" s="161"/>
      <c r="R14" s="161"/>
      <c r="S14" s="161"/>
      <c r="T14" s="161"/>
      <c r="U14" s="161"/>
      <c r="V14" s="212"/>
      <c r="W14" s="212">
        <v>3</v>
      </c>
      <c r="X14" s="212">
        <v>46</v>
      </c>
      <c r="Y14" s="212">
        <v>127</v>
      </c>
      <c r="Z14" s="213">
        <v>195</v>
      </c>
      <c r="AA14" s="214">
        <v>192</v>
      </c>
      <c r="AB14" s="212">
        <v>135</v>
      </c>
      <c r="AC14" s="212">
        <v>85</v>
      </c>
      <c r="AD14" s="212">
        <v>58</v>
      </c>
      <c r="AE14" s="212">
        <v>42</v>
      </c>
      <c r="AF14" s="212">
        <v>33</v>
      </c>
      <c r="AG14" s="215">
        <v>38</v>
      </c>
      <c r="AH14" s="216">
        <v>37</v>
      </c>
      <c r="AI14" s="212"/>
      <c r="AJ14" s="212"/>
      <c r="AK14" s="212"/>
      <c r="AL14" s="128">
        <v>2019</v>
      </c>
      <c r="AM14" s="217">
        <v>332</v>
      </c>
      <c r="AN14" s="218" t="s">
        <v>59</v>
      </c>
      <c r="AO14" s="12" t="s">
        <v>60</v>
      </c>
      <c r="AP14" s="118"/>
      <c r="AQ14" s="118"/>
      <c r="AR14" s="118"/>
    </row>
    <row r="15" spans="2:81" ht="11.25" thickBot="1" x14ac:dyDescent="0.2">
      <c r="B15" s="219">
        <f>SUM(L37:T37)</f>
        <v>1183</v>
      </c>
      <c r="C15" s="12" t="s">
        <v>28</v>
      </c>
      <c r="H15" s="220">
        <v>43535</v>
      </c>
      <c r="I15" s="221">
        <v>44196</v>
      </c>
      <c r="J15" s="222">
        <f t="shared" si="0"/>
        <v>1.8097193702943191</v>
      </c>
      <c r="K15" s="174">
        <v>2019</v>
      </c>
      <c r="L15" s="179">
        <v>2020</v>
      </c>
      <c r="M15" s="175"/>
      <c r="N15" s="175"/>
      <c r="O15" s="175"/>
      <c r="P15" s="175"/>
      <c r="Q15" s="175"/>
      <c r="R15" s="175"/>
      <c r="S15" s="175"/>
      <c r="T15" s="175"/>
      <c r="U15" s="175"/>
      <c r="V15" s="223"/>
      <c r="W15" s="223"/>
      <c r="X15" s="223">
        <v>2</v>
      </c>
      <c r="Y15" s="223">
        <v>37</v>
      </c>
      <c r="Z15" s="224">
        <v>104</v>
      </c>
      <c r="AA15" s="225">
        <v>126</v>
      </c>
      <c r="AB15" s="223">
        <v>91</v>
      </c>
      <c r="AC15" s="223">
        <v>57</v>
      </c>
      <c r="AD15" s="223">
        <v>39</v>
      </c>
      <c r="AE15" s="223">
        <v>28</v>
      </c>
      <c r="AF15" s="223">
        <v>22</v>
      </c>
      <c r="AG15" s="226">
        <v>19</v>
      </c>
      <c r="AH15" s="227">
        <v>24</v>
      </c>
      <c r="AI15" s="223">
        <v>24</v>
      </c>
      <c r="AJ15" s="223"/>
      <c r="AK15" s="223"/>
      <c r="AL15" s="179">
        <v>2020</v>
      </c>
      <c r="AM15" s="228">
        <v>133</v>
      </c>
      <c r="AN15" s="229" t="s">
        <v>62</v>
      </c>
      <c r="AO15" s="12" t="s">
        <v>63</v>
      </c>
      <c r="AP15" s="118"/>
      <c r="AQ15" s="118"/>
      <c r="AR15" s="118"/>
    </row>
    <row r="16" spans="2:81" ht="11.25" thickBot="1" x14ac:dyDescent="0.2">
      <c r="B16" s="12">
        <v>518</v>
      </c>
      <c r="C16" s="12" t="s">
        <v>31</v>
      </c>
      <c r="H16" s="230">
        <v>43871</v>
      </c>
      <c r="I16" s="231">
        <v>46752</v>
      </c>
      <c r="J16" s="232">
        <f t="shared" si="0"/>
        <v>7.8877481177275834</v>
      </c>
      <c r="K16" s="233">
        <v>2020</v>
      </c>
      <c r="L16" s="234">
        <v>2021</v>
      </c>
      <c r="M16" s="235"/>
      <c r="N16" s="235"/>
      <c r="O16" s="235"/>
      <c r="P16" s="235"/>
      <c r="Q16" s="235"/>
      <c r="R16" s="235"/>
      <c r="S16" s="235"/>
      <c r="T16" s="235"/>
      <c r="U16" s="235"/>
      <c r="V16" s="236"/>
      <c r="W16" s="236"/>
      <c r="X16" s="236"/>
      <c r="Y16" s="236">
        <v>3</v>
      </c>
      <c r="Z16" s="237">
        <v>31</v>
      </c>
      <c r="AA16" s="238">
        <v>94</v>
      </c>
      <c r="AB16" s="239">
        <v>160</v>
      </c>
      <c r="AC16" s="239">
        <v>206</v>
      </c>
      <c r="AD16" s="239">
        <v>238</v>
      </c>
      <c r="AE16" s="239">
        <v>262</v>
      </c>
      <c r="AF16" s="239">
        <v>283</v>
      </c>
      <c r="AG16" s="240">
        <v>300</v>
      </c>
      <c r="AH16" s="241">
        <v>282</v>
      </c>
      <c r="AI16" s="236">
        <v>223</v>
      </c>
      <c r="AJ16" s="236">
        <v>160</v>
      </c>
      <c r="AK16" s="236"/>
      <c r="AL16" s="234">
        <v>2021</v>
      </c>
      <c r="AM16" s="242">
        <v>394</v>
      </c>
      <c r="AN16" s="243" t="s">
        <v>65</v>
      </c>
      <c r="AO16" s="147" t="s">
        <v>66</v>
      </c>
      <c r="AP16" s="147"/>
    </row>
    <row r="17" spans="2:67" ht="11.25" thickBot="1" x14ac:dyDescent="0.2">
      <c r="B17" s="12">
        <f>B15-B16</f>
        <v>665</v>
      </c>
      <c r="C17" s="12" t="s">
        <v>34</v>
      </c>
      <c r="H17" s="148">
        <v>44344</v>
      </c>
      <c r="I17" s="149">
        <v>46752</v>
      </c>
      <c r="J17" s="150">
        <f t="shared" si="0"/>
        <v>6.5927446954141002</v>
      </c>
      <c r="K17" s="183">
        <v>2021</v>
      </c>
      <c r="L17" s="151">
        <v>2022</v>
      </c>
      <c r="M17" s="152"/>
      <c r="N17" s="152"/>
      <c r="O17" s="152"/>
      <c r="P17" s="152"/>
      <c r="Q17" s="152"/>
      <c r="R17" s="152"/>
      <c r="S17" s="152"/>
      <c r="T17" s="152"/>
      <c r="U17" s="152"/>
      <c r="V17" s="184"/>
      <c r="W17" s="184"/>
      <c r="X17" s="184"/>
      <c r="Y17" s="184"/>
      <c r="Z17" s="185">
        <v>3</v>
      </c>
      <c r="AA17" s="244">
        <v>21</v>
      </c>
      <c r="AB17" s="245">
        <v>66</v>
      </c>
      <c r="AC17" s="245">
        <v>115</v>
      </c>
      <c r="AD17" s="245">
        <v>151</v>
      </c>
      <c r="AE17" s="245">
        <v>175</v>
      </c>
      <c r="AF17" s="245">
        <v>191</v>
      </c>
      <c r="AG17" s="246">
        <v>203</v>
      </c>
      <c r="AH17" s="208">
        <v>190</v>
      </c>
      <c r="AI17" s="184">
        <v>80</v>
      </c>
      <c r="AJ17" s="184">
        <v>12</v>
      </c>
      <c r="AK17" s="184"/>
      <c r="AL17" s="151">
        <v>2022</v>
      </c>
      <c r="AM17" s="189">
        <v>518</v>
      </c>
      <c r="AN17" s="190" t="s">
        <v>67</v>
      </c>
      <c r="AO17" s="12" t="s">
        <v>2</v>
      </c>
    </row>
    <row r="18" spans="2:67" x14ac:dyDescent="0.15">
      <c r="B18" s="247">
        <v>1.4</v>
      </c>
      <c r="C18" s="12" t="s">
        <v>37</v>
      </c>
      <c r="H18" s="248"/>
      <c r="I18" s="249"/>
      <c r="J18" s="250"/>
      <c r="K18" s="251"/>
      <c r="L18" s="252"/>
      <c r="M18" s="253"/>
      <c r="N18" s="253"/>
      <c r="O18" s="253"/>
      <c r="P18" s="253"/>
      <c r="Q18" s="253"/>
      <c r="R18" s="253"/>
      <c r="S18" s="253"/>
      <c r="T18" s="253"/>
      <c r="U18" s="253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</row>
    <row r="19" spans="2:67" x14ac:dyDescent="0.15">
      <c r="B19" s="12">
        <f>B17/B18</f>
        <v>475.00000000000006</v>
      </c>
      <c r="C19" s="12" t="s">
        <v>40</v>
      </c>
      <c r="H19" s="248"/>
      <c r="I19" s="249"/>
      <c r="J19" s="250"/>
      <c r="K19" s="251"/>
      <c r="L19" s="252"/>
      <c r="M19" s="253"/>
      <c r="N19" s="253"/>
      <c r="O19" s="253"/>
      <c r="P19" s="253"/>
      <c r="Q19" s="253"/>
      <c r="R19" s="253"/>
      <c r="S19" s="253"/>
      <c r="T19" s="253"/>
      <c r="U19" s="253"/>
      <c r="V19" s="254"/>
      <c r="W19" s="254"/>
      <c r="X19" s="254"/>
      <c r="Y19" s="254"/>
      <c r="Z19" s="255" t="s">
        <v>176</v>
      </c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</row>
    <row r="20" spans="2:67" x14ac:dyDescent="0.15">
      <c r="B20" s="12">
        <f>B15-B19</f>
        <v>708</v>
      </c>
      <c r="C20" s="12" t="s">
        <v>43</v>
      </c>
      <c r="H20" s="256"/>
      <c r="I20" s="257"/>
      <c r="J20" s="250"/>
      <c r="K20" s="251"/>
      <c r="L20" s="252"/>
      <c r="M20" s="253"/>
      <c r="N20" s="253"/>
      <c r="O20" s="253"/>
      <c r="P20" s="253"/>
      <c r="Q20" s="253"/>
      <c r="R20" s="253"/>
      <c r="S20" s="253"/>
      <c r="T20" s="253"/>
      <c r="U20" s="253"/>
      <c r="V20" s="254"/>
      <c r="W20" s="254"/>
      <c r="X20" s="254"/>
      <c r="Y20" s="254"/>
      <c r="Z20" s="161">
        <v>72</v>
      </c>
      <c r="AA20" s="161">
        <v>292</v>
      </c>
      <c r="AB20" s="161">
        <v>502</v>
      </c>
      <c r="AC20" s="161">
        <v>652</v>
      </c>
      <c r="AD20" s="161">
        <v>772</v>
      </c>
      <c r="AE20" s="161">
        <v>852</v>
      </c>
      <c r="AF20" s="161">
        <v>912</v>
      </c>
      <c r="AG20" s="161">
        <v>962</v>
      </c>
      <c r="AH20" s="161">
        <v>932</v>
      </c>
      <c r="AI20" s="161">
        <v>682</v>
      </c>
      <c r="AJ20" s="161">
        <v>442</v>
      </c>
      <c r="AK20" s="161" t="s">
        <v>70</v>
      </c>
      <c r="AL20" s="254"/>
      <c r="AM20" s="254"/>
      <c r="AN20" s="254"/>
      <c r="AO20" s="212">
        <f>SUM(X20:AJ20)</f>
        <v>7072</v>
      </c>
      <c r="AP20" s="255" t="s">
        <v>71</v>
      </c>
      <c r="AQ20" s="254"/>
      <c r="AR20" s="255" t="s">
        <v>72</v>
      </c>
      <c r="AS20" s="254"/>
      <c r="AT20" s="254"/>
      <c r="AU20" s="254"/>
      <c r="AV20" s="254"/>
      <c r="AW20" s="254"/>
      <c r="AX20" s="254"/>
      <c r="AY20" s="254"/>
      <c r="AZ20" s="254"/>
    </row>
    <row r="21" spans="2:67" x14ac:dyDescent="0.15">
      <c r="B21" s="12">
        <v>7</v>
      </c>
      <c r="C21" s="12" t="s">
        <v>46</v>
      </c>
      <c r="H21" s="258"/>
      <c r="I21" s="258"/>
      <c r="J21" s="259"/>
      <c r="K21" s="118"/>
      <c r="L21" s="252"/>
      <c r="M21" s="253"/>
      <c r="N21" s="253"/>
      <c r="O21" s="253"/>
      <c r="P21" s="253"/>
      <c r="Q21" s="253"/>
      <c r="R21" s="253"/>
      <c r="S21" s="253"/>
      <c r="T21" s="253"/>
      <c r="U21" s="253"/>
      <c r="V21" s="254"/>
      <c r="W21" s="254"/>
      <c r="X21" s="254"/>
      <c r="AO21" s="212">
        <f>SUM(X16:AJ16)</f>
        <v>2242</v>
      </c>
      <c r="AP21" s="12" t="s">
        <v>73</v>
      </c>
      <c r="AR21" s="12" t="s">
        <v>74</v>
      </c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</row>
    <row r="22" spans="2:67" ht="11.25" thickBot="1" x14ac:dyDescent="0.2">
      <c r="B22" s="260">
        <f>B20/B21</f>
        <v>101.14285714285714</v>
      </c>
      <c r="C22" s="12" t="s">
        <v>49</v>
      </c>
      <c r="H22" s="258"/>
      <c r="I22" s="258"/>
      <c r="J22" s="259"/>
      <c r="K22" s="253"/>
      <c r="L22" s="253"/>
      <c r="M22" s="253"/>
      <c r="N22" s="253"/>
      <c r="O22" s="253"/>
      <c r="P22" s="253"/>
      <c r="Q22" s="253"/>
      <c r="R22" s="253"/>
      <c r="S22" s="254"/>
      <c r="T22" s="254"/>
      <c r="U22" s="254"/>
      <c r="V22" s="261" t="s">
        <v>76</v>
      </c>
      <c r="W22" s="254"/>
      <c r="X22" s="254"/>
      <c r="Y22" s="262"/>
      <c r="Z22" s="263"/>
      <c r="AA22" s="263"/>
      <c r="AB22" s="264" t="s">
        <v>77</v>
      </c>
      <c r="AC22" s="263" t="s">
        <v>78</v>
      </c>
      <c r="AD22" s="263" t="s">
        <v>78</v>
      </c>
      <c r="AE22" s="263"/>
      <c r="AF22" s="263" t="s">
        <v>79</v>
      </c>
      <c r="AG22" s="254"/>
      <c r="AH22" s="118"/>
      <c r="AI22" s="25" t="s">
        <v>95</v>
      </c>
      <c r="AM22" s="12" t="s">
        <v>80</v>
      </c>
      <c r="AO22" s="212">
        <f>SUM(X17:AJ17)</f>
        <v>1207</v>
      </c>
      <c r="AP22" s="12" t="s">
        <v>81</v>
      </c>
      <c r="AR22" s="12" t="s">
        <v>82</v>
      </c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</row>
    <row r="23" spans="2:67" x14ac:dyDescent="0.15">
      <c r="B23" s="219">
        <v>41706</v>
      </c>
      <c r="C23" s="12" t="s">
        <v>52</v>
      </c>
      <c r="H23" s="128" t="s">
        <v>84</v>
      </c>
      <c r="I23" s="265" t="s">
        <v>12</v>
      </c>
      <c r="J23" s="124">
        <v>-2</v>
      </c>
      <c r="K23" s="266">
        <f t="shared" ref="K23:U23" si="1">J23+1</f>
        <v>-1</v>
      </c>
      <c r="L23" s="267">
        <f t="shared" si="1"/>
        <v>0</v>
      </c>
      <c r="M23" s="268">
        <f t="shared" si="1"/>
        <v>1</v>
      </c>
      <c r="N23" s="268">
        <f t="shared" si="1"/>
        <v>2</v>
      </c>
      <c r="O23" s="268">
        <f t="shared" si="1"/>
        <v>3</v>
      </c>
      <c r="P23" s="268">
        <f t="shared" si="1"/>
        <v>4</v>
      </c>
      <c r="Q23" s="268">
        <f t="shared" si="1"/>
        <v>5</v>
      </c>
      <c r="R23" s="268">
        <f t="shared" si="1"/>
        <v>6</v>
      </c>
      <c r="S23" s="268">
        <f t="shared" si="1"/>
        <v>7</v>
      </c>
      <c r="T23" s="268">
        <f t="shared" si="1"/>
        <v>8</v>
      </c>
      <c r="U23" s="269">
        <f t="shared" si="1"/>
        <v>9</v>
      </c>
      <c r="V23" s="270" t="s">
        <v>85</v>
      </c>
      <c r="W23" s="271" t="s">
        <v>86</v>
      </c>
      <c r="X23" s="272" t="s">
        <v>87</v>
      </c>
      <c r="Y23" s="272" t="s">
        <v>88</v>
      </c>
      <c r="Z23" s="273" t="s">
        <v>89</v>
      </c>
      <c r="AA23" s="274" t="s">
        <v>90</v>
      </c>
      <c r="AB23" s="273" t="s">
        <v>91</v>
      </c>
      <c r="AC23" s="273" t="s">
        <v>92</v>
      </c>
      <c r="AD23" s="273" t="s">
        <v>92</v>
      </c>
      <c r="AE23" s="272" t="s">
        <v>93</v>
      </c>
      <c r="AF23" s="272" t="s">
        <v>94</v>
      </c>
      <c r="AG23" s="275" t="s">
        <v>95</v>
      </c>
      <c r="AH23" s="274" t="s">
        <v>96</v>
      </c>
      <c r="AI23" s="274" t="s">
        <v>96</v>
      </c>
      <c r="AJ23" s="272" t="s">
        <v>97</v>
      </c>
      <c r="AK23" s="126" t="s">
        <v>93</v>
      </c>
      <c r="AL23" s="276" t="s">
        <v>98</v>
      </c>
      <c r="AM23" s="276" t="s">
        <v>98</v>
      </c>
      <c r="AO23" s="118"/>
      <c r="AR23" s="12" t="s">
        <v>99</v>
      </c>
      <c r="AY23" s="12" t="s">
        <v>100</v>
      </c>
    </row>
    <row r="24" spans="2:67" ht="11.25" thickBot="1" x14ac:dyDescent="0.2">
      <c r="B24" s="219">
        <v>100000</v>
      </c>
      <c r="C24" s="12" t="s">
        <v>55</v>
      </c>
      <c r="H24" s="137">
        <v>2008</v>
      </c>
      <c r="I24" s="277">
        <v>2009</v>
      </c>
      <c r="J24" s="138">
        <v>2</v>
      </c>
      <c r="K24" s="278">
        <v>152</v>
      </c>
      <c r="L24" s="279">
        <v>426</v>
      </c>
      <c r="M24" s="138">
        <v>727</v>
      </c>
      <c r="N24" s="139">
        <v>1019</v>
      </c>
      <c r="O24" s="139">
        <v>1262</v>
      </c>
      <c r="P24" s="139">
        <v>1449</v>
      </c>
      <c r="Q24" s="140">
        <v>1600</v>
      </c>
      <c r="R24" s="141">
        <v>1500</v>
      </c>
      <c r="S24" s="142">
        <v>1200</v>
      </c>
      <c r="T24" s="143">
        <v>900</v>
      </c>
      <c r="U24" s="280">
        <v>600</v>
      </c>
      <c r="V24" s="281">
        <v>2008</v>
      </c>
      <c r="W24" s="282">
        <v>7</v>
      </c>
      <c r="X24" s="283">
        <v>10800</v>
      </c>
      <c r="Y24" s="284">
        <v>3850</v>
      </c>
      <c r="Z24" s="284">
        <v>6900</v>
      </c>
      <c r="AA24" s="285">
        <v>1.33</v>
      </c>
      <c r="AB24" s="145">
        <f t="shared" ref="AB24:AB36" si="2">Z24/AA24</f>
        <v>5187.9699248120296</v>
      </c>
      <c r="AC24" s="284">
        <v>5600</v>
      </c>
      <c r="AD24" s="145">
        <f t="shared" ref="AD24:AD36" si="3">AC24/W24</f>
        <v>800</v>
      </c>
      <c r="AE24" s="286">
        <v>61625</v>
      </c>
      <c r="AF24" s="287">
        <f t="shared" ref="AF24:AF37" si="4">AD24/AE24</f>
        <v>1.2981744421906694E-2</v>
      </c>
      <c r="AG24" s="288">
        <f>AF24</f>
        <v>1.2981744421906694E-2</v>
      </c>
      <c r="AH24" s="289">
        <f>AF24/AF$25</f>
        <v>1.0336318949270435</v>
      </c>
      <c r="AI24" s="289">
        <f t="shared" ref="AI24:AI37" si="5">AG24/AG$25</f>
        <v>1.0336318949270435</v>
      </c>
      <c r="AJ24" s="284">
        <f t="shared" ref="AJ24:AJ37" si="6">X24/W24</f>
        <v>1542.8571428571429</v>
      </c>
      <c r="AK24" s="290">
        <f t="shared" ref="AK24:AK37" si="7">AJ24/$AJ$25</f>
        <v>0.98312902051219819</v>
      </c>
      <c r="AL24" s="291">
        <f t="shared" ref="AL24:AL37" ca="1" si="8">OFFSET($AE45,0,$K$43)</f>
        <v>1</v>
      </c>
      <c r="AM24" s="292">
        <f t="shared" ref="AM24:AM37" ca="1" si="9">AL24/$AL$37</f>
        <v>0.81747134421674195</v>
      </c>
      <c r="AO24" s="118"/>
      <c r="AR24" s="12" t="s">
        <v>102</v>
      </c>
      <c r="AY24" s="12" t="s">
        <v>103</v>
      </c>
    </row>
    <row r="25" spans="2:67" ht="11.25" thickBot="1" x14ac:dyDescent="0.2">
      <c r="B25" s="219">
        <f>B24-B23</f>
        <v>58294</v>
      </c>
      <c r="C25" s="12" t="s">
        <v>58</v>
      </c>
      <c r="H25" s="151">
        <v>2009</v>
      </c>
      <c r="I25" s="293">
        <v>2010</v>
      </c>
      <c r="J25" s="153">
        <v>2</v>
      </c>
      <c r="K25" s="294">
        <v>109</v>
      </c>
      <c r="L25" s="295">
        <v>366</v>
      </c>
      <c r="M25" s="153">
        <v>684</v>
      </c>
      <c r="N25" s="153">
        <v>999</v>
      </c>
      <c r="O25" s="154">
        <v>1281</v>
      </c>
      <c r="P25" s="296">
        <v>1502</v>
      </c>
      <c r="Q25" s="156">
        <v>1468</v>
      </c>
      <c r="R25" s="154">
        <v>1215</v>
      </c>
      <c r="S25" s="153">
        <v>905</v>
      </c>
      <c r="T25" s="153">
        <v>611</v>
      </c>
      <c r="U25" s="297">
        <v>385</v>
      </c>
      <c r="V25" s="298">
        <v>2009</v>
      </c>
      <c r="W25" s="299">
        <v>6</v>
      </c>
      <c r="X25" s="22">
        <f>SUM(L25:U25)</f>
        <v>9416</v>
      </c>
      <c r="Y25" s="22">
        <v>3069</v>
      </c>
      <c r="Z25" s="22">
        <f t="shared" ref="Z25:Z37" si="10">X25-Y25</f>
        <v>6347</v>
      </c>
      <c r="AA25" s="300">
        <v>1.33</v>
      </c>
      <c r="AB25" s="22">
        <f t="shared" si="2"/>
        <v>4772.1804511278197</v>
      </c>
      <c r="AC25" s="22">
        <f t="shared" ref="AC25:AC36" si="11">X25-AB25</f>
        <v>4643.8195488721803</v>
      </c>
      <c r="AD25" s="22">
        <f t="shared" si="3"/>
        <v>773.96992481203006</v>
      </c>
      <c r="AE25" s="301">
        <v>61625</v>
      </c>
      <c r="AF25" s="302">
        <f t="shared" si="4"/>
        <v>1.2559349692690142E-2</v>
      </c>
      <c r="AG25" s="303">
        <f>AF25</f>
        <v>1.2559349692690142E-2</v>
      </c>
      <c r="AH25" s="304">
        <f t="shared" ref="AH25:AH37" si="12">AF25/AF$25</f>
        <v>1</v>
      </c>
      <c r="AI25" s="304">
        <f t="shared" si="5"/>
        <v>1</v>
      </c>
      <c r="AJ25" s="22">
        <f t="shared" si="6"/>
        <v>1569.3333333333333</v>
      </c>
      <c r="AK25" s="305">
        <f t="shared" si="7"/>
        <v>1</v>
      </c>
      <c r="AL25" s="306">
        <f t="shared" ca="1" si="8"/>
        <v>0.9998937752283833</v>
      </c>
      <c r="AM25" s="307">
        <f t="shared" ca="1" si="9"/>
        <v>0.8173845085098993</v>
      </c>
      <c r="AO25" s="118"/>
      <c r="AZ25" s="15" t="s">
        <v>105</v>
      </c>
      <c r="BO25" s="118"/>
    </row>
    <row r="26" spans="2:67" ht="11.25" thickBot="1" x14ac:dyDescent="0.2">
      <c r="B26" s="247">
        <v>0.8</v>
      </c>
      <c r="C26" s="12" t="s">
        <v>61</v>
      </c>
      <c r="H26" s="128">
        <v>2010</v>
      </c>
      <c r="I26" s="265">
        <v>2011</v>
      </c>
      <c r="J26" s="162">
        <v>2</v>
      </c>
      <c r="K26" s="308">
        <v>104</v>
      </c>
      <c r="L26" s="309">
        <v>236</v>
      </c>
      <c r="M26" s="162">
        <v>326</v>
      </c>
      <c r="N26" s="162">
        <v>385</v>
      </c>
      <c r="O26" s="177">
        <v>430</v>
      </c>
      <c r="P26" s="310">
        <v>380</v>
      </c>
      <c r="Q26" s="162">
        <v>259</v>
      </c>
      <c r="R26" s="162">
        <v>161</v>
      </c>
      <c r="S26" s="162">
        <v>107</v>
      </c>
      <c r="T26" s="162">
        <v>103</v>
      </c>
      <c r="U26" s="311">
        <v>79</v>
      </c>
      <c r="V26" s="270">
        <v>2010</v>
      </c>
      <c r="W26" s="312">
        <v>5</v>
      </c>
      <c r="X26" s="16">
        <f t="shared" ref="X26:X36" si="13">SUM(L26:U26)</f>
        <v>2466</v>
      </c>
      <c r="Y26" s="16">
        <v>1260</v>
      </c>
      <c r="Z26" s="16">
        <f t="shared" si="10"/>
        <v>1206</v>
      </c>
      <c r="AA26" s="313">
        <v>1.33</v>
      </c>
      <c r="AB26" s="16">
        <f t="shared" si="2"/>
        <v>906.76691729323306</v>
      </c>
      <c r="AC26" s="16">
        <f t="shared" si="11"/>
        <v>1559.2330827067669</v>
      </c>
      <c r="AD26" s="16">
        <f t="shared" si="3"/>
        <v>311.8466165413534</v>
      </c>
      <c r="AE26" s="314">
        <v>61625</v>
      </c>
      <c r="AF26" s="315">
        <f t="shared" si="4"/>
        <v>5.0603913434702375E-3</v>
      </c>
      <c r="AG26" s="316">
        <f t="shared" ref="AG26:AG31" si="14">AG27</f>
        <v>6.0542426315384357E-3</v>
      </c>
      <c r="AH26" s="317">
        <f t="shared" si="12"/>
        <v>0.40291826147778276</v>
      </c>
      <c r="AI26" s="318">
        <f t="shared" si="5"/>
        <v>0.48205064590741964</v>
      </c>
      <c r="AJ26" s="16">
        <f t="shared" si="6"/>
        <v>493.2</v>
      </c>
      <c r="AK26" s="305">
        <f t="shared" si="7"/>
        <v>0.31427357689039931</v>
      </c>
      <c r="AL26" s="319">
        <f t="shared" ca="1" si="8"/>
        <v>1.0177395368599957</v>
      </c>
      <c r="AM26" s="320">
        <f t="shared" ca="1" si="9"/>
        <v>0.83197290725946516</v>
      </c>
      <c r="AO26" s="118"/>
      <c r="AZ26" s="15">
        <v>10.8</v>
      </c>
      <c r="BA26" s="12" t="s">
        <v>87</v>
      </c>
      <c r="BC26" s="12">
        <v>5.625</v>
      </c>
      <c r="BE26" s="12" t="s">
        <v>106</v>
      </c>
      <c r="BO26" s="118"/>
    </row>
    <row r="27" spans="2:67" ht="11.25" thickBot="1" x14ac:dyDescent="0.2">
      <c r="B27" s="219">
        <f>B25*B26</f>
        <v>46635.200000000004</v>
      </c>
      <c r="C27" s="12" t="s">
        <v>64</v>
      </c>
      <c r="H27" s="165">
        <v>2011</v>
      </c>
      <c r="I27" s="265">
        <v>2012</v>
      </c>
      <c r="J27" s="127">
        <v>2</v>
      </c>
      <c r="K27" s="321">
        <v>108</v>
      </c>
      <c r="L27" s="322">
        <v>241</v>
      </c>
      <c r="M27" s="127">
        <v>335</v>
      </c>
      <c r="N27" s="323">
        <v>390</v>
      </c>
      <c r="O27" s="324">
        <v>359</v>
      </c>
      <c r="P27" s="127">
        <v>237</v>
      </c>
      <c r="Q27" s="127">
        <v>149</v>
      </c>
      <c r="R27" s="127">
        <v>91</v>
      </c>
      <c r="S27" s="127">
        <v>60</v>
      </c>
      <c r="T27" s="127">
        <v>69</v>
      </c>
      <c r="U27" s="325">
        <v>55</v>
      </c>
      <c r="V27" s="270">
        <v>2011</v>
      </c>
      <c r="W27" s="312">
        <v>4</v>
      </c>
      <c r="X27" s="16">
        <f t="shared" si="13"/>
        <v>1986</v>
      </c>
      <c r="Y27" s="16">
        <v>984</v>
      </c>
      <c r="Z27" s="16">
        <f t="shared" si="10"/>
        <v>1002</v>
      </c>
      <c r="AA27" s="313">
        <v>1.33</v>
      </c>
      <c r="AB27" s="16">
        <f t="shared" si="2"/>
        <v>753.38345864661653</v>
      </c>
      <c r="AC27" s="16">
        <f t="shared" si="11"/>
        <v>1232.6165413533836</v>
      </c>
      <c r="AD27" s="16">
        <f t="shared" si="3"/>
        <v>308.1541353383459</v>
      </c>
      <c r="AE27" s="314">
        <v>61625</v>
      </c>
      <c r="AF27" s="315">
        <f t="shared" si="4"/>
        <v>5.0004727843950651E-3</v>
      </c>
      <c r="AG27" s="316">
        <f t="shared" si="14"/>
        <v>6.0542426315384357E-3</v>
      </c>
      <c r="AH27" s="317">
        <f t="shared" si="12"/>
        <v>0.39814742854922386</v>
      </c>
      <c r="AI27" s="318">
        <f t="shared" si="5"/>
        <v>0.48205064590741964</v>
      </c>
      <c r="AJ27" s="16">
        <f t="shared" si="6"/>
        <v>496.5</v>
      </c>
      <c r="AK27" s="305">
        <f t="shared" si="7"/>
        <v>0.31637638062871709</v>
      </c>
      <c r="AL27" s="326">
        <f t="shared" ca="1" si="8"/>
        <v>1.0415338857021457</v>
      </c>
      <c r="AM27" s="327">
        <f t="shared" ca="1" si="9"/>
        <v>0.85142410559221948</v>
      </c>
      <c r="AO27" s="118"/>
      <c r="AZ27" s="15">
        <v>6.9</v>
      </c>
      <c r="BA27" s="12" t="s">
        <v>108</v>
      </c>
      <c r="BE27" s="12" t="s">
        <v>109</v>
      </c>
      <c r="BO27" s="118"/>
    </row>
    <row r="28" spans="2:67" ht="11.25" thickBot="1" x14ac:dyDescent="0.2">
      <c r="B28" s="219">
        <f>B22</f>
        <v>101.14285714285714</v>
      </c>
      <c r="C28" s="12" t="s">
        <v>49</v>
      </c>
      <c r="H28" s="165">
        <v>2012</v>
      </c>
      <c r="I28" s="265">
        <v>2013</v>
      </c>
      <c r="J28" s="127">
        <v>2</v>
      </c>
      <c r="K28" s="321">
        <v>105</v>
      </c>
      <c r="L28" s="322">
        <v>245</v>
      </c>
      <c r="M28" s="323">
        <v>341</v>
      </c>
      <c r="N28" s="324">
        <v>316</v>
      </c>
      <c r="O28" s="127">
        <v>215</v>
      </c>
      <c r="P28" s="127">
        <v>131</v>
      </c>
      <c r="Q28" s="127">
        <v>84</v>
      </c>
      <c r="R28" s="127">
        <v>56</v>
      </c>
      <c r="S28" s="127">
        <v>38</v>
      </c>
      <c r="T28" s="127">
        <v>57</v>
      </c>
      <c r="U28" s="325">
        <v>48</v>
      </c>
      <c r="V28" s="270">
        <v>2012</v>
      </c>
      <c r="W28" s="312">
        <v>3</v>
      </c>
      <c r="X28" s="16">
        <f t="shared" si="13"/>
        <v>1531</v>
      </c>
      <c r="Y28" s="16">
        <v>780</v>
      </c>
      <c r="Z28" s="16">
        <f t="shared" si="10"/>
        <v>751</v>
      </c>
      <c r="AA28" s="313">
        <v>1.33</v>
      </c>
      <c r="AB28" s="16">
        <f t="shared" si="2"/>
        <v>564.66165413533827</v>
      </c>
      <c r="AC28" s="16">
        <f t="shared" si="11"/>
        <v>966.33834586466173</v>
      </c>
      <c r="AD28" s="16">
        <f t="shared" si="3"/>
        <v>322.11278195488723</v>
      </c>
      <c r="AE28" s="314">
        <v>61625</v>
      </c>
      <c r="AF28" s="315">
        <f t="shared" si="4"/>
        <v>5.2269822629596304E-3</v>
      </c>
      <c r="AG28" s="316">
        <f t="shared" si="14"/>
        <v>6.0542426315384357E-3</v>
      </c>
      <c r="AH28" s="317">
        <f t="shared" si="12"/>
        <v>0.4161825564903146</v>
      </c>
      <c r="AI28" s="318">
        <f t="shared" si="5"/>
        <v>0.48205064590741964</v>
      </c>
      <c r="AJ28" s="16">
        <f t="shared" si="6"/>
        <v>510.33333333333331</v>
      </c>
      <c r="AK28" s="305">
        <f t="shared" si="7"/>
        <v>0.32519116397621073</v>
      </c>
      <c r="AL28" s="326">
        <f t="shared" ca="1" si="8"/>
        <v>1.0622477161674102</v>
      </c>
      <c r="AM28" s="327">
        <f t="shared" ca="1" si="9"/>
        <v>0.86835706842653704</v>
      </c>
      <c r="AO28" s="118"/>
      <c r="AZ28" s="15">
        <v>5.1879699248120303</v>
      </c>
      <c r="BA28" s="12" t="s">
        <v>111</v>
      </c>
      <c r="BO28" s="118"/>
    </row>
    <row r="29" spans="2:67" ht="11.25" thickBot="1" x14ac:dyDescent="0.2">
      <c r="B29" s="328">
        <f>B28/B27</f>
        <v>2.1688093359277356E-3</v>
      </c>
      <c r="C29" s="12" t="s">
        <v>68</v>
      </c>
      <c r="H29" s="165">
        <v>2013</v>
      </c>
      <c r="I29" s="265">
        <v>2014</v>
      </c>
      <c r="J29" s="162">
        <v>2</v>
      </c>
      <c r="K29" s="329">
        <v>108</v>
      </c>
      <c r="L29" s="330">
        <v>253</v>
      </c>
      <c r="M29" s="156">
        <v>267</v>
      </c>
      <c r="N29" s="168">
        <v>183</v>
      </c>
      <c r="O29" s="162">
        <v>110</v>
      </c>
      <c r="P29" s="162">
        <v>71</v>
      </c>
      <c r="Q29" s="162">
        <v>47</v>
      </c>
      <c r="R29" s="161">
        <v>32</v>
      </c>
      <c r="S29" s="161">
        <v>22</v>
      </c>
      <c r="T29" s="161">
        <v>48</v>
      </c>
      <c r="U29" s="331">
        <v>43</v>
      </c>
      <c r="V29" s="270">
        <v>2013</v>
      </c>
      <c r="W29" s="312">
        <v>2</v>
      </c>
      <c r="X29" s="16">
        <f t="shared" si="13"/>
        <v>1076</v>
      </c>
      <c r="Y29" s="16">
        <v>526</v>
      </c>
      <c r="Z29" s="16">
        <f t="shared" si="10"/>
        <v>550</v>
      </c>
      <c r="AA29" s="313">
        <v>1.33</v>
      </c>
      <c r="AB29" s="16">
        <f t="shared" si="2"/>
        <v>413.53383458646613</v>
      </c>
      <c r="AC29" s="16">
        <f t="shared" si="11"/>
        <v>662.46616541353387</v>
      </c>
      <c r="AD29" s="16">
        <f t="shared" si="3"/>
        <v>331.23308270676694</v>
      </c>
      <c r="AE29" s="314">
        <v>61625</v>
      </c>
      <c r="AF29" s="315">
        <f t="shared" si="4"/>
        <v>5.3749790297244124E-3</v>
      </c>
      <c r="AG29" s="316">
        <f t="shared" si="14"/>
        <v>6.0542426315384357E-3</v>
      </c>
      <c r="AH29" s="317">
        <f t="shared" si="12"/>
        <v>0.42796634867590205</v>
      </c>
      <c r="AI29" s="318">
        <f t="shared" si="5"/>
        <v>0.48205064590741964</v>
      </c>
      <c r="AJ29" s="16">
        <f t="shared" si="6"/>
        <v>538</v>
      </c>
      <c r="AK29" s="305">
        <f t="shared" si="7"/>
        <v>0.342820730671198</v>
      </c>
      <c r="AL29" s="319">
        <f t="shared" ca="1" si="8"/>
        <v>1.0773316337369874</v>
      </c>
      <c r="AM29" s="320">
        <f t="shared" ca="1" si="9"/>
        <v>0.88068773879819373</v>
      </c>
      <c r="AO29" s="118"/>
      <c r="AZ29" s="332">
        <v>5.6</v>
      </c>
      <c r="BA29" s="12" t="s">
        <v>112</v>
      </c>
      <c r="BO29" s="118"/>
    </row>
    <row r="30" spans="2:67" ht="11.25" thickBot="1" x14ac:dyDescent="0.2">
      <c r="H30" s="174">
        <v>2014</v>
      </c>
      <c r="I30" s="333">
        <v>2015</v>
      </c>
      <c r="J30" s="176">
        <v>2</v>
      </c>
      <c r="K30" s="334">
        <v>113</v>
      </c>
      <c r="L30" s="335">
        <v>179</v>
      </c>
      <c r="M30" s="176">
        <v>135</v>
      </c>
      <c r="N30" s="176">
        <v>78</v>
      </c>
      <c r="O30" s="176">
        <v>50</v>
      </c>
      <c r="P30" s="176">
        <v>34</v>
      </c>
      <c r="Q30" s="176">
        <v>23</v>
      </c>
      <c r="R30" s="176">
        <v>16</v>
      </c>
      <c r="S30" s="176">
        <v>12</v>
      </c>
      <c r="T30" s="176">
        <v>43</v>
      </c>
      <c r="U30" s="336">
        <v>13</v>
      </c>
      <c r="V30" s="337">
        <v>2014</v>
      </c>
      <c r="W30" s="338">
        <v>1</v>
      </c>
      <c r="X30" s="20">
        <f t="shared" si="13"/>
        <v>583</v>
      </c>
      <c r="Y30" s="20">
        <v>300</v>
      </c>
      <c r="Z30" s="20">
        <f t="shared" si="10"/>
        <v>283</v>
      </c>
      <c r="AA30" s="339">
        <v>1.33</v>
      </c>
      <c r="AB30" s="20">
        <f t="shared" si="2"/>
        <v>212.78195488721803</v>
      </c>
      <c r="AC30" s="20">
        <f t="shared" si="11"/>
        <v>370.21804511278197</v>
      </c>
      <c r="AD30" s="20">
        <f t="shared" si="3"/>
        <v>370.21804511278197</v>
      </c>
      <c r="AE30" s="340">
        <v>61625</v>
      </c>
      <c r="AF30" s="341">
        <f t="shared" si="4"/>
        <v>6.0075950525400722E-3</v>
      </c>
      <c r="AG30" s="342">
        <f t="shared" si="14"/>
        <v>6.0542426315384357E-3</v>
      </c>
      <c r="AH30" s="343">
        <f t="shared" si="12"/>
        <v>0.4783364743826381</v>
      </c>
      <c r="AI30" s="344">
        <f t="shared" si="5"/>
        <v>0.48205064590741964</v>
      </c>
      <c r="AJ30" s="20">
        <f t="shared" si="6"/>
        <v>583</v>
      </c>
      <c r="AK30" s="345">
        <f t="shared" si="7"/>
        <v>0.37149532710280375</v>
      </c>
      <c r="AL30" s="346">
        <f t="shared" ca="1" si="8"/>
        <v>1.0943275971956661</v>
      </c>
      <c r="AM30" s="347">
        <f t="shared" ca="1" si="9"/>
        <v>0.89458145189301852</v>
      </c>
      <c r="AO30" s="118"/>
      <c r="BO30" s="118"/>
    </row>
    <row r="31" spans="2:67" ht="11.25" thickBot="1" x14ac:dyDescent="0.2">
      <c r="B31" s="12" t="s">
        <v>69</v>
      </c>
      <c r="H31" s="183">
        <v>2015</v>
      </c>
      <c r="I31" s="293">
        <v>2016</v>
      </c>
      <c r="J31" s="184">
        <v>1</v>
      </c>
      <c r="K31" s="185">
        <v>88</v>
      </c>
      <c r="L31" s="186">
        <v>230</v>
      </c>
      <c r="M31" s="184">
        <v>345</v>
      </c>
      <c r="N31" s="184">
        <v>415</v>
      </c>
      <c r="O31" s="184">
        <v>464</v>
      </c>
      <c r="P31" s="348">
        <v>499</v>
      </c>
      <c r="Q31" s="208">
        <v>432</v>
      </c>
      <c r="R31" s="184">
        <v>292</v>
      </c>
      <c r="S31" s="184">
        <v>180</v>
      </c>
      <c r="T31" s="184">
        <v>143</v>
      </c>
      <c r="U31" s="207">
        <v>111</v>
      </c>
      <c r="V31" s="298">
        <v>2015</v>
      </c>
      <c r="W31" s="299">
        <v>6</v>
      </c>
      <c r="X31" s="22">
        <f t="shared" si="13"/>
        <v>3111</v>
      </c>
      <c r="Y31" s="22">
        <v>1200</v>
      </c>
      <c r="Z31" s="22">
        <f t="shared" si="10"/>
        <v>1911</v>
      </c>
      <c r="AA31" s="300">
        <v>1.4</v>
      </c>
      <c r="AB31" s="22">
        <f t="shared" si="2"/>
        <v>1365</v>
      </c>
      <c r="AC31" s="22">
        <f t="shared" si="11"/>
        <v>1746</v>
      </c>
      <c r="AD31" s="22">
        <f t="shared" si="3"/>
        <v>291</v>
      </c>
      <c r="AE31" s="301">
        <v>53911.833333333336</v>
      </c>
      <c r="AF31" s="302">
        <f t="shared" si="4"/>
        <v>5.3977018032528414E-3</v>
      </c>
      <c r="AG31" s="303">
        <f t="shared" si="14"/>
        <v>6.0542426315384357E-3</v>
      </c>
      <c r="AH31" s="304">
        <f t="shared" si="12"/>
        <v>0.42977558037056962</v>
      </c>
      <c r="AI31" s="349">
        <f t="shared" si="5"/>
        <v>0.48205064590741964</v>
      </c>
      <c r="AJ31" s="22">
        <f t="shared" si="6"/>
        <v>518.5</v>
      </c>
      <c r="AK31" s="350">
        <f t="shared" si="7"/>
        <v>0.33039507221750214</v>
      </c>
      <c r="AL31" s="351">
        <f t="shared" ca="1" si="8"/>
        <v>1.0999575100913535</v>
      </c>
      <c r="AM31" s="352">
        <f t="shared" ca="1" si="9"/>
        <v>0.89918374435567927</v>
      </c>
      <c r="AO31" s="118"/>
      <c r="BO31" s="118"/>
    </row>
    <row r="32" spans="2:67" ht="11.25" thickBot="1" x14ac:dyDescent="0.2">
      <c r="H32" s="194">
        <v>2016</v>
      </c>
      <c r="I32" s="353">
        <v>2017</v>
      </c>
      <c r="J32" s="197">
        <v>1</v>
      </c>
      <c r="K32" s="198">
        <v>88</v>
      </c>
      <c r="L32" s="199">
        <v>233</v>
      </c>
      <c r="M32" s="197">
        <v>350</v>
      </c>
      <c r="N32" s="197">
        <v>421</v>
      </c>
      <c r="O32" s="354">
        <v>469</v>
      </c>
      <c r="P32" s="355">
        <v>411</v>
      </c>
      <c r="Q32" s="200">
        <v>278</v>
      </c>
      <c r="R32" s="197">
        <v>171</v>
      </c>
      <c r="S32" s="197">
        <v>111</v>
      </c>
      <c r="T32" s="197">
        <v>100</v>
      </c>
      <c r="U32" s="356">
        <v>83</v>
      </c>
      <c r="V32" s="357">
        <v>2016</v>
      </c>
      <c r="W32" s="358">
        <v>5</v>
      </c>
      <c r="X32" s="359">
        <f t="shared" si="13"/>
        <v>2627</v>
      </c>
      <c r="Y32" s="359">
        <v>1183</v>
      </c>
      <c r="Z32" s="359">
        <f t="shared" si="10"/>
        <v>1444</v>
      </c>
      <c r="AA32" s="360">
        <v>1.4</v>
      </c>
      <c r="AB32" s="359">
        <f t="shared" si="2"/>
        <v>1031.4285714285716</v>
      </c>
      <c r="AC32" s="359">
        <f t="shared" si="11"/>
        <v>1595.5714285714284</v>
      </c>
      <c r="AD32" s="359">
        <f t="shared" si="3"/>
        <v>319.1142857142857</v>
      </c>
      <c r="AE32" s="361">
        <v>52709.2</v>
      </c>
      <c r="AF32" s="362">
        <f t="shared" si="4"/>
        <v>6.0542426315384357E-3</v>
      </c>
      <c r="AG32" s="363">
        <f t="shared" ref="AG32:AG37" si="15">AF32</f>
        <v>6.0542426315384357E-3</v>
      </c>
      <c r="AH32" s="364">
        <f>AF32/AF$25</f>
        <v>0.48205064590741964</v>
      </c>
      <c r="AI32" s="365">
        <f t="shared" si="5"/>
        <v>0.48205064590741964</v>
      </c>
      <c r="AJ32" s="359">
        <f t="shared" si="6"/>
        <v>525.4</v>
      </c>
      <c r="AK32" s="366">
        <f t="shared" si="7"/>
        <v>0.33479184367034837</v>
      </c>
      <c r="AL32" s="367">
        <f t="shared" ca="1" si="8"/>
        <v>1.1072870193329085</v>
      </c>
      <c r="AM32" s="368">
        <f t="shared" ca="1" si="9"/>
        <v>0.90517540812782227</v>
      </c>
      <c r="AO32" s="118"/>
      <c r="BO32" s="118"/>
    </row>
    <row r="33" spans="2:67" ht="11.25" thickBot="1" x14ac:dyDescent="0.2">
      <c r="B33" s="219">
        <v>380000</v>
      </c>
      <c r="C33" s="12" t="s">
        <v>75</v>
      </c>
      <c r="H33" s="183">
        <v>2017</v>
      </c>
      <c r="I33" s="293">
        <v>2018</v>
      </c>
      <c r="J33" s="184">
        <v>2</v>
      </c>
      <c r="K33" s="185">
        <v>48</v>
      </c>
      <c r="L33" s="186">
        <v>133</v>
      </c>
      <c r="M33" s="184">
        <v>204</v>
      </c>
      <c r="N33" s="348">
        <v>247</v>
      </c>
      <c r="O33" s="208">
        <v>229</v>
      </c>
      <c r="P33" s="184">
        <v>161</v>
      </c>
      <c r="Q33" s="184">
        <v>103</v>
      </c>
      <c r="R33" s="184">
        <v>72</v>
      </c>
      <c r="S33" s="184">
        <v>54</v>
      </c>
      <c r="T33" s="184">
        <v>53</v>
      </c>
      <c r="U33" s="207">
        <v>49</v>
      </c>
      <c r="V33" s="369">
        <v>2017</v>
      </c>
      <c r="W33" s="299">
        <v>4</v>
      </c>
      <c r="X33" s="22">
        <f t="shared" si="13"/>
        <v>1305</v>
      </c>
      <c r="Y33" s="22">
        <v>519</v>
      </c>
      <c r="Z33" s="22">
        <f t="shared" si="10"/>
        <v>786</v>
      </c>
      <c r="AA33" s="300">
        <v>1.4</v>
      </c>
      <c r="AB33" s="22">
        <f t="shared" si="2"/>
        <v>561.42857142857144</v>
      </c>
      <c r="AC33" s="22">
        <f t="shared" si="11"/>
        <v>743.57142857142856</v>
      </c>
      <c r="AD33" s="22">
        <f t="shared" si="3"/>
        <v>185.89285714285714</v>
      </c>
      <c r="AE33" s="301">
        <v>51501.5</v>
      </c>
      <c r="AF33" s="370">
        <f t="shared" si="4"/>
        <v>3.6094649115629087E-3</v>
      </c>
      <c r="AG33" s="371">
        <f t="shared" si="15"/>
        <v>3.6094649115629087E-3</v>
      </c>
      <c r="AH33" s="304">
        <f t="shared" si="12"/>
        <v>0.28739265964253768</v>
      </c>
      <c r="AI33" s="304">
        <f t="shared" si="5"/>
        <v>0.28739265964253768</v>
      </c>
      <c r="AJ33" s="22">
        <f t="shared" si="6"/>
        <v>326.25</v>
      </c>
      <c r="AK33" s="350">
        <f t="shared" si="7"/>
        <v>0.20789082412914189</v>
      </c>
      <c r="AL33" s="351">
        <f t="shared" ca="1" si="8"/>
        <v>1.1256639048226047</v>
      </c>
      <c r="AM33" s="352">
        <f t="shared" ca="1" si="9"/>
        <v>0.92019798541160136</v>
      </c>
      <c r="AO33" s="118"/>
      <c r="BO33" s="118"/>
    </row>
    <row r="34" spans="2:67" ht="11.25" thickBot="1" x14ac:dyDescent="0.2">
      <c r="B34" s="219">
        <f>B33*3</f>
        <v>1140000</v>
      </c>
      <c r="C34" s="12" t="s">
        <v>83</v>
      </c>
      <c r="H34" s="165">
        <v>2018</v>
      </c>
      <c r="I34" s="265">
        <v>2019</v>
      </c>
      <c r="J34" s="212">
        <v>3</v>
      </c>
      <c r="K34" s="213">
        <v>46</v>
      </c>
      <c r="L34" s="214">
        <v>127</v>
      </c>
      <c r="M34" s="226">
        <v>195</v>
      </c>
      <c r="N34" s="208">
        <v>192</v>
      </c>
      <c r="O34" s="212">
        <v>135</v>
      </c>
      <c r="P34" s="212">
        <v>85</v>
      </c>
      <c r="Q34" s="212">
        <v>58</v>
      </c>
      <c r="R34" s="212">
        <v>42</v>
      </c>
      <c r="S34" s="212">
        <v>33</v>
      </c>
      <c r="T34" s="212">
        <v>38</v>
      </c>
      <c r="U34" s="215">
        <v>37</v>
      </c>
      <c r="V34" s="372">
        <v>2018</v>
      </c>
      <c r="W34" s="312">
        <v>3</v>
      </c>
      <c r="X34" s="16">
        <f t="shared" si="13"/>
        <v>942</v>
      </c>
      <c r="Y34" s="16">
        <v>332</v>
      </c>
      <c r="Z34" s="16">
        <f t="shared" si="10"/>
        <v>610</v>
      </c>
      <c r="AA34" s="313">
        <v>1.4</v>
      </c>
      <c r="AB34" s="16">
        <f t="shared" si="2"/>
        <v>435.71428571428572</v>
      </c>
      <c r="AC34" s="16">
        <f t="shared" si="11"/>
        <v>506.28571428571428</v>
      </c>
      <c r="AD34" s="16">
        <f t="shared" si="3"/>
        <v>168.76190476190476</v>
      </c>
      <c r="AE34" s="314">
        <v>50270.333333333336</v>
      </c>
      <c r="AF34" s="373">
        <f t="shared" si="4"/>
        <v>3.35708744246583E-3</v>
      </c>
      <c r="AG34" s="374">
        <f t="shared" si="15"/>
        <v>3.35708744246583E-3</v>
      </c>
      <c r="AH34" s="317">
        <f t="shared" si="12"/>
        <v>0.2672978716740198</v>
      </c>
      <c r="AI34" s="317">
        <f t="shared" si="5"/>
        <v>0.2672978716740198</v>
      </c>
      <c r="AJ34" s="16">
        <f t="shared" si="6"/>
        <v>314</v>
      </c>
      <c r="AK34" s="305">
        <f t="shared" si="7"/>
        <v>0.20008496176720478</v>
      </c>
      <c r="AL34" s="375">
        <f t="shared" ca="1" si="8"/>
        <v>1.1513702995538559</v>
      </c>
      <c r="AM34" s="376">
        <f t="shared" ca="1" si="9"/>
        <v>0.94121222646752345</v>
      </c>
      <c r="AO34" s="118"/>
      <c r="BO34" s="118"/>
    </row>
    <row r="35" spans="2:67" ht="11.25" thickBot="1" x14ac:dyDescent="0.2">
      <c r="B35" s="219">
        <v>308329399</v>
      </c>
      <c r="C35" s="12" t="s">
        <v>101</v>
      </c>
      <c r="H35" s="174">
        <v>2019</v>
      </c>
      <c r="I35" s="377">
        <v>2020</v>
      </c>
      <c r="J35" s="223">
        <v>2</v>
      </c>
      <c r="K35" s="224">
        <v>37</v>
      </c>
      <c r="L35" s="378">
        <v>104</v>
      </c>
      <c r="M35" s="379">
        <v>126</v>
      </c>
      <c r="N35" s="223">
        <v>91</v>
      </c>
      <c r="O35" s="223">
        <v>57</v>
      </c>
      <c r="P35" s="223">
        <v>39</v>
      </c>
      <c r="Q35" s="223">
        <v>28</v>
      </c>
      <c r="R35" s="223">
        <v>22</v>
      </c>
      <c r="S35" s="223">
        <v>19</v>
      </c>
      <c r="T35" s="223">
        <v>24</v>
      </c>
      <c r="U35" s="226">
        <v>24</v>
      </c>
      <c r="V35" s="380">
        <v>2019</v>
      </c>
      <c r="W35" s="338">
        <v>2</v>
      </c>
      <c r="X35" s="20">
        <f t="shared" si="13"/>
        <v>534</v>
      </c>
      <c r="Y35" s="20">
        <v>133</v>
      </c>
      <c r="Z35" s="20">
        <f t="shared" si="10"/>
        <v>401</v>
      </c>
      <c r="AA35" s="339">
        <v>1.4</v>
      </c>
      <c r="AB35" s="20">
        <f t="shared" si="2"/>
        <v>286.42857142857144</v>
      </c>
      <c r="AC35" s="20">
        <f t="shared" si="11"/>
        <v>247.57142857142856</v>
      </c>
      <c r="AD35" s="20">
        <f t="shared" si="3"/>
        <v>123.78571428571428</v>
      </c>
      <c r="AE35" s="340">
        <v>48960.5</v>
      </c>
      <c r="AF35" s="381">
        <f t="shared" si="4"/>
        <v>2.5282771680377914E-3</v>
      </c>
      <c r="AG35" s="382">
        <f t="shared" si="15"/>
        <v>2.5282771680377914E-3</v>
      </c>
      <c r="AH35" s="343">
        <f t="shared" si="12"/>
        <v>0.20130637572017859</v>
      </c>
      <c r="AI35" s="343">
        <f t="shared" si="5"/>
        <v>0.20130637572017859</v>
      </c>
      <c r="AJ35" s="20">
        <f t="shared" si="6"/>
        <v>267</v>
      </c>
      <c r="AK35" s="345">
        <f t="shared" si="7"/>
        <v>0.17013593882752762</v>
      </c>
      <c r="AL35" s="383">
        <f t="shared" ca="1" si="8"/>
        <v>1.1715530061610366</v>
      </c>
      <c r="AM35" s="384">
        <f t="shared" ca="1" si="9"/>
        <v>0.95771101076762755</v>
      </c>
      <c r="AO35" s="118"/>
      <c r="BO35" s="118"/>
    </row>
    <row r="36" spans="2:67" ht="11.25" thickBot="1" x14ac:dyDescent="0.2">
      <c r="B36" s="219">
        <v>334735155</v>
      </c>
      <c r="C36" s="12" t="s">
        <v>104</v>
      </c>
      <c r="H36" s="233">
        <v>2020</v>
      </c>
      <c r="I36" s="385">
        <v>2021</v>
      </c>
      <c r="J36" s="236">
        <v>3</v>
      </c>
      <c r="K36" s="237">
        <v>31</v>
      </c>
      <c r="L36" s="386">
        <v>94</v>
      </c>
      <c r="M36" s="241">
        <v>160</v>
      </c>
      <c r="N36" s="236">
        <v>206</v>
      </c>
      <c r="O36" s="236">
        <v>238</v>
      </c>
      <c r="P36" s="236">
        <v>262</v>
      </c>
      <c r="Q36" s="236">
        <v>283</v>
      </c>
      <c r="R36" s="387">
        <v>300</v>
      </c>
      <c r="S36" s="241">
        <v>282</v>
      </c>
      <c r="T36" s="236">
        <v>223</v>
      </c>
      <c r="U36" s="387">
        <v>160</v>
      </c>
      <c r="V36" s="388">
        <v>2020</v>
      </c>
      <c r="W36" s="389">
        <v>8</v>
      </c>
      <c r="X36" s="390">
        <f t="shared" si="13"/>
        <v>2208</v>
      </c>
      <c r="Y36" s="390">
        <v>394</v>
      </c>
      <c r="Z36" s="390">
        <f t="shared" si="10"/>
        <v>1814</v>
      </c>
      <c r="AA36" s="391">
        <v>1.4</v>
      </c>
      <c r="AB36" s="390">
        <f t="shared" si="2"/>
        <v>1295.7142857142858</v>
      </c>
      <c r="AC36" s="390">
        <f t="shared" si="11"/>
        <v>912.28571428571422</v>
      </c>
      <c r="AD36" s="390">
        <f t="shared" si="3"/>
        <v>114.03571428571428</v>
      </c>
      <c r="AE36" s="392">
        <v>47296</v>
      </c>
      <c r="AF36" s="393">
        <f t="shared" si="4"/>
        <v>2.4111069495457182E-3</v>
      </c>
      <c r="AG36" s="394">
        <f t="shared" si="15"/>
        <v>2.4111069495457182E-3</v>
      </c>
      <c r="AH36" s="395">
        <f t="shared" si="12"/>
        <v>0.19197705363272458</v>
      </c>
      <c r="AI36" s="395">
        <f t="shared" si="5"/>
        <v>0.19197705363272458</v>
      </c>
      <c r="AJ36" s="390">
        <f t="shared" si="6"/>
        <v>276</v>
      </c>
      <c r="AK36" s="396">
        <f t="shared" si="7"/>
        <v>0.17587085811384878</v>
      </c>
      <c r="AL36" s="397">
        <f t="shared" ca="1" si="8"/>
        <v>1.1971531761206713</v>
      </c>
      <c r="AM36" s="398">
        <f t="shared" ca="1" si="9"/>
        <v>0.97863841611670721</v>
      </c>
      <c r="AO36" s="118"/>
      <c r="BO36" s="118"/>
    </row>
    <row r="37" spans="2:67" ht="11.25" thickBot="1" x14ac:dyDescent="0.2">
      <c r="B37" s="399">
        <f>B36/B35</f>
        <v>1.0856413825137705</v>
      </c>
      <c r="C37" s="12" t="s">
        <v>113</v>
      </c>
      <c r="H37" s="183">
        <v>2021</v>
      </c>
      <c r="I37" s="400">
        <v>2022</v>
      </c>
      <c r="J37" s="245">
        <v>3</v>
      </c>
      <c r="K37" s="401">
        <v>21</v>
      </c>
      <c r="L37" s="244">
        <v>66</v>
      </c>
      <c r="M37" s="402">
        <v>115</v>
      </c>
      <c r="N37" s="245">
        <v>151</v>
      </c>
      <c r="O37" s="245">
        <v>175</v>
      </c>
      <c r="P37" s="245">
        <v>191</v>
      </c>
      <c r="Q37" s="245">
        <v>203</v>
      </c>
      <c r="R37" s="246">
        <v>190</v>
      </c>
      <c r="S37" s="402">
        <v>80</v>
      </c>
      <c r="T37" s="245">
        <v>12</v>
      </c>
      <c r="U37" s="246"/>
      <c r="V37" s="298">
        <v>2021</v>
      </c>
      <c r="W37" s="299">
        <v>7</v>
      </c>
      <c r="X37" s="22">
        <f>SUM(L37:U37)</f>
        <v>1183</v>
      </c>
      <c r="Y37" s="22">
        <v>518</v>
      </c>
      <c r="Z37" s="22">
        <f t="shared" si="10"/>
        <v>665</v>
      </c>
      <c r="AA37" s="300">
        <v>1.4</v>
      </c>
      <c r="AB37" s="22">
        <f>Z37/AA37</f>
        <v>475.00000000000006</v>
      </c>
      <c r="AC37" s="22">
        <f>X37-AB37</f>
        <v>708</v>
      </c>
      <c r="AD37" s="22">
        <f>AC37/W37</f>
        <v>101.14285714285714</v>
      </c>
      <c r="AE37" s="301">
        <v>46635.200000000004</v>
      </c>
      <c r="AF37" s="370">
        <f t="shared" si="4"/>
        <v>2.1688093359277356E-3</v>
      </c>
      <c r="AG37" s="371">
        <f t="shared" si="15"/>
        <v>2.1688093359277356E-3</v>
      </c>
      <c r="AH37" s="304">
        <f t="shared" si="12"/>
        <v>0.17268484348278296</v>
      </c>
      <c r="AI37" s="304">
        <f t="shared" si="5"/>
        <v>0.17268484348278296</v>
      </c>
      <c r="AJ37" s="22">
        <f t="shared" si="6"/>
        <v>169</v>
      </c>
      <c r="AK37" s="350">
        <f t="shared" si="7"/>
        <v>0.10768903993203059</v>
      </c>
      <c r="AL37" s="351">
        <f t="shared" ca="1" si="8"/>
        <v>1.2232844699383896</v>
      </c>
      <c r="AM37" s="352">
        <f t="shared" ca="1" si="9"/>
        <v>1</v>
      </c>
      <c r="AO37" s="118"/>
      <c r="BO37" s="118"/>
    </row>
    <row r="38" spans="2:67" x14ac:dyDescent="0.15">
      <c r="B38" s="219">
        <f>B37*B34</f>
        <v>1237631.1760656985</v>
      </c>
      <c r="C38" s="12" t="s">
        <v>107</v>
      </c>
      <c r="H38" s="251"/>
      <c r="I38" s="252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403"/>
      <c r="W38" s="404"/>
      <c r="X38" s="405"/>
      <c r="Y38" s="405"/>
      <c r="Z38" s="405"/>
      <c r="AA38" s="406"/>
      <c r="AB38" s="405"/>
      <c r="AC38" s="405"/>
      <c r="AD38" s="405"/>
      <c r="AE38" s="407"/>
      <c r="AF38" s="408"/>
      <c r="AG38" s="409"/>
      <c r="BO38" s="118" t="s">
        <v>1</v>
      </c>
    </row>
    <row r="39" spans="2:67" x14ac:dyDescent="0.15">
      <c r="B39" s="328">
        <f>B29</f>
        <v>2.1688093359277356E-3</v>
      </c>
      <c r="C39" s="12" t="s">
        <v>68</v>
      </c>
      <c r="H39" s="251"/>
      <c r="I39" s="252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403"/>
      <c r="W39" s="404"/>
      <c r="X39" s="405"/>
      <c r="Y39" s="405"/>
      <c r="Z39" s="405"/>
      <c r="AG39" s="410" t="s">
        <v>177</v>
      </c>
      <c r="AH39" s="411"/>
      <c r="AI39" s="411"/>
      <c r="AJ39" s="412"/>
      <c r="AK39" s="413"/>
      <c r="AL39" s="414"/>
      <c r="AM39" s="414"/>
      <c r="AN39" s="411"/>
      <c r="AO39" s="411"/>
      <c r="AP39" s="411"/>
      <c r="AQ39" s="415"/>
      <c r="AR39" s="411"/>
      <c r="AS39" s="411"/>
      <c r="AT39" s="414"/>
      <c r="AU39" s="414"/>
      <c r="AV39" s="416"/>
      <c r="AW39" s="417"/>
      <c r="AX39" s="415"/>
      <c r="AY39" s="411"/>
      <c r="AZ39" s="411"/>
      <c r="BA39" s="411"/>
      <c r="BB39" s="411"/>
      <c r="BC39" s="411"/>
      <c r="BD39" s="418"/>
    </row>
    <row r="40" spans="2:67" x14ac:dyDescent="0.15">
      <c r="B40" s="219">
        <f>B38*B39</f>
        <v>2684.1860490865101</v>
      </c>
      <c r="C40" s="12" t="s">
        <v>110</v>
      </c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403"/>
      <c r="W40" s="404"/>
      <c r="X40" s="405"/>
      <c r="Y40" s="405"/>
      <c r="Z40" s="405"/>
      <c r="AG40" s="410" t="s">
        <v>178</v>
      </c>
      <c r="AH40" s="419"/>
      <c r="AI40" s="419"/>
      <c r="AJ40" s="419"/>
      <c r="AK40" s="419"/>
      <c r="AL40" s="419"/>
      <c r="AM40" s="419"/>
      <c r="AN40" s="419"/>
      <c r="AO40" s="419"/>
      <c r="AP40" s="419"/>
      <c r="AQ40" s="419"/>
      <c r="AR40" s="419"/>
      <c r="AS40" s="419"/>
      <c r="AT40" s="419"/>
      <c r="AU40" s="419"/>
      <c r="AV40" s="419"/>
      <c r="AW40" s="419"/>
      <c r="AX40" s="419"/>
      <c r="AY40" s="419"/>
      <c r="AZ40" s="419"/>
      <c r="BA40" s="419"/>
      <c r="BB40" s="419"/>
      <c r="BC40" s="419"/>
      <c r="BD40" s="420"/>
      <c r="BO40" s="12" t="s">
        <v>27</v>
      </c>
    </row>
    <row r="41" spans="2:67" x14ac:dyDescent="0.15">
      <c r="H41" s="118"/>
      <c r="I41" s="118"/>
      <c r="L41" s="254"/>
      <c r="M41" s="12" t="s">
        <v>138</v>
      </c>
      <c r="O41" s="118"/>
      <c r="P41" s="118"/>
      <c r="W41" s="12" t="s">
        <v>181</v>
      </c>
      <c r="AG41" s="410" t="s">
        <v>179</v>
      </c>
      <c r="AH41" s="419"/>
      <c r="AI41" s="419"/>
      <c r="AJ41" s="419"/>
      <c r="AK41" s="419"/>
      <c r="AL41" s="419"/>
      <c r="AM41" s="419"/>
      <c r="AN41" s="419"/>
      <c r="AO41" s="419"/>
      <c r="AP41" s="419"/>
      <c r="AQ41" s="419"/>
      <c r="AR41" s="419"/>
      <c r="AS41" s="419"/>
      <c r="AT41" s="419"/>
      <c r="AU41" s="419"/>
      <c r="AV41" s="419"/>
      <c r="AW41" s="419"/>
      <c r="AX41" s="419"/>
      <c r="AY41" s="419"/>
      <c r="AZ41" s="421"/>
      <c r="BA41" s="419"/>
      <c r="BB41" s="419"/>
      <c r="BC41" s="419"/>
      <c r="BD41" s="420"/>
      <c r="BO41" s="12" t="s">
        <v>30</v>
      </c>
    </row>
    <row r="42" spans="2:67" x14ac:dyDescent="0.15">
      <c r="B42" s="12" t="s">
        <v>261</v>
      </c>
      <c r="C42" s="12" t="s">
        <v>260</v>
      </c>
      <c r="K42" s="252"/>
      <c r="L42" s="253"/>
      <c r="O42" s="118"/>
      <c r="P42" s="118"/>
      <c r="AB42" s="117" t="s">
        <v>140</v>
      </c>
      <c r="AC42" s="117" t="s">
        <v>140</v>
      </c>
      <c r="AD42" s="12" t="s">
        <v>141</v>
      </c>
      <c r="AG42" s="422" t="s">
        <v>180</v>
      </c>
      <c r="AH42" s="423"/>
      <c r="AI42" s="423"/>
      <c r="AJ42" s="423"/>
      <c r="AK42" s="423"/>
      <c r="AL42" s="424"/>
      <c r="AM42" s="424"/>
      <c r="AN42" s="424"/>
      <c r="AO42" s="424"/>
      <c r="AP42" s="423"/>
      <c r="AQ42" s="423"/>
      <c r="AR42" s="423"/>
      <c r="AS42" s="423"/>
      <c r="AT42" s="423"/>
      <c r="AU42" s="423"/>
      <c r="AV42" s="423"/>
      <c r="AW42" s="423"/>
      <c r="AX42" s="423"/>
      <c r="AY42" s="423"/>
      <c r="AZ42" s="423"/>
      <c r="BA42" s="423"/>
      <c r="BB42" s="424"/>
      <c r="BC42" s="424"/>
      <c r="BD42" s="425"/>
      <c r="BO42" s="12" t="s">
        <v>33</v>
      </c>
    </row>
    <row r="43" spans="2:67" x14ac:dyDescent="0.15">
      <c r="B43" s="219">
        <v>1200000</v>
      </c>
      <c r="C43" s="12" t="s">
        <v>262</v>
      </c>
      <c r="I43" s="12" t="s">
        <v>120</v>
      </c>
      <c r="K43" s="117">
        <v>7</v>
      </c>
      <c r="L43" s="253"/>
      <c r="M43" s="117" t="s">
        <v>143</v>
      </c>
      <c r="S43" s="25" t="s">
        <v>144</v>
      </c>
      <c r="T43" s="117" t="s">
        <v>143</v>
      </c>
      <c r="U43" s="12" t="s">
        <v>93</v>
      </c>
      <c r="X43" s="12" t="s">
        <v>145</v>
      </c>
      <c r="AB43" s="117" t="s">
        <v>146</v>
      </c>
      <c r="AC43" s="117" t="s">
        <v>146</v>
      </c>
      <c r="AD43" s="25" t="s">
        <v>98</v>
      </c>
      <c r="AJ43" s="117" t="s">
        <v>147</v>
      </c>
      <c r="AK43" s="117" t="s">
        <v>147</v>
      </c>
      <c r="AL43" s="117" t="s">
        <v>148</v>
      </c>
      <c r="AM43" s="118"/>
      <c r="AZ43" s="118"/>
      <c r="BA43" s="118"/>
      <c r="BO43" s="12" t="s">
        <v>36</v>
      </c>
    </row>
    <row r="44" spans="2:67" x14ac:dyDescent="0.15">
      <c r="I44" s="127" t="s">
        <v>11</v>
      </c>
      <c r="J44" s="128" t="s">
        <v>12</v>
      </c>
      <c r="K44" s="426" t="s">
        <v>98</v>
      </c>
      <c r="L44" s="253"/>
      <c r="M44" s="126" t="s">
        <v>85</v>
      </c>
      <c r="N44" s="126" t="s">
        <v>150</v>
      </c>
      <c r="O44" s="14" t="s">
        <v>151</v>
      </c>
      <c r="P44" s="15" t="s">
        <v>152</v>
      </c>
      <c r="Q44" s="15" t="s">
        <v>153</v>
      </c>
      <c r="R44" s="14" t="s">
        <v>144</v>
      </c>
      <c r="S44" s="14" t="s">
        <v>93</v>
      </c>
      <c r="T44" s="126" t="s">
        <v>85</v>
      </c>
      <c r="U44" s="117" t="s">
        <v>151</v>
      </c>
      <c r="W44" s="126" t="s">
        <v>154</v>
      </c>
      <c r="X44" s="427" t="s">
        <v>155</v>
      </c>
      <c r="Y44" s="428" t="s">
        <v>156</v>
      </c>
      <c r="Z44" s="429" t="s">
        <v>157</v>
      </c>
      <c r="AA44" s="430" t="s">
        <v>158</v>
      </c>
      <c r="AB44" s="126" t="s">
        <v>159</v>
      </c>
      <c r="AC44" s="126" t="s">
        <v>148</v>
      </c>
      <c r="AD44" s="126" t="s">
        <v>148</v>
      </c>
      <c r="AE44" s="126" t="s">
        <v>154</v>
      </c>
      <c r="AF44" s="427" t="s">
        <v>155</v>
      </c>
      <c r="AG44" s="428" t="s">
        <v>156</v>
      </c>
      <c r="AH44" s="429" t="s">
        <v>157</v>
      </c>
      <c r="AI44" s="430" t="s">
        <v>158</v>
      </c>
      <c r="AJ44" s="126" t="s">
        <v>159</v>
      </c>
      <c r="AK44" s="126" t="s">
        <v>148</v>
      </c>
      <c r="AL44" s="126" t="s">
        <v>98</v>
      </c>
      <c r="AM44" s="118"/>
      <c r="AN44" s="12" t="s">
        <v>160</v>
      </c>
      <c r="AP44" s="118"/>
      <c r="AQ44" s="118"/>
      <c r="AR44" s="118"/>
      <c r="AS44" s="118"/>
      <c r="AZ44" s="118"/>
      <c r="BA44" s="118"/>
      <c r="BO44" s="12" t="s">
        <v>39</v>
      </c>
    </row>
    <row r="45" spans="2:67" ht="11.25" thickBot="1" x14ac:dyDescent="0.2">
      <c r="B45" s="431"/>
      <c r="I45" s="137">
        <v>2008</v>
      </c>
      <c r="J45" s="137">
        <v>2009</v>
      </c>
      <c r="K45" s="292">
        <f t="shared" ref="K45:K58" ca="1" si="16">OFFSET($AE45,0,$K$43)</f>
        <v>1</v>
      </c>
      <c r="L45" s="432"/>
      <c r="M45" s="433">
        <v>2008</v>
      </c>
      <c r="N45" s="434">
        <v>0.85</v>
      </c>
      <c r="O45" s="286">
        <v>27500</v>
      </c>
      <c r="P45" s="435">
        <v>1.33</v>
      </c>
      <c r="Q45" s="286">
        <f t="shared" ref="Q45:Q58" si="17">100000-O45</f>
        <v>72500</v>
      </c>
      <c r="R45" s="286">
        <f t="shared" ref="R45:R58" si="18">Q45*N45</f>
        <v>61625</v>
      </c>
      <c r="S45" s="286">
        <f t="shared" ref="S45:S51" si="19">R45</f>
        <v>61625</v>
      </c>
      <c r="T45" s="433">
        <v>2008</v>
      </c>
      <c r="U45" s="286">
        <v>27500</v>
      </c>
      <c r="V45" s="147"/>
      <c r="W45" s="436">
        <v>2008</v>
      </c>
      <c r="X45" s="437">
        <v>1.3319295316952233</v>
      </c>
      <c r="Y45" s="437">
        <v>1.3606037003063329</v>
      </c>
      <c r="Z45" s="437">
        <v>1.3757667806536422</v>
      </c>
      <c r="AA45" s="437">
        <v>1.3398889753884715</v>
      </c>
      <c r="AB45" s="438">
        <v>14712.825000000001</v>
      </c>
      <c r="AC45" s="438">
        <v>14743.325000000001</v>
      </c>
      <c r="AD45" s="439">
        <v>0.94140000000000001</v>
      </c>
      <c r="AE45" s="440">
        <v>2008</v>
      </c>
      <c r="AF45" s="441">
        <f t="shared" ref="AF45:AL58" si="20">X45/X$45</f>
        <v>1</v>
      </c>
      <c r="AG45" s="441">
        <f t="shared" si="20"/>
        <v>1</v>
      </c>
      <c r="AH45" s="441">
        <f t="shared" si="20"/>
        <v>1</v>
      </c>
      <c r="AI45" s="441">
        <f t="shared" si="20"/>
        <v>1</v>
      </c>
      <c r="AJ45" s="441">
        <f t="shared" si="20"/>
        <v>1</v>
      </c>
      <c r="AK45" s="441">
        <f t="shared" si="20"/>
        <v>1</v>
      </c>
      <c r="AL45" s="442">
        <f t="shared" si="20"/>
        <v>1</v>
      </c>
      <c r="AM45" s="118"/>
      <c r="AN45" s="118" t="s">
        <v>162</v>
      </c>
      <c r="AO45" s="118"/>
      <c r="AP45" s="118"/>
      <c r="AQ45" s="118"/>
      <c r="AR45" s="118"/>
      <c r="AS45" s="118"/>
      <c r="AZ45" s="118"/>
      <c r="BA45" s="118"/>
      <c r="BO45" s="12" t="s">
        <v>42</v>
      </c>
    </row>
    <row r="46" spans="2:67" x14ac:dyDescent="0.15">
      <c r="B46" s="443" t="s">
        <v>182</v>
      </c>
      <c r="I46" s="151">
        <v>2009</v>
      </c>
      <c r="J46" s="151">
        <v>2010</v>
      </c>
      <c r="K46" s="307">
        <f t="shared" ca="1" si="16"/>
        <v>0.9998937752283833</v>
      </c>
      <c r="L46" s="253"/>
      <c r="M46" s="444">
        <v>2009</v>
      </c>
      <c r="N46" s="445">
        <v>0.85</v>
      </c>
      <c r="O46" s="301">
        <v>27500</v>
      </c>
      <c r="P46" s="446">
        <v>1.33</v>
      </c>
      <c r="Q46" s="301">
        <f t="shared" si="17"/>
        <v>72500</v>
      </c>
      <c r="R46" s="301">
        <f t="shared" si="18"/>
        <v>61625</v>
      </c>
      <c r="S46" s="301">
        <f t="shared" si="19"/>
        <v>61625</v>
      </c>
      <c r="T46" s="444">
        <v>2009</v>
      </c>
      <c r="U46" s="301">
        <v>27500</v>
      </c>
      <c r="W46" s="447">
        <v>2009</v>
      </c>
      <c r="X46" s="448">
        <v>1.4094078736547715</v>
      </c>
      <c r="Y46" s="448">
        <v>1.435796359298273</v>
      </c>
      <c r="Z46" s="448">
        <v>1.4501385633446442</v>
      </c>
      <c r="AA46" s="448">
        <v>1.392740853338664</v>
      </c>
      <c r="AB46" s="449">
        <v>14448.924999999999</v>
      </c>
      <c r="AC46" s="449">
        <v>14431.8</v>
      </c>
      <c r="AD46" s="450">
        <v>0.94130000000000003</v>
      </c>
      <c r="AE46" s="451">
        <v>2009</v>
      </c>
      <c r="AF46" s="448">
        <f t="shared" si="20"/>
        <v>1.058170000826498</v>
      </c>
      <c r="AG46" s="448">
        <f t="shared" si="20"/>
        <v>1.055264188223956</v>
      </c>
      <c r="AH46" s="448">
        <f t="shared" si="20"/>
        <v>1.0540584230821937</v>
      </c>
      <c r="AI46" s="448">
        <f t="shared" si="20"/>
        <v>1.0394449681436249</v>
      </c>
      <c r="AJ46" s="448">
        <f t="shared" si="20"/>
        <v>0.98206326793120957</v>
      </c>
      <c r="AK46" s="448">
        <f t="shared" si="20"/>
        <v>0.97887009884134002</v>
      </c>
      <c r="AL46" s="452">
        <f t="shared" si="20"/>
        <v>0.9998937752283833</v>
      </c>
      <c r="AN46" s="118" t="s">
        <v>164</v>
      </c>
      <c r="AO46" s="118"/>
      <c r="AP46" s="118"/>
      <c r="AQ46" s="118"/>
      <c r="AR46" s="118"/>
      <c r="AS46" s="118"/>
      <c r="AZ46" s="118"/>
      <c r="BA46" s="118"/>
      <c r="BO46" s="12" t="s">
        <v>45</v>
      </c>
    </row>
    <row r="47" spans="2:67" x14ac:dyDescent="0.15">
      <c r="B47" s="443" t="s">
        <v>207</v>
      </c>
      <c r="C47" s="443"/>
      <c r="D47" s="443"/>
      <c r="I47" s="128">
        <v>2010</v>
      </c>
      <c r="J47" s="128">
        <v>2011</v>
      </c>
      <c r="K47" s="320">
        <f t="shared" ca="1" si="16"/>
        <v>1.0177395368599957</v>
      </c>
      <c r="L47" s="253"/>
      <c r="M47" s="126">
        <v>2010</v>
      </c>
      <c r="N47" s="453">
        <v>0.85</v>
      </c>
      <c r="O47" s="314">
        <v>27500</v>
      </c>
      <c r="P47" s="454">
        <v>1.33</v>
      </c>
      <c r="Q47" s="314">
        <f t="shared" si="17"/>
        <v>72500</v>
      </c>
      <c r="R47" s="314">
        <f t="shared" si="18"/>
        <v>61625</v>
      </c>
      <c r="S47" s="314">
        <f t="shared" si="19"/>
        <v>61625</v>
      </c>
      <c r="T47" s="126">
        <v>2010</v>
      </c>
      <c r="U47" s="314">
        <v>27500</v>
      </c>
      <c r="W47" s="455">
        <v>2010</v>
      </c>
      <c r="X47" s="456">
        <v>1.5215229995712298</v>
      </c>
      <c r="Y47" s="456">
        <v>1.5332668999699008</v>
      </c>
      <c r="Z47" s="456">
        <v>1.531516138446503</v>
      </c>
      <c r="AA47" s="456">
        <v>1.4590194506044565</v>
      </c>
      <c r="AB47" s="457">
        <v>14992.05</v>
      </c>
      <c r="AC47" s="457">
        <v>14838.85</v>
      </c>
      <c r="AD47" s="458">
        <v>0.95809999999999995</v>
      </c>
      <c r="AE47" s="459">
        <v>2010</v>
      </c>
      <c r="AF47" s="448">
        <f t="shared" si="20"/>
        <v>1.1423449689824807</v>
      </c>
      <c r="AG47" s="448">
        <f t="shared" si="20"/>
        <v>1.1269019036363739</v>
      </c>
      <c r="AH47" s="448">
        <f t="shared" si="20"/>
        <v>1.1132091281625964</v>
      </c>
      <c r="AI47" s="448">
        <f t="shared" si="20"/>
        <v>1.0889107063377739</v>
      </c>
      <c r="AJ47" s="448">
        <f t="shared" si="20"/>
        <v>1.0189783403255321</v>
      </c>
      <c r="AK47" s="448">
        <f t="shared" si="20"/>
        <v>1.0064792033004766</v>
      </c>
      <c r="AL47" s="452">
        <f t="shared" si="20"/>
        <v>1.0177395368599957</v>
      </c>
      <c r="AN47" s="119" t="s">
        <v>166</v>
      </c>
      <c r="AO47" s="120"/>
      <c r="AP47" s="118"/>
      <c r="AQ47" s="118"/>
      <c r="AR47" s="118"/>
      <c r="AS47" s="118"/>
      <c r="AZ47" s="118"/>
      <c r="BA47" s="118"/>
      <c r="BO47" s="12" t="s">
        <v>48</v>
      </c>
    </row>
    <row r="48" spans="2:67" x14ac:dyDescent="0.15">
      <c r="B48" s="443"/>
      <c r="C48" s="443"/>
      <c r="D48" s="443"/>
      <c r="I48" s="165">
        <v>2011</v>
      </c>
      <c r="J48" s="165">
        <v>2012</v>
      </c>
      <c r="K48" s="327">
        <f t="shared" ca="1" si="16"/>
        <v>1.0415338857021457</v>
      </c>
      <c r="L48" s="253"/>
      <c r="M48" s="126">
        <v>2011</v>
      </c>
      <c r="N48" s="460">
        <v>0.85</v>
      </c>
      <c r="O48" s="314">
        <v>27500</v>
      </c>
      <c r="P48" s="454">
        <v>1.33</v>
      </c>
      <c r="Q48" s="314">
        <f t="shared" si="17"/>
        <v>72500</v>
      </c>
      <c r="R48" s="314">
        <f t="shared" si="18"/>
        <v>61625</v>
      </c>
      <c r="S48" s="314">
        <f t="shared" si="19"/>
        <v>61625</v>
      </c>
      <c r="T48" s="126">
        <v>2011</v>
      </c>
      <c r="U48" s="314">
        <v>27500</v>
      </c>
      <c r="W48" s="455">
        <v>2011</v>
      </c>
      <c r="X48" s="456">
        <v>1.5480372179816488</v>
      </c>
      <c r="Y48" s="456">
        <v>1.5562788809472574</v>
      </c>
      <c r="Z48" s="456">
        <v>1.5508130863810206</v>
      </c>
      <c r="AA48" s="456">
        <v>1.5063776327971956</v>
      </c>
      <c r="AB48" s="457">
        <v>15542.6</v>
      </c>
      <c r="AC48" s="457">
        <v>15403.674999999999</v>
      </c>
      <c r="AD48" s="458">
        <v>0.98050000000000004</v>
      </c>
      <c r="AE48" s="459">
        <v>2011</v>
      </c>
      <c r="AF48" s="448">
        <f t="shared" si="20"/>
        <v>1.1622515915022718</v>
      </c>
      <c r="AG48" s="448">
        <f t="shared" si="20"/>
        <v>1.1438149702201084</v>
      </c>
      <c r="AH48" s="448">
        <f t="shared" si="20"/>
        <v>1.1272354502150517</v>
      </c>
      <c r="AI48" s="448">
        <f t="shared" si="20"/>
        <v>1.1242555618165708</v>
      </c>
      <c r="AJ48" s="448">
        <f t="shared" si="20"/>
        <v>1.0563980744690431</v>
      </c>
      <c r="AK48" s="448">
        <f t="shared" si="20"/>
        <v>1.0447897607900523</v>
      </c>
      <c r="AL48" s="452">
        <f t="shared" si="20"/>
        <v>1.0415338857021457</v>
      </c>
      <c r="AN48" s="120"/>
      <c r="AO48" s="120"/>
      <c r="AP48" s="118"/>
      <c r="AQ48" s="118"/>
      <c r="AR48" s="118"/>
      <c r="AS48" s="118"/>
      <c r="AZ48" s="118"/>
      <c r="BA48" s="118"/>
      <c r="BO48" s="12" t="s">
        <v>51</v>
      </c>
    </row>
    <row r="49" spans="2:79" x14ac:dyDescent="0.15">
      <c r="B49" s="461">
        <v>154000</v>
      </c>
      <c r="C49" s="443" t="s">
        <v>208</v>
      </c>
      <c r="D49" s="443"/>
      <c r="I49" s="165">
        <v>2012</v>
      </c>
      <c r="J49" s="165">
        <v>2013</v>
      </c>
      <c r="K49" s="327">
        <f t="shared" ca="1" si="16"/>
        <v>1.0622477161674102</v>
      </c>
      <c r="L49" s="253"/>
      <c r="M49" s="126">
        <v>2012</v>
      </c>
      <c r="N49" s="460">
        <v>0.85</v>
      </c>
      <c r="O49" s="314">
        <v>27500</v>
      </c>
      <c r="P49" s="454">
        <v>1.33</v>
      </c>
      <c r="Q49" s="314">
        <f t="shared" si="17"/>
        <v>72500</v>
      </c>
      <c r="R49" s="314">
        <f t="shared" si="18"/>
        <v>61625</v>
      </c>
      <c r="S49" s="314">
        <f t="shared" si="19"/>
        <v>61625</v>
      </c>
      <c r="T49" s="126">
        <v>2012</v>
      </c>
      <c r="U49" s="314">
        <v>27500</v>
      </c>
      <c r="W49" s="455">
        <v>2012</v>
      </c>
      <c r="X49" s="456">
        <v>1.5886542360898868</v>
      </c>
      <c r="Y49" s="456">
        <v>1.5952972770544274</v>
      </c>
      <c r="Z49" s="456">
        <v>1.5957037795073692</v>
      </c>
      <c r="AA49" s="456">
        <v>1.5694661365798455</v>
      </c>
      <c r="AB49" s="457">
        <v>16197.05</v>
      </c>
      <c r="AC49" s="457">
        <v>16056.45</v>
      </c>
      <c r="AD49" s="458">
        <v>1</v>
      </c>
      <c r="AE49" s="459">
        <v>2012</v>
      </c>
      <c r="AF49" s="448">
        <f t="shared" si="20"/>
        <v>1.1927464616449455</v>
      </c>
      <c r="AG49" s="448">
        <f t="shared" si="20"/>
        <v>1.1724922375966305</v>
      </c>
      <c r="AH49" s="448">
        <f t="shared" si="20"/>
        <v>1.1598650308660836</v>
      </c>
      <c r="AI49" s="448">
        <f t="shared" si="20"/>
        <v>1.1713404359676989</v>
      </c>
      <c r="AJ49" s="448">
        <f t="shared" si="20"/>
        <v>1.1008796747055714</v>
      </c>
      <c r="AK49" s="448">
        <f t="shared" si="20"/>
        <v>1.0890657297454951</v>
      </c>
      <c r="AL49" s="452">
        <f t="shared" si="20"/>
        <v>1.0622477161674102</v>
      </c>
      <c r="AN49" s="119" t="s">
        <v>168</v>
      </c>
      <c r="AO49" s="120"/>
      <c r="AP49" s="118"/>
      <c r="AQ49" s="118"/>
      <c r="AR49" s="118"/>
      <c r="AS49" s="118"/>
      <c r="AZ49" s="118"/>
      <c r="BA49" s="118"/>
      <c r="BO49" s="12" t="s">
        <v>54</v>
      </c>
    </row>
    <row r="50" spans="2:79" x14ac:dyDescent="0.15">
      <c r="B50" s="462">
        <v>307000000</v>
      </c>
      <c r="C50" s="463" t="s">
        <v>209</v>
      </c>
      <c r="D50" s="443"/>
      <c r="I50" s="165">
        <v>2013</v>
      </c>
      <c r="J50" s="165">
        <v>2014</v>
      </c>
      <c r="K50" s="320">
        <f t="shared" ca="1" si="16"/>
        <v>1.0773316337369874</v>
      </c>
      <c r="L50" s="253"/>
      <c r="M50" s="126">
        <v>2013</v>
      </c>
      <c r="N50" s="460">
        <v>0.85</v>
      </c>
      <c r="O50" s="314">
        <v>27500</v>
      </c>
      <c r="P50" s="454">
        <v>1.33</v>
      </c>
      <c r="Q50" s="314">
        <f t="shared" si="17"/>
        <v>72500</v>
      </c>
      <c r="R50" s="314">
        <f t="shared" si="18"/>
        <v>61625</v>
      </c>
      <c r="S50" s="314">
        <f t="shared" si="19"/>
        <v>61625</v>
      </c>
      <c r="T50" s="126">
        <v>2013</v>
      </c>
      <c r="U50" s="314">
        <v>27500</v>
      </c>
      <c r="W50" s="455">
        <v>2013</v>
      </c>
      <c r="X50" s="456">
        <v>1.6321515213860127</v>
      </c>
      <c r="Y50" s="456">
        <v>1.6445833183295084</v>
      </c>
      <c r="Z50" s="456">
        <v>1.6390805748531865</v>
      </c>
      <c r="AA50" s="456">
        <v>1.6221020748895671</v>
      </c>
      <c r="AB50" s="457">
        <v>16784.825000000001</v>
      </c>
      <c r="AC50" s="457">
        <v>16603.775000000001</v>
      </c>
      <c r="AD50" s="458">
        <v>1.0142</v>
      </c>
      <c r="AE50" s="459">
        <v>2013</v>
      </c>
      <c r="AF50" s="448">
        <f t="shared" si="20"/>
        <v>1.2254038089452672</v>
      </c>
      <c r="AG50" s="448">
        <f t="shared" si="20"/>
        <v>1.2087158942455021</v>
      </c>
      <c r="AH50" s="448">
        <f t="shared" si="20"/>
        <v>1.1913942085986702</v>
      </c>
      <c r="AI50" s="448">
        <f t="shared" si="20"/>
        <v>1.2106242417729232</v>
      </c>
      <c r="AJ50" s="448">
        <f t="shared" si="20"/>
        <v>1.1408295143862583</v>
      </c>
      <c r="AK50" s="448">
        <f t="shared" si="20"/>
        <v>1.1261893093993385</v>
      </c>
      <c r="AL50" s="452">
        <f t="shared" si="20"/>
        <v>1.0773316337369874</v>
      </c>
      <c r="AN50" s="118" t="s">
        <v>169</v>
      </c>
      <c r="AO50" s="118"/>
      <c r="AP50" s="118"/>
      <c r="AQ50" s="118"/>
      <c r="AR50" s="118"/>
      <c r="AS50" s="118"/>
      <c r="AZ50" s="118"/>
      <c r="BA50" s="118"/>
      <c r="BO50" s="12" t="s">
        <v>57</v>
      </c>
    </row>
    <row r="51" spans="2:79" ht="11.25" thickBot="1" x14ac:dyDescent="0.2">
      <c r="B51" s="462">
        <v>335110320</v>
      </c>
      <c r="C51" s="463" t="s">
        <v>210</v>
      </c>
      <c r="D51" s="443"/>
      <c r="I51" s="174">
        <v>2014</v>
      </c>
      <c r="J51" s="174">
        <v>2015</v>
      </c>
      <c r="K51" s="347">
        <f t="shared" ca="1" si="16"/>
        <v>1.0943275971956661</v>
      </c>
      <c r="L51" s="464"/>
      <c r="M51" s="465">
        <v>2014</v>
      </c>
      <c r="N51" s="466">
        <v>0.85</v>
      </c>
      <c r="O51" s="340">
        <v>27500</v>
      </c>
      <c r="P51" s="467">
        <v>1.33</v>
      </c>
      <c r="Q51" s="340">
        <f t="shared" si="17"/>
        <v>72500</v>
      </c>
      <c r="R51" s="340">
        <f t="shared" si="18"/>
        <v>61625</v>
      </c>
      <c r="S51" s="340">
        <f t="shared" si="19"/>
        <v>61625</v>
      </c>
      <c r="T51" s="465">
        <v>2014</v>
      </c>
      <c r="U51" s="340">
        <v>27500</v>
      </c>
      <c r="V51" s="468"/>
      <c r="W51" s="469">
        <v>2014</v>
      </c>
      <c r="X51" s="470">
        <v>1.6516359335334272</v>
      </c>
      <c r="Y51" s="470">
        <v>1.6649333459630333</v>
      </c>
      <c r="Z51" s="470">
        <v>1.6632457053106477</v>
      </c>
      <c r="AA51" s="470">
        <v>1.6378177716901932</v>
      </c>
      <c r="AB51" s="471">
        <v>17527.275000000001</v>
      </c>
      <c r="AC51" s="471">
        <v>17335.575000000001</v>
      </c>
      <c r="AD51" s="472">
        <v>1.0302</v>
      </c>
      <c r="AE51" s="473">
        <v>2014</v>
      </c>
      <c r="AF51" s="474">
        <f t="shared" si="20"/>
        <v>1.2400325199121423</v>
      </c>
      <c r="AG51" s="474">
        <f t="shared" si="20"/>
        <v>1.2236725106569841</v>
      </c>
      <c r="AH51" s="474">
        <f t="shared" si="20"/>
        <v>1.2089590537434121</v>
      </c>
      <c r="AI51" s="474">
        <f t="shared" si="20"/>
        <v>1.2223533455190523</v>
      </c>
      <c r="AJ51" s="474">
        <f t="shared" si="20"/>
        <v>1.1912922909094616</v>
      </c>
      <c r="AK51" s="474">
        <f t="shared" si="20"/>
        <v>1.175825331124424</v>
      </c>
      <c r="AL51" s="475">
        <f t="shared" si="20"/>
        <v>1.0943275971956661</v>
      </c>
      <c r="AN51" s="118" t="s">
        <v>170</v>
      </c>
      <c r="AO51" s="118"/>
      <c r="AP51" s="118"/>
      <c r="AQ51" s="118"/>
      <c r="AR51" s="118"/>
      <c r="AS51" s="118"/>
      <c r="AZ51" s="118"/>
      <c r="BA51" s="118"/>
      <c r="BO51" s="12" t="s">
        <v>60</v>
      </c>
    </row>
    <row r="52" spans="2:79" x14ac:dyDescent="0.15">
      <c r="B52" s="476">
        <f>B51/B50</f>
        <v>1.0915645602605863</v>
      </c>
      <c r="C52" s="463" t="s">
        <v>211</v>
      </c>
      <c r="D52" s="443"/>
      <c r="I52" s="183">
        <v>2015</v>
      </c>
      <c r="J52" s="183">
        <v>2016</v>
      </c>
      <c r="K52" s="352">
        <f t="shared" ca="1" si="16"/>
        <v>1.0999575100913535</v>
      </c>
      <c r="L52" s="253"/>
      <c r="M52" s="444">
        <v>2015</v>
      </c>
      <c r="N52" s="477">
        <v>0.85</v>
      </c>
      <c r="O52" s="478">
        <f>O51+2000</f>
        <v>29500</v>
      </c>
      <c r="P52" s="479">
        <v>1.4</v>
      </c>
      <c r="Q52" s="478">
        <f t="shared" si="17"/>
        <v>70500</v>
      </c>
      <c r="R52" s="478">
        <f t="shared" si="18"/>
        <v>59925</v>
      </c>
      <c r="S52" s="301">
        <f>AVERAGE(R52:R$57)</f>
        <v>53911.833333333336</v>
      </c>
      <c r="T52" s="444">
        <v>2015</v>
      </c>
      <c r="U52" s="301">
        <f>SUMPRODUCT(N52:N$57,O52:O$57)/SUM(N52:N$57)</f>
        <v>34652.32323232323</v>
      </c>
      <c r="W52" s="447">
        <v>2015</v>
      </c>
      <c r="X52" s="448">
        <v>1.6989019973297543</v>
      </c>
      <c r="Y52" s="448">
        <v>1.7104437503582621</v>
      </c>
      <c r="Z52" s="448">
        <v>1.7047846722773679</v>
      </c>
      <c r="AA52" s="448">
        <v>1.685956691570295</v>
      </c>
      <c r="AB52" s="449">
        <v>18238.3</v>
      </c>
      <c r="AC52" s="449">
        <v>18099.55</v>
      </c>
      <c r="AD52" s="450">
        <v>1.0355000000000001</v>
      </c>
      <c r="AE52" s="451">
        <v>2015</v>
      </c>
      <c r="AF52" s="448">
        <f t="shared" si="20"/>
        <v>1.275519430196479</v>
      </c>
      <c r="AG52" s="448">
        <f t="shared" si="20"/>
        <v>1.2571211955201684</v>
      </c>
      <c r="AH52" s="448">
        <f t="shared" si="20"/>
        <v>1.239152373970976</v>
      </c>
      <c r="AI52" s="448">
        <f t="shared" si="20"/>
        <v>1.2582808893412147</v>
      </c>
      <c r="AJ52" s="448">
        <f t="shared" si="20"/>
        <v>1.2396191757871109</v>
      </c>
      <c r="AK52" s="448">
        <f t="shared" si="20"/>
        <v>1.2276436963846349</v>
      </c>
      <c r="AL52" s="452">
        <f t="shared" si="20"/>
        <v>1.0999575100913535</v>
      </c>
      <c r="AN52" s="118" t="s">
        <v>166</v>
      </c>
      <c r="AO52" s="118"/>
      <c r="AP52" s="118"/>
      <c r="AQ52" s="118"/>
      <c r="AR52" s="118"/>
      <c r="AS52" s="118"/>
      <c r="AZ52" s="118"/>
      <c r="BA52" s="118"/>
      <c r="BO52" s="12" t="s">
        <v>63</v>
      </c>
    </row>
    <row r="53" spans="2:79" ht="11.25" thickBot="1" x14ac:dyDescent="0.2">
      <c r="B53" s="462">
        <f>B49*B52</f>
        <v>168100.94228013029</v>
      </c>
      <c r="C53" s="463" t="s">
        <v>212</v>
      </c>
      <c r="D53" s="443"/>
      <c r="I53" s="194">
        <v>2016</v>
      </c>
      <c r="J53" s="194">
        <v>2017</v>
      </c>
      <c r="K53" s="368">
        <f t="shared" ca="1" si="16"/>
        <v>1.1072870193329085</v>
      </c>
      <c r="L53" s="206"/>
      <c r="M53" s="480">
        <v>2016</v>
      </c>
      <c r="N53" s="481">
        <v>0.84</v>
      </c>
      <c r="O53" s="482">
        <f>O52+2000</f>
        <v>31500</v>
      </c>
      <c r="P53" s="483">
        <v>1.4</v>
      </c>
      <c r="Q53" s="482">
        <f t="shared" si="17"/>
        <v>68500</v>
      </c>
      <c r="R53" s="482">
        <f t="shared" si="18"/>
        <v>57540</v>
      </c>
      <c r="S53" s="361">
        <f>AVERAGE(R53:R$57)</f>
        <v>52709.2</v>
      </c>
      <c r="T53" s="480">
        <v>2016</v>
      </c>
      <c r="U53" s="484">
        <f>SUMPRODUCT(N53:N$57,O53:O$57)/SUM(N53:N$57)</f>
        <v>35720.487804878052</v>
      </c>
      <c r="V53" s="205"/>
      <c r="W53" s="485">
        <v>2016</v>
      </c>
      <c r="X53" s="486">
        <v>1.7380819948637312</v>
      </c>
      <c r="Y53" s="486">
        <v>1.7532193929936308</v>
      </c>
      <c r="Z53" s="486">
        <v>1.7441157119939534</v>
      </c>
      <c r="AA53" s="486">
        <v>1.7275794227315724</v>
      </c>
      <c r="AB53" s="487">
        <v>18745.099999999999</v>
      </c>
      <c r="AC53" s="487">
        <v>18554.775000000001</v>
      </c>
      <c r="AD53" s="488">
        <v>1.0424</v>
      </c>
      <c r="AE53" s="489">
        <v>2016</v>
      </c>
      <c r="AF53" s="490">
        <f t="shared" si="20"/>
        <v>1.3049353989858414</v>
      </c>
      <c r="AG53" s="490">
        <f t="shared" si="20"/>
        <v>1.2885599183648424</v>
      </c>
      <c r="AH53" s="490">
        <f t="shared" si="20"/>
        <v>1.267740823895533</v>
      </c>
      <c r="AI53" s="490">
        <f t="shared" si="20"/>
        <v>1.2893452028222701</v>
      </c>
      <c r="AJ53" s="490">
        <f t="shared" si="20"/>
        <v>1.2740653137653712</v>
      </c>
      <c r="AK53" s="490">
        <f t="shared" si="20"/>
        <v>1.2585203812572809</v>
      </c>
      <c r="AL53" s="491">
        <f t="shared" si="20"/>
        <v>1.1072870193329085</v>
      </c>
      <c r="BO53" s="12" t="s">
        <v>66</v>
      </c>
    </row>
    <row r="54" spans="2:79" ht="11.25" thickBot="1" x14ac:dyDescent="0.2">
      <c r="B54" s="492">
        <f>1/30</f>
        <v>3.3333333333333333E-2</v>
      </c>
      <c r="C54" s="443" t="s">
        <v>213</v>
      </c>
      <c r="D54" s="443"/>
      <c r="I54" s="183">
        <v>2017</v>
      </c>
      <c r="J54" s="183">
        <v>2018</v>
      </c>
      <c r="K54" s="352">
        <f t="shared" ca="1" si="16"/>
        <v>1.1256639048226047</v>
      </c>
      <c r="L54" s="253"/>
      <c r="M54" s="493">
        <v>2017</v>
      </c>
      <c r="N54" s="477">
        <v>0.83</v>
      </c>
      <c r="O54" s="478">
        <f>O53+2000</f>
        <v>33500</v>
      </c>
      <c r="P54" s="479">
        <v>1.4</v>
      </c>
      <c r="Q54" s="478">
        <f t="shared" si="17"/>
        <v>66500</v>
      </c>
      <c r="R54" s="478">
        <f t="shared" si="18"/>
        <v>55195</v>
      </c>
      <c r="S54" s="301">
        <f>AVERAGE(R54:R$57)</f>
        <v>51501.5</v>
      </c>
      <c r="T54" s="493">
        <v>2017</v>
      </c>
      <c r="U54" s="301">
        <f>SUMPRODUCT(N54:N$57,O54:O$57)/SUM(N54:N$57)</f>
        <v>36807.975460122703</v>
      </c>
      <c r="W54" s="447">
        <v>2017</v>
      </c>
      <c r="X54" s="448">
        <v>1.771035452260284</v>
      </c>
      <c r="Y54" s="448">
        <v>1.7928356621512653</v>
      </c>
      <c r="Z54" s="448">
        <v>1.7782203251745174</v>
      </c>
      <c r="AA54" s="448">
        <v>1.7600509782539187</v>
      </c>
      <c r="AB54" s="449">
        <v>19542.974999999999</v>
      </c>
      <c r="AC54" s="449">
        <v>19287.650000000001</v>
      </c>
      <c r="AD54" s="450">
        <v>1.0597000000000001</v>
      </c>
      <c r="AE54" s="451">
        <v>2017</v>
      </c>
      <c r="AF54" s="448">
        <f t="shared" si="20"/>
        <v>1.329676540774785</v>
      </c>
      <c r="AG54" s="448">
        <f t="shared" si="20"/>
        <v>1.3176766032222444</v>
      </c>
      <c r="AH54" s="448">
        <f t="shared" si="20"/>
        <v>1.2925303548394045</v>
      </c>
      <c r="AI54" s="448">
        <f t="shared" si="20"/>
        <v>1.3135797148742345</v>
      </c>
      <c r="AJ54" s="448">
        <f t="shared" si="20"/>
        <v>1.3282952118304947</v>
      </c>
      <c r="AK54" s="448">
        <f t="shared" si="20"/>
        <v>1.3082293173351331</v>
      </c>
      <c r="AL54" s="452">
        <f t="shared" si="20"/>
        <v>1.1256639048226047</v>
      </c>
      <c r="AN54" s="118" t="s">
        <v>171</v>
      </c>
      <c r="AO54" s="118"/>
      <c r="AP54" s="118"/>
      <c r="AQ54" s="118"/>
      <c r="AR54" s="118"/>
      <c r="AS54" s="118"/>
      <c r="AZ54" s="118"/>
      <c r="BA54" s="118"/>
      <c r="BO54" s="12" t="s">
        <v>2</v>
      </c>
    </row>
    <row r="55" spans="2:79" x14ac:dyDescent="0.15">
      <c r="B55" s="461">
        <f>B53*B54</f>
        <v>5603.3647426710095</v>
      </c>
      <c r="C55" s="443" t="s">
        <v>110</v>
      </c>
      <c r="D55" s="443"/>
      <c r="I55" s="165">
        <v>2018</v>
      </c>
      <c r="J55" s="165">
        <v>2019</v>
      </c>
      <c r="K55" s="376">
        <f t="shared" ca="1" si="16"/>
        <v>1.1513702995538559</v>
      </c>
      <c r="L55" s="253"/>
      <c r="M55" s="494">
        <v>2018</v>
      </c>
      <c r="N55" s="460">
        <v>0.82</v>
      </c>
      <c r="O55" s="495">
        <f>O54+2000</f>
        <v>35500</v>
      </c>
      <c r="P55" s="496">
        <v>1.4</v>
      </c>
      <c r="Q55" s="495">
        <f t="shared" si="17"/>
        <v>64500</v>
      </c>
      <c r="R55" s="495">
        <f t="shared" si="18"/>
        <v>52890</v>
      </c>
      <c r="S55" s="314">
        <f>AVERAGE(R55:R$57)</f>
        <v>50270.333333333336</v>
      </c>
      <c r="T55" s="494">
        <v>2018</v>
      </c>
      <c r="U55" s="301">
        <f>SUMPRODUCT(N55:N$57,O55:O$57)/SUM(N55:N$57)</f>
        <v>37937.860082304534</v>
      </c>
      <c r="W55" s="455">
        <v>2018</v>
      </c>
      <c r="X55" s="456">
        <v>1.8224430807136338</v>
      </c>
      <c r="Y55" s="456">
        <v>1.8476097618509359</v>
      </c>
      <c r="Z55" s="456">
        <v>1.8276784651180196</v>
      </c>
      <c r="AA55" s="456">
        <v>1.8100923623966019</v>
      </c>
      <c r="AB55" s="457">
        <v>20611.875</v>
      </c>
      <c r="AC55" s="457">
        <v>20335.525000000001</v>
      </c>
      <c r="AD55" s="458">
        <v>1.0839000000000001</v>
      </c>
      <c r="AE55" s="459">
        <v>2018</v>
      </c>
      <c r="AF55" s="448">
        <f t="shared" si="20"/>
        <v>1.3682728983372758</v>
      </c>
      <c r="AG55" s="448">
        <f t="shared" si="20"/>
        <v>1.3579338064676409</v>
      </c>
      <c r="AH55" s="448">
        <f t="shared" si="20"/>
        <v>1.3284798636071653</v>
      </c>
      <c r="AI55" s="448">
        <f t="shared" si="20"/>
        <v>1.3509271257880193</v>
      </c>
      <c r="AJ55" s="448">
        <f t="shared" si="20"/>
        <v>1.4009461133398922</v>
      </c>
      <c r="AK55" s="448">
        <f t="shared" si="20"/>
        <v>1.3793038544561691</v>
      </c>
      <c r="AL55" s="452">
        <f t="shared" si="20"/>
        <v>1.1513702995538559</v>
      </c>
      <c r="AN55" s="15"/>
      <c r="AO55" s="15">
        <v>2008</v>
      </c>
      <c r="AP55" s="15">
        <f t="shared" ref="AP55:AY55" si="21">AO55+1</f>
        <v>2009</v>
      </c>
      <c r="AQ55" s="15">
        <f t="shared" si="21"/>
        <v>2010</v>
      </c>
      <c r="AR55" s="15">
        <f t="shared" si="21"/>
        <v>2011</v>
      </c>
      <c r="AS55" s="15">
        <f t="shared" si="21"/>
        <v>2012</v>
      </c>
      <c r="AT55" s="15">
        <f t="shared" si="21"/>
        <v>2013</v>
      </c>
      <c r="AU55" s="15">
        <f t="shared" si="21"/>
        <v>2014</v>
      </c>
      <c r="AV55" s="15">
        <f t="shared" si="21"/>
        <v>2015</v>
      </c>
      <c r="AW55" s="15">
        <f t="shared" si="21"/>
        <v>2016</v>
      </c>
      <c r="AX55" s="15">
        <f t="shared" si="21"/>
        <v>2017</v>
      </c>
      <c r="AY55" s="497">
        <f t="shared" si="21"/>
        <v>2018</v>
      </c>
      <c r="AZ55" s="498" t="s">
        <v>172</v>
      </c>
      <c r="BA55" s="499" t="s">
        <v>105</v>
      </c>
    </row>
    <row r="56" spans="2:79" ht="11.25" thickBot="1" x14ac:dyDescent="0.2">
      <c r="B56" s="219"/>
      <c r="I56" s="174">
        <v>2019</v>
      </c>
      <c r="J56" s="174">
        <v>2020</v>
      </c>
      <c r="K56" s="384">
        <f t="shared" ca="1" si="16"/>
        <v>1.1715530061610366</v>
      </c>
      <c r="L56" s="464"/>
      <c r="M56" s="500">
        <v>2019</v>
      </c>
      <c r="N56" s="466">
        <v>0.81</v>
      </c>
      <c r="O56" s="501">
        <f>O55+2000</f>
        <v>37500</v>
      </c>
      <c r="P56" s="502">
        <v>1.4</v>
      </c>
      <c r="Q56" s="501">
        <f t="shared" si="17"/>
        <v>62500</v>
      </c>
      <c r="R56" s="501">
        <f t="shared" si="18"/>
        <v>50625</v>
      </c>
      <c r="S56" s="340">
        <f>AVERAGE(R56:R$57)</f>
        <v>48960.5</v>
      </c>
      <c r="T56" s="500">
        <v>2019</v>
      </c>
      <c r="U56" s="503">
        <f>SUMPRODUCT(N56:N$57,O56:O$57)/SUM(N56:N$57)</f>
        <v>39179.503105590062</v>
      </c>
      <c r="V56" s="468"/>
      <c r="W56" s="469">
        <v>2019</v>
      </c>
      <c r="X56" s="470">
        <v>1.8694672989776977</v>
      </c>
      <c r="Y56" s="470">
        <v>1.8928604756513698</v>
      </c>
      <c r="Z56" s="470">
        <v>1.8730063988233292</v>
      </c>
      <c r="AA56" s="470">
        <v>1.8570643080247435</v>
      </c>
      <c r="AB56" s="471">
        <v>21433.224999999999</v>
      </c>
      <c r="AC56" s="471">
        <v>21215.7</v>
      </c>
      <c r="AD56" s="472">
        <v>1.1029</v>
      </c>
      <c r="AE56" s="473">
        <v>2019</v>
      </c>
      <c r="AF56" s="474">
        <f t="shared" si="20"/>
        <v>1.4035782333006155</v>
      </c>
      <c r="AG56" s="474">
        <f t="shared" si="20"/>
        <v>1.391191627088183</v>
      </c>
      <c r="AH56" s="474">
        <f t="shared" si="20"/>
        <v>1.3614272601737358</v>
      </c>
      <c r="AI56" s="474">
        <f t="shared" si="20"/>
        <v>1.3859837211410209</v>
      </c>
      <c r="AJ56" s="474">
        <f t="shared" si="20"/>
        <v>1.4567715581473983</v>
      </c>
      <c r="AK56" s="474">
        <f t="shared" si="20"/>
        <v>1.4390037525456436</v>
      </c>
      <c r="AL56" s="475">
        <f t="shared" si="20"/>
        <v>1.1715530061610366</v>
      </c>
      <c r="AN56" s="14" t="s">
        <v>173</v>
      </c>
      <c r="AO56" s="15">
        <v>0.1</v>
      </c>
      <c r="AP56" s="15">
        <v>0.4</v>
      </c>
      <c r="AQ56" s="15">
        <v>0.7</v>
      </c>
      <c r="AR56" s="15">
        <v>1</v>
      </c>
      <c r="AS56" s="15">
        <v>1.3</v>
      </c>
      <c r="AT56" s="15">
        <v>1.4</v>
      </c>
      <c r="AU56" s="15">
        <v>1.6</v>
      </c>
      <c r="AV56" s="15">
        <v>1.5</v>
      </c>
      <c r="AW56" s="15">
        <v>1.2</v>
      </c>
      <c r="AX56" s="15">
        <v>0.9</v>
      </c>
      <c r="AY56" s="497">
        <v>0.6</v>
      </c>
      <c r="AZ56" s="504">
        <v>4.9000000000000004</v>
      </c>
      <c r="BA56" s="505">
        <v>10.8</v>
      </c>
    </row>
    <row r="57" spans="2:79" ht="11.25" thickBot="1" x14ac:dyDescent="0.2">
      <c r="I57" s="506">
        <v>2020</v>
      </c>
      <c r="J57" s="506">
        <v>2021</v>
      </c>
      <c r="K57" s="507">
        <f t="shared" ca="1" si="16"/>
        <v>1.1971531761206713</v>
      </c>
      <c r="L57" s="508"/>
      <c r="M57" s="509">
        <v>2020</v>
      </c>
      <c r="N57" s="510">
        <v>0.8</v>
      </c>
      <c r="O57" s="511">
        <v>40880</v>
      </c>
      <c r="P57" s="512">
        <v>1.4</v>
      </c>
      <c r="Q57" s="513">
        <f t="shared" si="17"/>
        <v>59120</v>
      </c>
      <c r="R57" s="513">
        <f t="shared" si="18"/>
        <v>47296</v>
      </c>
      <c r="S57" s="513">
        <f>R57</f>
        <v>47296</v>
      </c>
      <c r="T57" s="509">
        <v>2020</v>
      </c>
      <c r="U57" s="513">
        <f>SUMPRODUCT(N57:N$57,O57:O$57)/SUM(N57:N$57)</f>
        <v>40880</v>
      </c>
      <c r="V57" s="514"/>
      <c r="W57" s="515">
        <v>2020</v>
      </c>
      <c r="X57" s="516">
        <v>1.9369884228516152</v>
      </c>
      <c r="Y57" s="516">
        <v>1.9649682316601633</v>
      </c>
      <c r="Z57" s="516">
        <v>1.9398052305760183</v>
      </c>
      <c r="AA57" s="516">
        <v>1.9229148745566116</v>
      </c>
      <c r="AB57" s="517">
        <v>20933.490000000002</v>
      </c>
      <c r="AC57" s="517">
        <v>22210.9</v>
      </c>
      <c r="AD57" s="518">
        <v>1.127</v>
      </c>
      <c r="AE57" s="519">
        <v>2020</v>
      </c>
      <c r="AF57" s="516">
        <f t="shared" si="20"/>
        <v>1.4542724496740445</v>
      </c>
      <c r="AG57" s="516">
        <f t="shared" si="20"/>
        <v>1.4441885107454586</v>
      </c>
      <c r="AH57" s="516">
        <f t="shared" si="20"/>
        <v>1.4099811522229044</v>
      </c>
      <c r="AI57" s="516">
        <f t="shared" si="20"/>
        <v>1.4351300069463624</v>
      </c>
      <c r="AJ57" s="516">
        <f t="shared" si="20"/>
        <v>1.422805613469881</v>
      </c>
      <c r="AK57" s="516">
        <f t="shared" si="20"/>
        <v>1.5065054863811251</v>
      </c>
      <c r="AL57" s="520">
        <f t="shared" si="20"/>
        <v>1.1971531761206713</v>
      </c>
      <c r="AN57" s="14" t="s">
        <v>174</v>
      </c>
      <c r="AO57" s="15">
        <v>0</v>
      </c>
      <c r="AP57" s="15">
        <v>0.1</v>
      </c>
      <c r="AQ57" s="15">
        <v>0.3</v>
      </c>
      <c r="AR57" s="15">
        <v>0.6</v>
      </c>
      <c r="AS57" s="15">
        <v>1.3</v>
      </c>
      <c r="AT57" s="15">
        <v>0.8</v>
      </c>
      <c r="AU57" s="15">
        <v>0.9</v>
      </c>
      <c r="AV57" s="15">
        <v>1</v>
      </c>
      <c r="AW57" s="15">
        <v>1</v>
      </c>
      <c r="AX57" s="15">
        <v>0.8</v>
      </c>
      <c r="AY57" s="497">
        <v>0.1</v>
      </c>
      <c r="AZ57" s="504">
        <v>3.1</v>
      </c>
      <c r="BA57" s="505">
        <v>6.9</v>
      </c>
    </row>
    <row r="58" spans="2:79" ht="11.25" thickBot="1" x14ac:dyDescent="0.2">
      <c r="B58" s="521" t="s">
        <v>182</v>
      </c>
      <c r="C58" s="521"/>
      <c r="D58" s="521"/>
      <c r="H58" s="118"/>
      <c r="I58" s="183">
        <v>2021</v>
      </c>
      <c r="J58" s="183">
        <v>2022</v>
      </c>
      <c r="K58" s="352">
        <f t="shared" ca="1" si="16"/>
        <v>1.2232844699383896</v>
      </c>
      <c r="L58" s="253"/>
      <c r="M58" s="444">
        <v>2021</v>
      </c>
      <c r="N58" s="522">
        <v>0.8</v>
      </c>
      <c r="O58" s="523">
        <v>41706</v>
      </c>
      <c r="P58" s="446">
        <v>1.4</v>
      </c>
      <c r="Q58" s="301">
        <f t="shared" si="17"/>
        <v>58294</v>
      </c>
      <c r="R58" s="301">
        <f t="shared" si="18"/>
        <v>46635.200000000004</v>
      </c>
      <c r="S58" s="301">
        <f>R58</f>
        <v>46635.200000000004</v>
      </c>
      <c r="T58" s="444">
        <v>2021</v>
      </c>
      <c r="U58" s="301">
        <f>SUMPRODUCT(N$57:N58,O$57:O58)/SUM(N$57:N58)</f>
        <v>41293</v>
      </c>
      <c r="W58" s="447">
        <v>2021</v>
      </c>
      <c r="X58" s="448">
        <v>1.974939993721845</v>
      </c>
      <c r="Y58" s="448">
        <v>2.0056054881598722</v>
      </c>
      <c r="Z58" s="448">
        <v>1.9763199455716212</v>
      </c>
      <c r="AA58" s="448">
        <v>1.9641407849515178</v>
      </c>
      <c r="AB58" s="449">
        <v>22253.125</v>
      </c>
      <c r="AC58" s="449">
        <v>23353.1</v>
      </c>
      <c r="AD58" s="450">
        <v>1.1516</v>
      </c>
      <c r="AE58" s="451">
        <v>2021</v>
      </c>
      <c r="AF58" s="448">
        <f t="shared" si="20"/>
        <v>1.4827661274303494</v>
      </c>
      <c r="AG58" s="448">
        <f t="shared" si="20"/>
        <v>1.4740555884923143</v>
      </c>
      <c r="AH58" s="448">
        <f t="shared" si="20"/>
        <v>1.4365225075667618</v>
      </c>
      <c r="AI58" s="448">
        <f t="shared" si="20"/>
        <v>1.4658981609890911</v>
      </c>
      <c r="AJ58" s="448">
        <f t="shared" si="20"/>
        <v>1.5124984494819995</v>
      </c>
      <c r="AK58" s="448">
        <f t="shared" si="20"/>
        <v>1.5839778340367587</v>
      </c>
      <c r="AL58" s="452">
        <f t="shared" si="20"/>
        <v>1.2232844699383896</v>
      </c>
      <c r="AN58" s="14" t="s">
        <v>25</v>
      </c>
      <c r="AO58" s="15">
        <v>0.1</v>
      </c>
      <c r="AP58" s="15">
        <v>0.3</v>
      </c>
      <c r="AQ58" s="15">
        <v>0.4</v>
      </c>
      <c r="AR58" s="15">
        <v>0.5</v>
      </c>
      <c r="AS58" s="15">
        <v>-0.1</v>
      </c>
      <c r="AT58" s="15">
        <v>0.7</v>
      </c>
      <c r="AU58" s="15">
        <v>0.7</v>
      </c>
      <c r="AV58" s="15">
        <v>0.5</v>
      </c>
      <c r="AW58" s="15">
        <v>0.3</v>
      </c>
      <c r="AX58" s="15">
        <v>0.1</v>
      </c>
      <c r="AY58" s="497">
        <v>0.5</v>
      </c>
      <c r="AZ58" s="524">
        <v>1.8</v>
      </c>
      <c r="BA58" s="525">
        <v>3.8</v>
      </c>
    </row>
    <row r="59" spans="2:79" x14ac:dyDescent="0.15">
      <c r="B59" s="521" t="s">
        <v>114</v>
      </c>
      <c r="C59" s="521"/>
      <c r="D59" s="521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N59" s="118"/>
      <c r="AO59" s="118"/>
      <c r="AP59" s="118"/>
      <c r="AQ59" s="118"/>
      <c r="AR59" s="118"/>
      <c r="AS59" s="118"/>
    </row>
    <row r="60" spans="2:79" x14ac:dyDescent="0.15">
      <c r="B60" s="521"/>
      <c r="C60" s="521"/>
      <c r="D60" s="521"/>
      <c r="M60" s="12" t="s">
        <v>175</v>
      </c>
    </row>
    <row r="61" spans="2:79" x14ac:dyDescent="0.15">
      <c r="B61" s="526">
        <f>1/910</f>
        <v>1.0989010989010989E-3</v>
      </c>
      <c r="C61" s="521" t="s">
        <v>115</v>
      </c>
      <c r="D61" s="521"/>
      <c r="AY61" s="118"/>
    </row>
    <row r="62" spans="2:79" x14ac:dyDescent="0.15">
      <c r="B62" s="527">
        <v>0.37</v>
      </c>
      <c r="C62" s="521" t="s">
        <v>116</v>
      </c>
      <c r="D62" s="521"/>
      <c r="BC62" s="118"/>
      <c r="BZ62" s="123"/>
      <c r="CA62" s="123"/>
    </row>
    <row r="63" spans="2:79" x14ac:dyDescent="0.15">
      <c r="B63" s="528">
        <v>335110320</v>
      </c>
      <c r="C63" s="521" t="s">
        <v>117</v>
      </c>
      <c r="D63" s="521"/>
      <c r="CA63" s="123"/>
    </row>
    <row r="64" spans="2:79" x14ac:dyDescent="0.15">
      <c r="B64" s="528">
        <f>B62*B63</f>
        <v>123990818.40000001</v>
      </c>
      <c r="C64" s="521" t="s">
        <v>118</v>
      </c>
      <c r="D64" s="521"/>
      <c r="CA64" s="123"/>
    </row>
    <row r="65" spans="2:80" x14ac:dyDescent="0.15">
      <c r="B65" s="528">
        <f>B64*B61</f>
        <v>136253.64659340659</v>
      </c>
      <c r="C65" s="521" t="s">
        <v>119</v>
      </c>
      <c r="D65" s="521"/>
      <c r="CA65" s="123"/>
    </row>
    <row r="66" spans="2:80" x14ac:dyDescent="0.15">
      <c r="B66" s="521"/>
      <c r="C66" s="521"/>
      <c r="D66" s="521"/>
      <c r="CB66" s="121"/>
    </row>
    <row r="67" spans="2:80" x14ac:dyDescent="0.15">
      <c r="B67" s="521" t="s">
        <v>121</v>
      </c>
      <c r="C67" s="521"/>
      <c r="D67" s="521"/>
      <c r="CB67" s="121"/>
    </row>
    <row r="68" spans="2:80" x14ac:dyDescent="0.15">
      <c r="B68" s="521"/>
      <c r="C68" s="521"/>
      <c r="D68" s="521"/>
      <c r="CB68" s="121"/>
    </row>
    <row r="69" spans="2:80" x14ac:dyDescent="0.15">
      <c r="B69" s="521" t="s">
        <v>122</v>
      </c>
      <c r="C69" s="521"/>
      <c r="D69" s="521"/>
      <c r="CB69" s="121"/>
    </row>
    <row r="70" spans="2:80" x14ac:dyDescent="0.15">
      <c r="B70" s="521" t="s">
        <v>123</v>
      </c>
      <c r="C70" s="521"/>
      <c r="D70" s="521"/>
      <c r="CB70" s="121"/>
    </row>
    <row r="71" spans="2:80" x14ac:dyDescent="0.15">
      <c r="B71" s="521" t="s">
        <v>183</v>
      </c>
      <c r="C71" s="521"/>
      <c r="D71" s="521"/>
      <c r="CB71" s="121"/>
    </row>
    <row r="72" spans="2:80" x14ac:dyDescent="0.15">
      <c r="B72" s="521" t="s">
        <v>124</v>
      </c>
      <c r="C72" s="521"/>
      <c r="D72" s="521"/>
      <c r="CB72" s="121"/>
    </row>
    <row r="73" spans="2:80" x14ac:dyDescent="0.15">
      <c r="B73" s="529" t="s">
        <v>125</v>
      </c>
      <c r="C73" s="521" t="s">
        <v>126</v>
      </c>
      <c r="D73" s="521"/>
      <c r="CB73" s="121"/>
    </row>
    <row r="74" spans="2:80" x14ac:dyDescent="0.15">
      <c r="B74" s="529"/>
      <c r="C74" s="521" t="s">
        <v>127</v>
      </c>
      <c r="D74" s="521"/>
      <c r="CB74" s="121"/>
    </row>
    <row r="75" spans="2:80" x14ac:dyDescent="0.15">
      <c r="B75" s="529"/>
      <c r="C75" s="521" t="s">
        <v>128</v>
      </c>
      <c r="D75" s="521"/>
      <c r="CB75" s="121"/>
    </row>
    <row r="76" spans="2:80" x14ac:dyDescent="0.15">
      <c r="B76" s="529" t="s">
        <v>129</v>
      </c>
      <c r="C76" s="521" t="s">
        <v>130</v>
      </c>
      <c r="D76" s="521"/>
      <c r="CB76" s="121"/>
    </row>
    <row r="77" spans="2:80" x14ac:dyDescent="0.15">
      <c r="B77" s="529"/>
      <c r="C77" s="521" t="s">
        <v>131</v>
      </c>
      <c r="D77" s="521"/>
      <c r="CB77" s="121"/>
    </row>
    <row r="78" spans="2:80" x14ac:dyDescent="0.15">
      <c r="B78" s="529"/>
      <c r="C78" s="521" t="s">
        <v>132</v>
      </c>
      <c r="D78" s="521"/>
      <c r="CB78" s="121"/>
    </row>
    <row r="79" spans="2:80" x14ac:dyDescent="0.15">
      <c r="B79" s="529" t="s">
        <v>133</v>
      </c>
      <c r="C79" s="521" t="s">
        <v>134</v>
      </c>
      <c r="D79" s="521"/>
    </row>
    <row r="80" spans="2:80" x14ac:dyDescent="0.15">
      <c r="B80" s="529"/>
      <c r="C80" s="521" t="s">
        <v>135</v>
      </c>
      <c r="D80" s="521"/>
    </row>
    <row r="81" spans="2:4" x14ac:dyDescent="0.15">
      <c r="B81" s="529"/>
      <c r="C81" s="521" t="s">
        <v>136</v>
      </c>
      <c r="D81" s="521"/>
    </row>
    <row r="82" spans="2:4" x14ac:dyDescent="0.15">
      <c r="B82" s="521"/>
      <c r="C82" s="521"/>
      <c r="D82" s="521"/>
    </row>
    <row r="83" spans="2:4" x14ac:dyDescent="0.15">
      <c r="B83" s="521" t="s">
        <v>137</v>
      </c>
      <c r="C83" s="521"/>
      <c r="D83" s="521"/>
    </row>
    <row r="84" spans="2:4" x14ac:dyDescent="0.15">
      <c r="B84" s="521"/>
      <c r="C84" s="521"/>
      <c r="D84" s="521"/>
    </row>
    <row r="85" spans="2:4" x14ac:dyDescent="0.15">
      <c r="B85" s="521" t="s">
        <v>139</v>
      </c>
      <c r="C85" s="521"/>
      <c r="D85" s="521"/>
    </row>
    <row r="86" spans="2:4" x14ac:dyDescent="0.15">
      <c r="B86" s="526">
        <v>0.33333333333333331</v>
      </c>
      <c r="C86" s="521" t="s">
        <v>142</v>
      </c>
      <c r="D86" s="521"/>
    </row>
    <row r="87" spans="2:4" x14ac:dyDescent="0.15">
      <c r="B87" s="526">
        <v>0.04</v>
      </c>
      <c r="C87" s="521" t="s">
        <v>149</v>
      </c>
      <c r="D87" s="521"/>
    </row>
    <row r="88" spans="2:4" x14ac:dyDescent="0.15">
      <c r="B88" s="530">
        <f>B86+B87</f>
        <v>0.37333333333333329</v>
      </c>
      <c r="C88" s="521" t="s">
        <v>161</v>
      </c>
      <c r="D88" s="521"/>
    </row>
    <row r="89" spans="2:4" x14ac:dyDescent="0.15">
      <c r="B89" s="521" t="s">
        <v>163</v>
      </c>
      <c r="C89" s="521"/>
      <c r="D89" s="521"/>
    </row>
    <row r="90" spans="2:4" x14ac:dyDescent="0.15">
      <c r="B90" s="521" t="s">
        <v>165</v>
      </c>
      <c r="C90" s="521"/>
      <c r="D90" s="521"/>
    </row>
    <row r="91" spans="2:4" x14ac:dyDescent="0.15">
      <c r="B91" s="521" t="s">
        <v>167</v>
      </c>
      <c r="C91" s="521"/>
      <c r="D91" s="521"/>
    </row>
  </sheetData>
  <conditionalFormatting sqref="X43:AA58">
    <cfRule type="colorScale" priority="19">
      <colorScale>
        <cfvo type="min"/>
        <cfvo type="percentile" val="50"/>
        <cfvo type="max"/>
        <color rgb="FFFFFFFF"/>
        <color rgb="FFCCFFFF"/>
        <color rgb="FF808080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AF43:AL43 AF45:AL58 AF44:AI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N45:N5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U38 J24:P24 L39:U40 L41">
    <cfRule type="cellIs" dxfId="6" priority="14" operator="between">
      <formula>0.1</formula>
      <formula>8</formula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J39:K39">
    <cfRule type="cellIs" dxfId="5" priority="21" operator="between">
      <formula>0.1</formula>
      <formula>10</formula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AG24:AG37 AW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24:AF38 AV39">
    <cfRule type="colorScale" priority="24">
      <colorScale>
        <cfvo type="min"/>
        <cfvo type="max"/>
        <color rgb="FFFFEF9C"/>
        <color rgb="FF63BE7B"/>
      </colorScale>
    </cfRule>
  </conditionalFormatting>
  <conditionalFormatting sqref="M21:X21 AG22 K22:Y22 M4:S4 Y4:AJ4 U23 AL20:AZ20 AK4:AK17 M5:AJ17 M18:Y20 Z18:AN19 AO21:AO22">
    <cfRule type="cellIs" dxfId="4" priority="25" operator="between">
      <formula>0.1</formula>
      <formula>10</formula>
    </cfRule>
    <cfRule type="colorScale" priority="26">
      <colorScale>
        <cfvo type="min"/>
        <cfvo type="max"/>
        <color rgb="FFFFEF9C"/>
        <color rgb="FF63BE7B"/>
      </colorScale>
    </cfRule>
  </conditionalFormatting>
  <conditionalFormatting sqref="K45:K56 K58">
    <cfRule type="cellIs" dxfId="3" priority="10" operator="between">
      <formula>0.1</formula>
      <formula>10</formula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L42:L58">
    <cfRule type="cellIs" dxfId="2" priority="12" operator="between">
      <formula>0.1</formula>
      <formula>10</formula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AF24:AG37 AF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4:AM37">
    <cfRule type="cellIs" dxfId="1" priority="6" operator="between">
      <formula>0.1</formula>
      <formula>10</formula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Z20:AK2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24:AD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6:AC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">
    <cfRule type="cellIs" dxfId="0" priority="1" operator="between">
      <formula>0.1</formula>
      <formula>10</formula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34" sqref="I34"/>
    </sheetView>
  </sheetViews>
  <sheetFormatPr defaultColWidth="9.1640625" defaultRowHeight="10.5" x14ac:dyDescent="0.15"/>
  <cols>
    <col min="1" max="1" width="9.1640625" style="12"/>
    <col min="2" max="2" width="10.83203125" style="12" bestFit="1" customWidth="1"/>
    <col min="3" max="3" width="11.1640625" style="12" customWidth="1"/>
    <col min="4" max="5" width="13.5" style="12" customWidth="1"/>
    <col min="6" max="6" width="9.1640625" style="12"/>
    <col min="7" max="7" width="13.5" style="12" customWidth="1"/>
    <col min="8" max="8" width="10.83203125" style="12" bestFit="1" customWidth="1"/>
    <col min="9" max="9" width="9.1640625" style="12"/>
    <col min="10" max="13" width="9.5" style="12" customWidth="1"/>
    <col min="14" max="21" width="12.6640625" style="12" bestFit="1" customWidth="1"/>
    <col min="22" max="16384" width="9.1640625" style="12"/>
  </cols>
  <sheetData>
    <row r="1" spans="1:13" x14ac:dyDescent="0.15">
      <c r="A1" s="12" t="s">
        <v>184</v>
      </c>
      <c r="F1" s="12" t="s">
        <v>184</v>
      </c>
      <c r="J1" s="13" t="s">
        <v>185</v>
      </c>
    </row>
    <row r="2" spans="1:13" x14ac:dyDescent="0.15">
      <c r="J2" s="13" t="s">
        <v>186</v>
      </c>
    </row>
    <row r="3" spans="1:13" x14ac:dyDescent="0.15">
      <c r="A3" s="14" t="s">
        <v>187</v>
      </c>
      <c r="B3" s="14" t="s">
        <v>188</v>
      </c>
      <c r="C3" s="14" t="s">
        <v>189</v>
      </c>
      <c r="D3" s="14" t="s">
        <v>190</v>
      </c>
      <c r="E3" s="14" t="s">
        <v>191</v>
      </c>
      <c r="F3" s="14" t="s">
        <v>187</v>
      </c>
      <c r="G3" s="14" t="s">
        <v>190</v>
      </c>
    </row>
    <row r="4" spans="1:13" x14ac:dyDescent="0.15">
      <c r="A4" s="15">
        <v>2000</v>
      </c>
      <c r="B4" s="16">
        <v>282171957</v>
      </c>
      <c r="C4" s="16">
        <v>3814413</v>
      </c>
      <c r="D4" s="16">
        <f>C4+B4</f>
        <v>285986370</v>
      </c>
      <c r="E4" s="16">
        <v>389929</v>
      </c>
      <c r="F4" s="15">
        <v>2000</v>
      </c>
      <c r="G4" s="16">
        <f>D4+E4</f>
        <v>286376299</v>
      </c>
      <c r="J4" s="17" t="s">
        <v>192</v>
      </c>
      <c r="K4" s="17"/>
      <c r="L4" s="17"/>
      <c r="M4" s="17"/>
    </row>
    <row r="5" spans="1:13" x14ac:dyDescent="0.15">
      <c r="A5" s="15">
        <v>2001</v>
      </c>
      <c r="B5" s="16">
        <v>285081556</v>
      </c>
      <c r="C5" s="16">
        <v>3837768</v>
      </c>
      <c r="D5" s="16">
        <f t="shared" ref="D5:D24" si="0">C5+B5</f>
        <v>288919324</v>
      </c>
      <c r="E5" s="16">
        <v>389929</v>
      </c>
      <c r="F5" s="15">
        <v>2001</v>
      </c>
      <c r="G5" s="16">
        <f t="shared" ref="G5:G24" si="1">D5+E5</f>
        <v>289309253</v>
      </c>
      <c r="J5" s="17" t="s">
        <v>193</v>
      </c>
      <c r="K5" s="17"/>
      <c r="L5" s="17"/>
      <c r="M5" s="17"/>
    </row>
    <row r="6" spans="1:13" x14ac:dyDescent="0.15">
      <c r="A6" s="15">
        <v>2002</v>
      </c>
      <c r="B6" s="16">
        <v>287803914</v>
      </c>
      <c r="C6" s="16">
        <v>3858272</v>
      </c>
      <c r="D6" s="16">
        <f t="shared" si="0"/>
        <v>291662186</v>
      </c>
      <c r="E6" s="16">
        <v>389929</v>
      </c>
      <c r="F6" s="15">
        <v>2002</v>
      </c>
      <c r="G6" s="16">
        <f t="shared" si="1"/>
        <v>292052115</v>
      </c>
      <c r="J6" s="18" t="s">
        <v>194</v>
      </c>
      <c r="K6" s="17"/>
      <c r="L6" s="17"/>
      <c r="M6" s="17"/>
    </row>
    <row r="7" spans="1:13" x14ac:dyDescent="0.15">
      <c r="A7" s="15">
        <v>2003</v>
      </c>
      <c r="B7" s="16">
        <v>290326418</v>
      </c>
      <c r="C7" s="16">
        <v>3876637</v>
      </c>
      <c r="D7" s="16">
        <f t="shared" si="0"/>
        <v>294203055</v>
      </c>
      <c r="E7" s="16">
        <v>389929</v>
      </c>
      <c r="F7" s="15">
        <v>2003</v>
      </c>
      <c r="G7" s="16">
        <f t="shared" si="1"/>
        <v>294592984</v>
      </c>
      <c r="J7" s="17"/>
      <c r="K7" s="17"/>
      <c r="L7" s="17"/>
      <c r="M7" s="17"/>
    </row>
    <row r="8" spans="1:13" x14ac:dyDescent="0.15">
      <c r="A8" s="15">
        <v>2004</v>
      </c>
      <c r="B8" s="16">
        <v>293045739</v>
      </c>
      <c r="C8" s="16">
        <v>3893931</v>
      </c>
      <c r="D8" s="16">
        <f t="shared" si="0"/>
        <v>296939670</v>
      </c>
      <c r="E8" s="16">
        <v>389929</v>
      </c>
      <c r="F8" s="15">
        <v>2004</v>
      </c>
      <c r="G8" s="16">
        <f t="shared" si="1"/>
        <v>297329599</v>
      </c>
      <c r="J8" s="12" t="s">
        <v>195</v>
      </c>
    </row>
    <row r="9" spans="1:13" x14ac:dyDescent="0.15">
      <c r="A9" s="15">
        <v>2005</v>
      </c>
      <c r="B9" s="16">
        <v>295753151</v>
      </c>
      <c r="C9" s="16">
        <v>3910722</v>
      </c>
      <c r="D9" s="16">
        <f t="shared" si="0"/>
        <v>299663873</v>
      </c>
      <c r="E9" s="16">
        <v>389929</v>
      </c>
      <c r="F9" s="15">
        <v>2005</v>
      </c>
      <c r="G9" s="16">
        <f t="shared" si="1"/>
        <v>300053802</v>
      </c>
      <c r="J9" s="12" t="s">
        <v>196</v>
      </c>
    </row>
    <row r="10" spans="1:13" x14ac:dyDescent="0.15">
      <c r="A10" s="15">
        <v>2006</v>
      </c>
      <c r="B10" s="16">
        <v>298593212</v>
      </c>
      <c r="C10" s="16">
        <v>3926744</v>
      </c>
      <c r="D10" s="16">
        <f t="shared" si="0"/>
        <v>302519956</v>
      </c>
      <c r="E10" s="16">
        <v>389929</v>
      </c>
      <c r="F10" s="15">
        <v>2006</v>
      </c>
      <c r="G10" s="16">
        <f t="shared" si="1"/>
        <v>302909885</v>
      </c>
      <c r="J10" s="12" t="s">
        <v>197</v>
      </c>
    </row>
    <row r="11" spans="1:13" x14ac:dyDescent="0.15">
      <c r="A11" s="15">
        <v>2007</v>
      </c>
      <c r="B11" s="16">
        <v>301579895</v>
      </c>
      <c r="C11" s="16">
        <v>3941235</v>
      </c>
      <c r="D11" s="16">
        <f t="shared" si="0"/>
        <v>305521130</v>
      </c>
      <c r="E11" s="16">
        <v>389929</v>
      </c>
      <c r="F11" s="15">
        <v>2007</v>
      </c>
      <c r="G11" s="16">
        <f t="shared" si="1"/>
        <v>305911059</v>
      </c>
    </row>
    <row r="12" spans="1:13" x14ac:dyDescent="0.15">
      <c r="A12" s="15">
        <v>2008</v>
      </c>
      <c r="B12" s="16">
        <v>304374846</v>
      </c>
      <c r="C12" s="16">
        <v>3954553</v>
      </c>
      <c r="D12" s="16">
        <f t="shared" si="0"/>
        <v>308329399</v>
      </c>
      <c r="E12" s="16">
        <v>389929</v>
      </c>
      <c r="F12" s="15">
        <v>2008</v>
      </c>
      <c r="G12" s="16">
        <f t="shared" si="1"/>
        <v>308719328</v>
      </c>
      <c r="J12" s="12" t="s">
        <v>198</v>
      </c>
      <c r="K12" s="17"/>
      <c r="L12" s="17"/>
      <c r="M12" s="17"/>
    </row>
    <row r="13" spans="1:13" ht="11.25" thickBot="1" x14ac:dyDescent="0.2">
      <c r="A13" s="19">
        <v>2009</v>
      </c>
      <c r="B13" s="20">
        <v>307006550</v>
      </c>
      <c r="C13" s="20">
        <v>3967288</v>
      </c>
      <c r="D13" s="20">
        <f t="shared" si="0"/>
        <v>310973838</v>
      </c>
      <c r="E13" s="20">
        <v>389929</v>
      </c>
      <c r="F13" s="19">
        <v>2009</v>
      </c>
      <c r="G13" s="20">
        <f t="shared" si="1"/>
        <v>311363767</v>
      </c>
      <c r="J13" s="12" t="s">
        <v>199</v>
      </c>
      <c r="K13" s="17"/>
      <c r="L13" s="17"/>
      <c r="M13" s="17"/>
    </row>
    <row r="14" spans="1:13" x14ac:dyDescent="0.15">
      <c r="A14" s="21">
        <v>2010</v>
      </c>
      <c r="B14" s="22">
        <v>309321666</v>
      </c>
      <c r="C14" s="22">
        <v>3721525</v>
      </c>
      <c r="D14" s="22">
        <f t="shared" si="0"/>
        <v>313043191</v>
      </c>
      <c r="E14" s="22">
        <v>375165</v>
      </c>
      <c r="F14" s="21">
        <v>2010</v>
      </c>
      <c r="G14" s="22">
        <f t="shared" si="1"/>
        <v>313418356</v>
      </c>
      <c r="J14" s="12" t="s">
        <v>200</v>
      </c>
    </row>
    <row r="15" spans="1:13" x14ac:dyDescent="0.15">
      <c r="A15" s="15">
        <v>2011</v>
      </c>
      <c r="B15" s="16">
        <v>311556874</v>
      </c>
      <c r="C15" s="16">
        <v>3678732</v>
      </c>
      <c r="D15" s="16">
        <f t="shared" si="0"/>
        <v>315235606</v>
      </c>
      <c r="E15" s="16">
        <v>375165</v>
      </c>
      <c r="F15" s="15">
        <v>2011</v>
      </c>
      <c r="G15" s="16">
        <f t="shared" si="1"/>
        <v>315610771</v>
      </c>
    </row>
    <row r="16" spans="1:13" x14ac:dyDescent="0.15">
      <c r="A16" s="15">
        <v>2012</v>
      </c>
      <c r="B16" s="16">
        <v>313830990</v>
      </c>
      <c r="C16" s="16">
        <v>3634488</v>
      </c>
      <c r="D16" s="16">
        <f t="shared" si="0"/>
        <v>317465478</v>
      </c>
      <c r="E16" s="16">
        <v>375165</v>
      </c>
      <c r="F16" s="15">
        <v>2012</v>
      </c>
      <c r="G16" s="16">
        <f t="shared" si="1"/>
        <v>317840643</v>
      </c>
      <c r="K16" s="12">
        <v>1990</v>
      </c>
      <c r="L16" s="12">
        <v>2000</v>
      </c>
      <c r="M16" s="12">
        <v>2010</v>
      </c>
    </row>
    <row r="17" spans="1:13" x14ac:dyDescent="0.15">
      <c r="A17" s="15">
        <v>2013</v>
      </c>
      <c r="B17" s="16">
        <v>315993715</v>
      </c>
      <c r="C17" s="16">
        <v>3593077</v>
      </c>
      <c r="D17" s="16">
        <f t="shared" si="0"/>
        <v>319586792</v>
      </c>
      <c r="E17" s="16">
        <v>375165</v>
      </c>
      <c r="F17" s="15">
        <v>2013</v>
      </c>
      <c r="G17" s="16">
        <f t="shared" si="1"/>
        <v>319961957</v>
      </c>
      <c r="J17" s="23" t="s">
        <v>201</v>
      </c>
      <c r="K17" s="24">
        <v>46773</v>
      </c>
      <c r="L17" s="24">
        <v>57291</v>
      </c>
      <c r="M17" s="24">
        <v>55519</v>
      </c>
    </row>
    <row r="18" spans="1:13" x14ac:dyDescent="0.15">
      <c r="A18" s="15">
        <v>2014</v>
      </c>
      <c r="B18" s="16">
        <v>318301008</v>
      </c>
      <c r="C18" s="16">
        <v>3534874</v>
      </c>
      <c r="D18" s="16">
        <f t="shared" si="0"/>
        <v>321835882</v>
      </c>
      <c r="E18" s="16">
        <v>375165</v>
      </c>
      <c r="F18" s="15">
        <v>2014</v>
      </c>
      <c r="G18" s="16">
        <f t="shared" si="1"/>
        <v>322211047</v>
      </c>
      <c r="J18" s="23" t="s">
        <v>202</v>
      </c>
      <c r="K18" s="24">
        <v>43345</v>
      </c>
      <c r="L18" s="24">
        <v>69221</v>
      </c>
      <c r="M18" s="24">
        <v>53883</v>
      </c>
    </row>
    <row r="19" spans="1:13" x14ac:dyDescent="0.15">
      <c r="A19" s="15">
        <v>2015</v>
      </c>
      <c r="B19" s="16">
        <v>320635163</v>
      </c>
      <c r="C19" s="16">
        <v>3473232</v>
      </c>
      <c r="D19" s="16">
        <f t="shared" si="0"/>
        <v>324108395</v>
      </c>
      <c r="E19" s="16">
        <v>375165</v>
      </c>
      <c r="F19" s="15">
        <v>2015</v>
      </c>
      <c r="G19" s="16">
        <f t="shared" si="1"/>
        <v>324483560</v>
      </c>
      <c r="J19" s="23" t="s">
        <v>203</v>
      </c>
      <c r="K19" s="24">
        <v>133152</v>
      </c>
      <c r="L19" s="24">
        <v>154805</v>
      </c>
      <c r="M19" s="24">
        <v>159358</v>
      </c>
    </row>
    <row r="20" spans="1:13" x14ac:dyDescent="0.15">
      <c r="A20" s="15">
        <v>2016</v>
      </c>
      <c r="B20" s="16">
        <v>322941311</v>
      </c>
      <c r="C20" s="16">
        <v>3406672</v>
      </c>
      <c r="D20" s="16">
        <f t="shared" si="0"/>
        <v>326347983</v>
      </c>
      <c r="E20" s="16">
        <v>375165</v>
      </c>
      <c r="F20" s="15">
        <v>2016</v>
      </c>
      <c r="G20" s="16">
        <f t="shared" si="1"/>
        <v>326723148</v>
      </c>
      <c r="J20" s="23" t="s">
        <v>204</v>
      </c>
      <c r="K20" s="24">
        <v>101809</v>
      </c>
      <c r="L20" s="24">
        <v>108612</v>
      </c>
      <c r="M20" s="24">
        <v>106405</v>
      </c>
    </row>
    <row r="21" spans="1:13" x14ac:dyDescent="0.15">
      <c r="A21" s="15">
        <v>2017</v>
      </c>
      <c r="B21" s="16">
        <v>324985539</v>
      </c>
      <c r="C21" s="16">
        <v>3325286</v>
      </c>
      <c r="D21" s="16">
        <f t="shared" si="0"/>
        <v>328310825</v>
      </c>
      <c r="E21" s="16">
        <v>375165</v>
      </c>
      <c r="F21" s="15">
        <v>2017</v>
      </c>
      <c r="G21" s="16">
        <f t="shared" si="1"/>
        <v>328685990</v>
      </c>
    </row>
    <row r="22" spans="1:13" x14ac:dyDescent="0.15">
      <c r="A22" s="15">
        <v>2018</v>
      </c>
      <c r="B22" s="16">
        <v>326687501</v>
      </c>
      <c r="C22" s="16">
        <v>3193354</v>
      </c>
      <c r="D22" s="16">
        <f t="shared" si="0"/>
        <v>329880855</v>
      </c>
      <c r="E22" s="16">
        <v>375165</v>
      </c>
      <c r="F22" s="15">
        <v>2018</v>
      </c>
      <c r="G22" s="16">
        <f t="shared" si="1"/>
        <v>330256020</v>
      </c>
      <c r="J22" s="25" t="s">
        <v>205</v>
      </c>
      <c r="K22" s="24">
        <f>SUM(K17:K20)</f>
        <v>325079</v>
      </c>
      <c r="L22" s="24">
        <f>SUM(L17:L20)</f>
        <v>389929</v>
      </c>
      <c r="M22" s="24">
        <f>SUM(M17:M20)</f>
        <v>375165</v>
      </c>
    </row>
    <row r="23" spans="1:13" ht="11.25" thickBot="1" x14ac:dyDescent="0.2">
      <c r="A23" s="19">
        <v>2019</v>
      </c>
      <c r="B23" s="20">
        <v>328239523</v>
      </c>
      <c r="C23" s="20">
        <v>3193694</v>
      </c>
      <c r="D23" s="20">
        <f t="shared" si="0"/>
        <v>331433217</v>
      </c>
      <c r="E23" s="20">
        <v>375165</v>
      </c>
      <c r="F23" s="19">
        <v>2019</v>
      </c>
      <c r="G23" s="20">
        <f t="shared" si="1"/>
        <v>331808382</v>
      </c>
      <c r="L23" s="25"/>
    </row>
    <row r="24" spans="1:13" x14ac:dyDescent="0.15">
      <c r="A24" s="21">
        <v>2020</v>
      </c>
      <c r="B24" s="22">
        <v>331449281</v>
      </c>
      <c r="C24" s="22">
        <v>3285874</v>
      </c>
      <c r="D24" s="22">
        <f t="shared" si="0"/>
        <v>334735155</v>
      </c>
      <c r="E24" s="22">
        <v>375165</v>
      </c>
      <c r="F24" s="21">
        <v>2020</v>
      </c>
      <c r="G24" s="22">
        <f t="shared" si="1"/>
        <v>335110320</v>
      </c>
      <c r="J24" s="12" t="s">
        <v>206</v>
      </c>
      <c r="L24" s="25"/>
    </row>
    <row r="29" spans="1:13" x14ac:dyDescent="0.15">
      <c r="A29" t="s">
        <v>217</v>
      </c>
      <c r="B29"/>
      <c r="C29"/>
    </row>
    <row r="30" spans="1:13" x14ac:dyDescent="0.15">
      <c r="A30"/>
      <c r="B30"/>
      <c r="C30"/>
    </row>
    <row r="31" spans="1:13" x14ac:dyDescent="0.15">
      <c r="A31" s="27">
        <v>0.67850902737332552</v>
      </c>
      <c r="B31" s="1" t="s">
        <v>218</v>
      </c>
      <c r="C31"/>
    </row>
    <row r="32" spans="1:13" x14ac:dyDescent="0.15">
      <c r="A32" s="27">
        <v>2.8947894658899194</v>
      </c>
      <c r="B32" s="28" t="s">
        <v>219</v>
      </c>
      <c r="C32"/>
    </row>
    <row r="33" spans="1:3" x14ac:dyDescent="0.15">
      <c r="A33" s="27">
        <f>A31*A32</f>
        <v>1.9641407849515178</v>
      </c>
      <c r="B33" s="28" t="s">
        <v>220</v>
      </c>
      <c r="C33"/>
    </row>
    <row r="34" spans="1:3" x14ac:dyDescent="0.15">
      <c r="A34"/>
      <c r="B34"/>
      <c r="C34"/>
    </row>
    <row r="35" spans="1:3" x14ac:dyDescent="0.15">
      <c r="A35" s="4">
        <v>1237631.1760656985</v>
      </c>
      <c r="B35" s="1" t="s">
        <v>107</v>
      </c>
      <c r="C35"/>
    </row>
    <row r="36" spans="1:3" x14ac:dyDescent="0.15">
      <c r="A36" s="26">
        <f>A35*A33</f>
        <v>2430881.869638151</v>
      </c>
      <c r="B36" t="s">
        <v>221</v>
      </c>
      <c r="C36"/>
    </row>
    <row r="37" spans="1:3" x14ac:dyDescent="0.15">
      <c r="A37" s="26">
        <f>A36/1000</f>
        <v>2430.8818696381509</v>
      </c>
      <c r="B37" t="s">
        <v>222</v>
      </c>
      <c r="C37"/>
    </row>
    <row r="38" spans="1:3" x14ac:dyDescent="0.15">
      <c r="A38"/>
      <c r="B38"/>
      <c r="C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filled chart</vt:lpstr>
      <vt:lpstr>President's estimate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2021-06-26T21:31:30Z</dcterms:created>
  <dcterms:modified xsi:type="dcterms:W3CDTF">2021-12-26T01:23:01Z</dcterms:modified>
</cp:coreProperties>
</file>