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user\Documents\00w\0 Terrorism\"/>
    </mc:Choice>
  </mc:AlternateContent>
  <bookViews>
    <workbookView xWindow="0" yWindow="0" windowWidth="28800" windowHeight="12675" tabRatio="788"/>
  </bookViews>
  <sheets>
    <sheet name="Product probabilities" sheetId="10" r:id="rId1"/>
    <sheet name="Lugar 5 year distributions" sheetId="8" r:id="rId2"/>
    <sheet name="Lugar 10 year distributions" sheetId="9" r:id="rId3"/>
    <sheet name="Lugar Survey summary numbers" sheetId="5" r:id="rId4"/>
    <sheet name="Net - President's estimat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0" l="1"/>
  <c r="A5" i="10" s="1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B72" i="10"/>
  <c r="O73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AB73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B74" i="10"/>
  <c r="O75" i="10"/>
  <c r="P75" i="10"/>
  <c r="Q75" i="10"/>
  <c r="R75" i="10"/>
  <c r="S75" i="10"/>
  <c r="T75" i="10"/>
  <c r="U75" i="10"/>
  <c r="V75" i="10"/>
  <c r="W75" i="10"/>
  <c r="X75" i="10"/>
  <c r="Y75" i="10"/>
  <c r="Z75" i="10"/>
  <c r="AA75" i="10"/>
  <c r="AB75" i="10"/>
  <c r="O76" i="10"/>
  <c r="P76" i="10"/>
  <c r="Q76" i="10"/>
  <c r="R76" i="10"/>
  <c r="S76" i="10"/>
  <c r="T76" i="10"/>
  <c r="U76" i="10"/>
  <c r="V76" i="10"/>
  <c r="W76" i="10"/>
  <c r="X76" i="10"/>
  <c r="Y76" i="10"/>
  <c r="Z76" i="10"/>
  <c r="AA76" i="10"/>
  <c r="AB76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B77" i="10"/>
  <c r="O78" i="10"/>
  <c r="P78" i="10"/>
  <c r="Q78" i="10"/>
  <c r="R78" i="10"/>
  <c r="S78" i="10"/>
  <c r="T78" i="10"/>
  <c r="U78" i="10"/>
  <c r="V78" i="10"/>
  <c r="W78" i="10"/>
  <c r="X78" i="10"/>
  <c r="Y78" i="10"/>
  <c r="Z78" i="10"/>
  <c r="AA78" i="10"/>
  <c r="AB78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B79" i="10"/>
  <c r="O80" i="10"/>
  <c r="P80" i="10"/>
  <c r="Q80" i="10"/>
  <c r="R80" i="10"/>
  <c r="S80" i="10"/>
  <c r="T80" i="10"/>
  <c r="U80" i="10"/>
  <c r="V80" i="10"/>
  <c r="W80" i="10"/>
  <c r="X80" i="10"/>
  <c r="Y80" i="10"/>
  <c r="Z80" i="10"/>
  <c r="AA80" i="10"/>
  <c r="AB80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O84" i="10"/>
  <c r="P84" i="10"/>
  <c r="Q84" i="10"/>
  <c r="R84" i="10"/>
  <c r="S84" i="10"/>
  <c r="T84" i="10"/>
  <c r="U84" i="10"/>
  <c r="V84" i="10"/>
  <c r="W84" i="10"/>
  <c r="X84" i="10"/>
  <c r="Y84" i="10"/>
  <c r="Z84" i="10"/>
  <c r="AA84" i="10"/>
  <c r="AB84" i="10"/>
  <c r="O85" i="10"/>
  <c r="P85" i="10"/>
  <c r="Q85" i="10"/>
  <c r="R85" i="10"/>
  <c r="S85" i="10"/>
  <c r="T85" i="10"/>
  <c r="U85" i="10"/>
  <c r="V85" i="10"/>
  <c r="W85" i="10"/>
  <c r="X85" i="10"/>
  <c r="Y85" i="10"/>
  <c r="Z85" i="10"/>
  <c r="AA85" i="10"/>
  <c r="AB85" i="10"/>
  <c r="O86" i="10"/>
  <c r="P86" i="10"/>
  <c r="Q86" i="10"/>
  <c r="R86" i="10"/>
  <c r="S86" i="10"/>
  <c r="T86" i="10"/>
  <c r="U86" i="10"/>
  <c r="V86" i="10"/>
  <c r="W86" i="10"/>
  <c r="X86" i="10"/>
  <c r="Y86" i="10"/>
  <c r="Z86" i="10"/>
  <c r="AA86" i="10"/>
  <c r="AB86" i="10"/>
  <c r="O87" i="10"/>
  <c r="P87" i="10"/>
  <c r="Q87" i="10"/>
  <c r="R87" i="10"/>
  <c r="S87" i="10"/>
  <c r="T87" i="10"/>
  <c r="U87" i="10"/>
  <c r="V87" i="10"/>
  <c r="W87" i="10"/>
  <c r="X87" i="10"/>
  <c r="Y87" i="10"/>
  <c r="Z87" i="10"/>
  <c r="AA87" i="10"/>
  <c r="AB87" i="10"/>
  <c r="O88" i="10"/>
  <c r="P88" i="10"/>
  <c r="Q88" i="10"/>
  <c r="R88" i="10"/>
  <c r="S88" i="10"/>
  <c r="T88" i="10"/>
  <c r="U88" i="10"/>
  <c r="V88" i="10"/>
  <c r="W88" i="10"/>
  <c r="X88" i="10"/>
  <c r="Y88" i="10"/>
  <c r="Z88" i="10"/>
  <c r="AA88" i="10"/>
  <c r="AB88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B71" i="10"/>
  <c r="O71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O57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AB57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AB58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B59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B60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AB61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B62" i="10"/>
  <c r="O63" i="10"/>
  <c r="P63" i="10"/>
  <c r="Q63" i="10"/>
  <c r="R63" i="10"/>
  <c r="S63" i="10"/>
  <c r="T63" i="10"/>
  <c r="U63" i="10"/>
  <c r="V63" i="10"/>
  <c r="W63" i="10"/>
  <c r="X63" i="10"/>
  <c r="Y63" i="10"/>
  <c r="Z63" i="10"/>
  <c r="AA63" i="10"/>
  <c r="AB63" i="10"/>
  <c r="O64" i="10"/>
  <c r="P64" i="10"/>
  <c r="Q64" i="10"/>
  <c r="R64" i="10"/>
  <c r="S64" i="10"/>
  <c r="T64" i="10"/>
  <c r="U64" i="10"/>
  <c r="V64" i="10"/>
  <c r="W64" i="10"/>
  <c r="X64" i="10"/>
  <c r="Y64" i="10"/>
  <c r="Z64" i="10"/>
  <c r="AA64" i="10"/>
  <c r="AB64" i="10"/>
  <c r="O65" i="10"/>
  <c r="P65" i="10"/>
  <c r="Q65" i="10"/>
  <c r="R65" i="10"/>
  <c r="S65" i="10"/>
  <c r="T65" i="10"/>
  <c r="U65" i="10"/>
  <c r="V65" i="10"/>
  <c r="W65" i="10"/>
  <c r="X65" i="10"/>
  <c r="Y65" i="10"/>
  <c r="Z65" i="10"/>
  <c r="AA65" i="10"/>
  <c r="AB65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B66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O49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O27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O5" i="10"/>
  <c r="BF33" i="9"/>
  <c r="BF32" i="9"/>
  <c r="BF31" i="9"/>
  <c r="BF30" i="9"/>
  <c r="BF29" i="9"/>
  <c r="BF28" i="9"/>
  <c r="BF27" i="9"/>
  <c r="BF26" i="9"/>
  <c r="BF25" i="9"/>
  <c r="AW33" i="9"/>
  <c r="AW32" i="9"/>
  <c r="AW31" i="9"/>
  <c r="AW30" i="9"/>
  <c r="AW29" i="9"/>
  <c r="AW28" i="9"/>
  <c r="AW27" i="9"/>
  <c r="AW26" i="9"/>
  <c r="AW25" i="9"/>
  <c r="AN33" i="9"/>
  <c r="AN32" i="9"/>
  <c r="AN31" i="9"/>
  <c r="AN30" i="9"/>
  <c r="AN29" i="9"/>
  <c r="AN28" i="9"/>
  <c r="AN27" i="9"/>
  <c r="AN26" i="9"/>
  <c r="AN25" i="9"/>
  <c r="AE26" i="9"/>
  <c r="AE27" i="9"/>
  <c r="AE28" i="9"/>
  <c r="AE29" i="9"/>
  <c r="AE30" i="9"/>
  <c r="AE31" i="9"/>
  <c r="AE32" i="9"/>
  <c r="AE33" i="9"/>
  <c r="AE25" i="9"/>
  <c r="BF33" i="8" a="1"/>
  <c r="BF33" i="8" s="1"/>
  <c r="BF32" i="8" a="1"/>
  <c r="BF32" i="8" s="1"/>
  <c r="BF31" i="8" a="1"/>
  <c r="BF31" i="8" s="1"/>
  <c r="BF30" i="8" a="1"/>
  <c r="BF30" i="8" s="1"/>
  <c r="BF29" i="8" a="1"/>
  <c r="BF29" i="8" s="1"/>
  <c r="BF28" i="8" a="1"/>
  <c r="BF28" i="8" s="1"/>
  <c r="BF27" i="8" a="1"/>
  <c r="BF27" i="8" s="1"/>
  <c r="BF26" i="8" a="1"/>
  <c r="BF26" i="8" s="1"/>
  <c r="BF25" i="8" a="1"/>
  <c r="BF25" i="8" s="1"/>
  <c r="AW33" i="8" a="1"/>
  <c r="AW33" i="8" s="1"/>
  <c r="AW32" i="8" a="1"/>
  <c r="AW32" i="8" s="1"/>
  <c r="AW31" i="8" a="1"/>
  <c r="AW31" i="8" s="1"/>
  <c r="AW30" i="8" a="1"/>
  <c r="AW30" i="8" s="1"/>
  <c r="AW29" i="8" a="1"/>
  <c r="AW29" i="8" s="1"/>
  <c r="AW28" i="8" a="1"/>
  <c r="AW28" i="8" s="1"/>
  <c r="AW27" i="8" a="1"/>
  <c r="AW27" i="8" s="1"/>
  <c r="AW26" i="8" a="1"/>
  <c r="AW26" i="8" s="1"/>
  <c r="AW25" i="8" a="1"/>
  <c r="AW25" i="8" s="1"/>
  <c r="AN33" i="8" a="1"/>
  <c r="AN33" i="8" s="1"/>
  <c r="AN32" i="8" a="1"/>
  <c r="AN32" i="8" s="1"/>
  <c r="AN31" i="8" a="1"/>
  <c r="AN31" i="8" s="1"/>
  <c r="AN30" i="8" a="1"/>
  <c r="AN30" i="8" s="1"/>
  <c r="AN29" i="8" a="1"/>
  <c r="AN29" i="8" s="1"/>
  <c r="AN28" i="8" a="1"/>
  <c r="AN28" i="8" s="1"/>
  <c r="AN27" i="8" a="1"/>
  <c r="AN27" i="8" s="1"/>
  <c r="AN26" i="8" a="1"/>
  <c r="AN26" i="8" s="1"/>
  <c r="AN25" i="8" a="1"/>
  <c r="AN25" i="8" s="1"/>
  <c r="AE26" i="8" a="1"/>
  <c r="AE26" i="8" s="1"/>
  <c r="AE27" i="8" a="1"/>
  <c r="AE27" i="8" s="1"/>
  <c r="AE28" i="8" a="1"/>
  <c r="AE28" i="8" s="1"/>
  <c r="AE29" i="8" a="1"/>
  <c r="AE29" i="8" s="1"/>
  <c r="AE30" i="8" a="1"/>
  <c r="AE30" i="8" s="1"/>
  <c r="AE31" i="8" a="1"/>
  <c r="AE31" i="8" s="1"/>
  <c r="AE32" i="8" a="1"/>
  <c r="AE32" i="8" s="1"/>
  <c r="AE33" i="8" a="1"/>
  <c r="AE33" i="8" s="1"/>
  <c r="AE25" i="8" a="1"/>
  <c r="AE25" i="8" s="1"/>
  <c r="BE18" i="8"/>
  <c r="BE17" i="8"/>
  <c r="BE16" i="8"/>
  <c r="BE15" i="8"/>
  <c r="BE14" i="8"/>
  <c r="BE13" i="8"/>
  <c r="BE12" i="8"/>
  <c r="BE11" i="8"/>
  <c r="BE10" i="8"/>
  <c r="BE9" i="8"/>
  <c r="BE8" i="8"/>
  <c r="BE7" i="8"/>
  <c r="AV20" i="8"/>
  <c r="AV19" i="8"/>
  <c r="AV18" i="8"/>
  <c r="AV17" i="8"/>
  <c r="AV16" i="8"/>
  <c r="AV15" i="8"/>
  <c r="AV14" i="8"/>
  <c r="AV13" i="8"/>
  <c r="AV12" i="8"/>
  <c r="AV11" i="8"/>
  <c r="AV10" i="8"/>
  <c r="AV9" i="8"/>
  <c r="AV8" i="8"/>
  <c r="AV7" i="8"/>
  <c r="AM19" i="8"/>
  <c r="AM18" i="8"/>
  <c r="AM17" i="8"/>
  <c r="AM16" i="8"/>
  <c r="AM15" i="8"/>
  <c r="AM14" i="8"/>
  <c r="AM13" i="8"/>
  <c r="AM12" i="8"/>
  <c r="AM11" i="8"/>
  <c r="AM10" i="8"/>
  <c r="AM9" i="8"/>
  <c r="AM8" i="8"/>
  <c r="AM7" i="8"/>
  <c r="AD20" i="8"/>
  <c r="AD19" i="8"/>
  <c r="AD18" i="8"/>
  <c r="AD17" i="8"/>
  <c r="AD16" i="8"/>
  <c r="AD15" i="8"/>
  <c r="AD14" i="8"/>
  <c r="AD13" i="8"/>
  <c r="AD12" i="8"/>
  <c r="AD11" i="8"/>
  <c r="AD10" i="8"/>
  <c r="AD9" i="8"/>
  <c r="AD8" i="8"/>
  <c r="AD7" i="8"/>
  <c r="BE19" i="9"/>
  <c r="BE18" i="9"/>
  <c r="BE17" i="9"/>
  <c r="BE16" i="9"/>
  <c r="BE15" i="9"/>
  <c r="BE14" i="9"/>
  <c r="BE13" i="9"/>
  <c r="BE12" i="9"/>
  <c r="BE11" i="9"/>
  <c r="BE10" i="9"/>
  <c r="BE9" i="9"/>
  <c r="BE8" i="9"/>
  <c r="BE7" i="9"/>
  <c r="AV19" i="9"/>
  <c r="AV18" i="9"/>
  <c r="AV17" i="9"/>
  <c r="AV16" i="9"/>
  <c r="AV15" i="9"/>
  <c r="AV14" i="9"/>
  <c r="AV13" i="9"/>
  <c r="AV12" i="9"/>
  <c r="AV11" i="9"/>
  <c r="AV10" i="9"/>
  <c r="AV9" i="9"/>
  <c r="AV8" i="9"/>
  <c r="AV7" i="9"/>
  <c r="AM19" i="9"/>
  <c r="AM18" i="9"/>
  <c r="AM17" i="9"/>
  <c r="AM16" i="9"/>
  <c r="AM15" i="9"/>
  <c r="AM14" i="9"/>
  <c r="AM13" i="9"/>
  <c r="AM12" i="9"/>
  <c r="AM11" i="9"/>
  <c r="AM10" i="9"/>
  <c r="AM9" i="9"/>
  <c r="AM8" i="9"/>
  <c r="AM7" i="9"/>
  <c r="AD19" i="9"/>
  <c r="AD18" i="9"/>
  <c r="AD17" i="9"/>
  <c r="AD16" i="9"/>
  <c r="AD15" i="9"/>
  <c r="AD14" i="9"/>
  <c r="AD13" i="9"/>
  <c r="AD12" i="9"/>
  <c r="AD11" i="9"/>
  <c r="AD10" i="9"/>
  <c r="AD9" i="9"/>
  <c r="AD8" i="9"/>
  <c r="AD7" i="9"/>
  <c r="BG8" i="9"/>
  <c r="BG9" i="9"/>
  <c r="BG10" i="9"/>
  <c r="BG11" i="9"/>
  <c r="BH11" i="9" s="1"/>
  <c r="BG12" i="9"/>
  <c r="BG13" i="9"/>
  <c r="BG14" i="9"/>
  <c r="BG15" i="9"/>
  <c r="BH15" i="9" s="1"/>
  <c r="BG16" i="9"/>
  <c r="BG17" i="9"/>
  <c r="BG18" i="9"/>
  <c r="BG19" i="9"/>
  <c r="BH19" i="9" s="1"/>
  <c r="BI19" i="9" s="1"/>
  <c r="BG7" i="9"/>
  <c r="AX8" i="9"/>
  <c r="AX9" i="9"/>
  <c r="AX10" i="9"/>
  <c r="AX11" i="9"/>
  <c r="AY11" i="9" s="1"/>
  <c r="AZ11" i="9" s="1"/>
  <c r="AX12" i="9"/>
  <c r="AX13" i="9"/>
  <c r="AX14" i="9"/>
  <c r="AX15" i="9"/>
  <c r="AY15" i="9" s="1"/>
  <c r="AZ15" i="9" s="1"/>
  <c r="AX16" i="9"/>
  <c r="AX17" i="9"/>
  <c r="AX18" i="9"/>
  <c r="AX19" i="9"/>
  <c r="AY19" i="9" s="1"/>
  <c r="AX7" i="9"/>
  <c r="AO8" i="9"/>
  <c r="AO9" i="9"/>
  <c r="AP9" i="9" s="1"/>
  <c r="AO10" i="9"/>
  <c r="AP10" i="9" s="1"/>
  <c r="AO11" i="9"/>
  <c r="AP11" i="9" s="1"/>
  <c r="AO12" i="9"/>
  <c r="AO13" i="9"/>
  <c r="AP13" i="9" s="1"/>
  <c r="AO14" i="9"/>
  <c r="AP14" i="9" s="1"/>
  <c r="AO15" i="9"/>
  <c r="AP15" i="9" s="1"/>
  <c r="AO16" i="9"/>
  <c r="AO17" i="9"/>
  <c r="AP17" i="9" s="1"/>
  <c r="AO18" i="9"/>
  <c r="AP18" i="9" s="1"/>
  <c r="AO19" i="9"/>
  <c r="AP19" i="9" s="1"/>
  <c r="AF8" i="9"/>
  <c r="AF9" i="9"/>
  <c r="AF10" i="9"/>
  <c r="AF11" i="9"/>
  <c r="AG11" i="9" s="1"/>
  <c r="AF12" i="9"/>
  <c r="AF13" i="9"/>
  <c r="AF14" i="9"/>
  <c r="AF15" i="9"/>
  <c r="AG15" i="9" s="1"/>
  <c r="AF16" i="9"/>
  <c r="AF17" i="9"/>
  <c r="AF18" i="9"/>
  <c r="AF19" i="9"/>
  <c r="AG19" i="9" s="1"/>
  <c r="AF7" i="9"/>
  <c r="BG8" i="8"/>
  <c r="BG9" i="8"/>
  <c r="BG10" i="8"/>
  <c r="BG11" i="8"/>
  <c r="BG12" i="8"/>
  <c r="BG13" i="8"/>
  <c r="BG14" i="8"/>
  <c r="BG15" i="8"/>
  <c r="BG16" i="8"/>
  <c r="BG17" i="8"/>
  <c r="BG18" i="8"/>
  <c r="AX8" i="8"/>
  <c r="AX9" i="8"/>
  <c r="AX10" i="8"/>
  <c r="AX11" i="8"/>
  <c r="AX12" i="8"/>
  <c r="AX13" i="8"/>
  <c r="AX14" i="8"/>
  <c r="AX15" i="8"/>
  <c r="AX16" i="8"/>
  <c r="AX17" i="8"/>
  <c r="AX18" i="8"/>
  <c r="AX19" i="8"/>
  <c r="AX20" i="8"/>
  <c r="AX7" i="8"/>
  <c r="AO8" i="8"/>
  <c r="AO9" i="8"/>
  <c r="AO10" i="8"/>
  <c r="AP10" i="8" s="1"/>
  <c r="AQ10" i="8" s="1"/>
  <c r="AO11" i="8"/>
  <c r="AO12" i="8"/>
  <c r="AO13" i="8"/>
  <c r="AO14" i="8"/>
  <c r="AO15" i="8"/>
  <c r="AP15" i="8" s="1"/>
  <c r="AQ15" i="8" s="1"/>
  <c r="AO16" i="8"/>
  <c r="AO17" i="8"/>
  <c r="AO18" i="8"/>
  <c r="AP18" i="8" s="1"/>
  <c r="AQ18" i="8" s="1"/>
  <c r="AO19" i="8"/>
  <c r="AF8" i="8"/>
  <c r="AF9" i="8"/>
  <c r="AF10" i="8"/>
  <c r="AG10" i="8" s="1"/>
  <c r="AF11" i="8"/>
  <c r="AF12" i="8"/>
  <c r="AF13" i="8"/>
  <c r="AF14" i="8"/>
  <c r="AG14" i="8" s="1"/>
  <c r="AF15" i="8"/>
  <c r="AF16" i="8"/>
  <c r="AF17" i="8"/>
  <c r="AF18" i="8"/>
  <c r="AG18" i="8" s="1"/>
  <c r="AH18" i="8" s="1"/>
  <c r="AF19" i="8"/>
  <c r="AF20" i="8"/>
  <c r="AF7" i="8"/>
  <c r="AG20" i="8"/>
  <c r="AH20" i="8" s="1"/>
  <c r="AG19" i="8"/>
  <c r="AG17" i="8"/>
  <c r="AG16" i="8"/>
  <c r="AG15" i="8"/>
  <c r="AH15" i="8" s="1"/>
  <c r="AG13" i="8"/>
  <c r="AG12" i="8"/>
  <c r="AH12" i="8" s="1"/>
  <c r="AG11" i="8"/>
  <c r="AH11" i="8" s="1"/>
  <c r="AG9" i="8"/>
  <c r="AG8" i="8"/>
  <c r="AH8" i="8" s="1"/>
  <c r="AG7" i="8"/>
  <c r="BH18" i="9"/>
  <c r="BH17" i="9"/>
  <c r="BH16" i="9"/>
  <c r="BH14" i="9"/>
  <c r="BH13" i="9"/>
  <c r="BH12" i="9"/>
  <c r="BH10" i="9"/>
  <c r="BH9" i="9"/>
  <c r="BH8" i="9"/>
  <c r="BH7" i="9"/>
  <c r="AY18" i="9"/>
  <c r="AY17" i="9"/>
  <c r="AY16" i="9"/>
  <c r="AY14" i="9"/>
  <c r="AY13" i="9"/>
  <c r="AY12" i="9"/>
  <c r="AY10" i="9"/>
  <c r="AZ10" i="9" s="1"/>
  <c r="AY9" i="9"/>
  <c r="AY8" i="9"/>
  <c r="AY7" i="9"/>
  <c r="AG18" i="9"/>
  <c r="AG17" i="9"/>
  <c r="AG16" i="9"/>
  <c r="AG14" i="9"/>
  <c r="AG13" i="9"/>
  <c r="AG12" i="9"/>
  <c r="AG10" i="9"/>
  <c r="AG9" i="9"/>
  <c r="AG8" i="9"/>
  <c r="AG7" i="9"/>
  <c r="AP8" i="9"/>
  <c r="AP12" i="9"/>
  <c r="AP16" i="9"/>
  <c r="AP7" i="9"/>
  <c r="BI18" i="9"/>
  <c r="BJ18" i="9"/>
  <c r="BJ19" i="9"/>
  <c r="BD8" i="9"/>
  <c r="AU8" i="9"/>
  <c r="AL8" i="9"/>
  <c r="AC8" i="9"/>
  <c r="G46" i="9"/>
  <c r="F46" i="9"/>
  <c r="E46" i="9"/>
  <c r="D46" i="9"/>
  <c r="O45" i="9"/>
  <c r="N45" i="9"/>
  <c r="M45" i="9"/>
  <c r="L45" i="9"/>
  <c r="O44" i="9"/>
  <c r="N44" i="9"/>
  <c r="M44" i="9"/>
  <c r="L44" i="9"/>
  <c r="O43" i="9"/>
  <c r="N43" i="9"/>
  <c r="M43" i="9"/>
  <c r="L43" i="9"/>
  <c r="O42" i="9"/>
  <c r="N42" i="9"/>
  <c r="M42" i="9"/>
  <c r="L42" i="9"/>
  <c r="O41" i="9"/>
  <c r="N41" i="9"/>
  <c r="M41" i="9"/>
  <c r="L41" i="9"/>
  <c r="O40" i="9"/>
  <c r="N40" i="9"/>
  <c r="M40" i="9"/>
  <c r="L40" i="9"/>
  <c r="O39" i="9"/>
  <c r="N39" i="9"/>
  <c r="M39" i="9"/>
  <c r="L39" i="9"/>
  <c r="O38" i="9"/>
  <c r="N38" i="9"/>
  <c r="M38" i="9"/>
  <c r="L38" i="9"/>
  <c r="O37" i="9"/>
  <c r="N37" i="9"/>
  <c r="M37" i="9"/>
  <c r="L37" i="9"/>
  <c r="K37" i="9"/>
  <c r="K38" i="9" s="1"/>
  <c r="K39" i="9" s="1"/>
  <c r="K40" i="9" s="1"/>
  <c r="K41" i="9" s="1"/>
  <c r="K42" i="9" s="1"/>
  <c r="K43" i="9" s="1"/>
  <c r="K44" i="9" s="1"/>
  <c r="C37" i="9"/>
  <c r="C38" i="9" s="1"/>
  <c r="C39" i="9" s="1"/>
  <c r="C40" i="9" s="1"/>
  <c r="C41" i="9" s="1"/>
  <c r="C42" i="9" s="1"/>
  <c r="C43" i="9" s="1"/>
  <c r="C44" i="9" s="1"/>
  <c r="O36" i="9"/>
  <c r="N36" i="9"/>
  <c r="M36" i="9"/>
  <c r="L36" i="9"/>
  <c r="K36" i="9"/>
  <c r="C36" i="9"/>
  <c r="O35" i="9"/>
  <c r="N35" i="9"/>
  <c r="M35" i="9"/>
  <c r="L35" i="9"/>
  <c r="O34" i="9"/>
  <c r="N34" i="9"/>
  <c r="M34" i="9"/>
  <c r="L34" i="9"/>
  <c r="G22" i="9"/>
  <c r="F22" i="9"/>
  <c r="E22" i="9"/>
  <c r="D22" i="9"/>
  <c r="O21" i="9"/>
  <c r="N21" i="9"/>
  <c r="M21" i="9"/>
  <c r="L21" i="9"/>
  <c r="O20" i="9"/>
  <c r="N20" i="9"/>
  <c r="M20" i="9"/>
  <c r="L20" i="9"/>
  <c r="BA19" i="9"/>
  <c r="AR19" i="9"/>
  <c r="AI19" i="9"/>
  <c r="O19" i="9"/>
  <c r="N19" i="9"/>
  <c r="M19" i="9"/>
  <c r="L19" i="9"/>
  <c r="BA18" i="9"/>
  <c r="AR18" i="9"/>
  <c r="AI18" i="9"/>
  <c r="O18" i="9"/>
  <c r="N18" i="9"/>
  <c r="M18" i="9"/>
  <c r="L18" i="9"/>
  <c r="BJ17" i="9"/>
  <c r="BA17" i="9"/>
  <c r="AR17" i="9"/>
  <c r="AI17" i="9"/>
  <c r="O17" i="9"/>
  <c r="N17" i="9"/>
  <c r="M17" i="9"/>
  <c r="L17" i="9"/>
  <c r="BJ16" i="9"/>
  <c r="BA16" i="9"/>
  <c r="AR16" i="9"/>
  <c r="AI16" i="9"/>
  <c r="O16" i="9"/>
  <c r="N16" i="9"/>
  <c r="M16" i="9"/>
  <c r="L16" i="9"/>
  <c r="BJ15" i="9"/>
  <c r="BA15" i="9"/>
  <c r="AR15" i="9"/>
  <c r="AI15" i="9"/>
  <c r="O15" i="9"/>
  <c r="N15" i="9"/>
  <c r="M15" i="9"/>
  <c r="L15" i="9"/>
  <c r="BJ14" i="9"/>
  <c r="BA14" i="9"/>
  <c r="AZ14" i="9"/>
  <c r="AR14" i="9"/>
  <c r="AI14" i="9"/>
  <c r="O14" i="9"/>
  <c r="N14" i="9"/>
  <c r="M14" i="9"/>
  <c r="L14" i="9"/>
  <c r="BJ13" i="9"/>
  <c r="BA13" i="9"/>
  <c r="AR13" i="9"/>
  <c r="AI13" i="9"/>
  <c r="O13" i="9"/>
  <c r="N13" i="9"/>
  <c r="M13" i="9"/>
  <c r="L13" i="9"/>
  <c r="BJ12" i="9"/>
  <c r="BA12" i="9"/>
  <c r="AR12" i="9"/>
  <c r="AI12" i="9"/>
  <c r="O12" i="9"/>
  <c r="N12" i="9"/>
  <c r="M12" i="9"/>
  <c r="L12" i="9"/>
  <c r="K12" i="9"/>
  <c r="J13" i="9" s="1"/>
  <c r="J12" i="9"/>
  <c r="C12" i="9"/>
  <c r="C13" i="9" s="1"/>
  <c r="B12" i="9"/>
  <c r="BJ11" i="9"/>
  <c r="BA11" i="9"/>
  <c r="AR11" i="9"/>
  <c r="AI11" i="9"/>
  <c r="O11" i="9"/>
  <c r="N11" i="9"/>
  <c r="M11" i="9"/>
  <c r="L11" i="9"/>
  <c r="BJ10" i="9"/>
  <c r="BA10" i="9"/>
  <c r="AR10" i="9"/>
  <c r="AI10" i="9"/>
  <c r="O10" i="9"/>
  <c r="N10" i="9"/>
  <c r="M10" i="9"/>
  <c r="L10" i="9"/>
  <c r="BJ9" i="9"/>
  <c r="BA9" i="9"/>
  <c r="AR9" i="9"/>
  <c r="AI9" i="9"/>
  <c r="BJ8" i="9"/>
  <c r="BA8" i="9"/>
  <c r="AR8" i="9"/>
  <c r="AI8" i="9"/>
  <c r="AZ7" i="9"/>
  <c r="AO7" i="9"/>
  <c r="BF3" i="9"/>
  <c r="AW3" i="9"/>
  <c r="AN3" i="9"/>
  <c r="BG7" i="8"/>
  <c r="AY8" i="8"/>
  <c r="AZ8" i="8" s="1"/>
  <c r="AP17" i="8"/>
  <c r="AQ17" i="8" s="1"/>
  <c r="AP14" i="8"/>
  <c r="AQ14" i="8" s="1"/>
  <c r="AP13" i="8"/>
  <c r="AQ13" i="8" s="1"/>
  <c r="AP9" i="8"/>
  <c r="AQ9" i="8" s="1"/>
  <c r="AO7" i="8"/>
  <c r="BF3" i="8"/>
  <c r="AW3" i="8"/>
  <c r="BA9" i="8"/>
  <c r="BA10" i="8"/>
  <c r="BA11" i="8"/>
  <c r="BA12" i="8"/>
  <c r="BA13" i="8"/>
  <c r="BA14" i="8"/>
  <c r="BA15" i="8"/>
  <c r="BA16" i="8"/>
  <c r="BA17" i="8"/>
  <c r="BA18" i="8"/>
  <c r="BA19" i="8"/>
  <c r="BA20" i="8"/>
  <c r="AU8" i="8"/>
  <c r="AR19" i="8"/>
  <c r="AP19" i="8"/>
  <c r="AQ19" i="8" s="1"/>
  <c r="AR18" i="8"/>
  <c r="AR17" i="8"/>
  <c r="AR16" i="8"/>
  <c r="AP16" i="8"/>
  <c r="AQ16" i="8" s="1"/>
  <c r="AR15" i="8"/>
  <c r="AR14" i="8"/>
  <c r="AR13" i="8"/>
  <c r="AR12" i="8"/>
  <c r="AP12" i="8"/>
  <c r="AQ12" i="8" s="1"/>
  <c r="AR11" i="8"/>
  <c r="AP11" i="8"/>
  <c r="AQ11" i="8" s="1"/>
  <c r="AR10" i="8"/>
  <c r="AR9" i="8"/>
  <c r="AR8" i="8"/>
  <c r="AP8" i="8"/>
  <c r="AQ8" i="8" s="1"/>
  <c r="AP7" i="8"/>
  <c r="AQ7" i="8" s="1"/>
  <c r="AN3" i="8"/>
  <c r="AI20" i="8"/>
  <c r="AC8" i="8"/>
  <c r="G46" i="8"/>
  <c r="F46" i="8"/>
  <c r="E46" i="8"/>
  <c r="D46" i="8"/>
  <c r="O45" i="8"/>
  <c r="N45" i="8"/>
  <c r="M45" i="8"/>
  <c r="L45" i="8"/>
  <c r="O44" i="8"/>
  <c r="N44" i="8"/>
  <c r="M44" i="8"/>
  <c r="L44" i="8"/>
  <c r="O43" i="8"/>
  <c r="N43" i="8"/>
  <c r="M43" i="8"/>
  <c r="L43" i="8"/>
  <c r="O42" i="8"/>
  <c r="N42" i="8"/>
  <c r="M42" i="8"/>
  <c r="L42" i="8"/>
  <c r="O41" i="8"/>
  <c r="N41" i="8"/>
  <c r="M41" i="8"/>
  <c r="L41" i="8"/>
  <c r="O40" i="8"/>
  <c r="N40" i="8"/>
  <c r="M40" i="8"/>
  <c r="L40" i="8"/>
  <c r="O39" i="8"/>
  <c r="N39" i="8"/>
  <c r="M39" i="8"/>
  <c r="L39" i="8"/>
  <c r="O38" i="8"/>
  <c r="N38" i="8"/>
  <c r="M38" i="8"/>
  <c r="L38" i="8"/>
  <c r="O37" i="8"/>
  <c r="N37" i="8"/>
  <c r="M37" i="8"/>
  <c r="L37" i="8"/>
  <c r="O36" i="8"/>
  <c r="N36" i="8"/>
  <c r="M36" i="8"/>
  <c r="L36" i="8"/>
  <c r="K36" i="8"/>
  <c r="K37" i="8" s="1"/>
  <c r="K38" i="8" s="1"/>
  <c r="K39" i="8" s="1"/>
  <c r="K40" i="8" s="1"/>
  <c r="K41" i="8" s="1"/>
  <c r="K42" i="8" s="1"/>
  <c r="K43" i="8" s="1"/>
  <c r="K44" i="8" s="1"/>
  <c r="C36" i="8"/>
  <c r="C37" i="8" s="1"/>
  <c r="O35" i="8"/>
  <c r="N35" i="8"/>
  <c r="M35" i="8"/>
  <c r="L35" i="8"/>
  <c r="O34" i="8"/>
  <c r="N34" i="8"/>
  <c r="M34" i="8"/>
  <c r="L34" i="8"/>
  <c r="G22" i="8"/>
  <c r="F22" i="8"/>
  <c r="E22" i="8"/>
  <c r="D22" i="8"/>
  <c r="O21" i="8"/>
  <c r="N21" i="8"/>
  <c r="M21" i="8"/>
  <c r="L21" i="8"/>
  <c r="O20" i="8"/>
  <c r="N20" i="8"/>
  <c r="M20" i="8"/>
  <c r="L20" i="8"/>
  <c r="AI19" i="8"/>
  <c r="O19" i="8"/>
  <c r="N19" i="8"/>
  <c r="M19" i="8"/>
  <c r="L19" i="8"/>
  <c r="BJ18" i="8"/>
  <c r="AI18" i="8"/>
  <c r="O18" i="8"/>
  <c r="N18" i="8"/>
  <c r="M18" i="8"/>
  <c r="L18" i="8"/>
  <c r="BJ17" i="8"/>
  <c r="AI17" i="8"/>
  <c r="O17" i="8"/>
  <c r="N17" i="8"/>
  <c r="M17" i="8"/>
  <c r="L17" i="8"/>
  <c r="BJ16" i="8"/>
  <c r="AI16" i="8"/>
  <c r="O16" i="8"/>
  <c r="N16" i="8"/>
  <c r="M16" i="8"/>
  <c r="L16" i="8"/>
  <c r="BJ15" i="8"/>
  <c r="AI15" i="8"/>
  <c r="O15" i="8"/>
  <c r="N15" i="8"/>
  <c r="M15" i="8"/>
  <c r="L15" i="8"/>
  <c r="BJ14" i="8"/>
  <c r="AI14" i="8"/>
  <c r="O14" i="8"/>
  <c r="N14" i="8"/>
  <c r="M14" i="8"/>
  <c r="L14" i="8"/>
  <c r="BJ13" i="8"/>
  <c r="AI13" i="8"/>
  <c r="O13" i="8"/>
  <c r="N13" i="8"/>
  <c r="M13" i="8"/>
  <c r="L13" i="8"/>
  <c r="BJ12" i="8"/>
  <c r="AI12" i="8"/>
  <c r="O12" i="8"/>
  <c r="N12" i="8"/>
  <c r="M12" i="8"/>
  <c r="L12" i="8"/>
  <c r="K12" i="8"/>
  <c r="K13" i="8" s="1"/>
  <c r="J12" i="8"/>
  <c r="C12" i="8"/>
  <c r="C13" i="8" s="1"/>
  <c r="B12" i="8"/>
  <c r="BJ11" i="8"/>
  <c r="AI11" i="8"/>
  <c r="O11" i="8"/>
  <c r="N11" i="8"/>
  <c r="M11" i="8"/>
  <c r="L11" i="8"/>
  <c r="BJ10" i="8"/>
  <c r="AI10" i="8"/>
  <c r="O10" i="8"/>
  <c r="N10" i="8"/>
  <c r="M10" i="8"/>
  <c r="L10" i="8"/>
  <c r="BJ9" i="8"/>
  <c r="AI9" i="8"/>
  <c r="BJ8" i="8"/>
  <c r="BD8" i="8"/>
  <c r="BA8" i="8"/>
  <c r="AL8" i="8"/>
  <c r="AI8" i="8"/>
  <c r="BH7" i="8"/>
  <c r="BI7" i="8" s="1"/>
  <c r="AY7" i="8"/>
  <c r="AZ7" i="8" s="1"/>
  <c r="D27" i="10" l="1"/>
  <c r="C27" i="10"/>
  <c r="E3" i="10" a="1"/>
  <c r="E3" i="10" s="1"/>
  <c r="E26" i="10" s="1"/>
  <c r="E27" i="10"/>
  <c r="B27" i="10"/>
  <c r="B4" i="10" a="1"/>
  <c r="B4" i="10" s="1"/>
  <c r="C3" i="10" a="1"/>
  <c r="C3" i="10" s="1"/>
  <c r="C26" i="10" s="1"/>
  <c r="D4" i="10" a="1"/>
  <c r="D4" i="10" s="1"/>
  <c r="A6" i="10"/>
  <c r="B5" i="10" a="1"/>
  <c r="B5" i="10" s="1"/>
  <c r="D5" i="10" a="1"/>
  <c r="D5" i="10" s="1"/>
  <c r="D3" i="10" a="1"/>
  <c r="D3" i="10" s="1"/>
  <c r="D26" i="10" s="1"/>
  <c r="E5" i="10" a="1"/>
  <c r="E5" i="10" s="1"/>
  <c r="E4" i="10" a="1"/>
  <c r="E4" i="10" s="1"/>
  <c r="B3" i="10" a="1"/>
  <c r="B3" i="10" s="1"/>
  <c r="B26" i="10" s="1"/>
  <c r="C5" i="10" a="1"/>
  <c r="C5" i="10" s="1"/>
  <c r="C4" i="10" a="1"/>
  <c r="C4" i="10" s="1"/>
  <c r="AZ9" i="9"/>
  <c r="AZ13" i="9"/>
  <c r="AZ17" i="9"/>
  <c r="AZ12" i="9"/>
  <c r="AV28" i="9" s="1"/>
  <c r="AX28" i="9" s="1"/>
  <c r="AY28" i="9" s="1"/>
  <c r="BA28" i="9" s="1"/>
  <c r="AZ16" i="9"/>
  <c r="AQ8" i="9"/>
  <c r="BI8" i="9"/>
  <c r="BI9" i="9"/>
  <c r="BI10" i="9"/>
  <c r="BI11" i="9"/>
  <c r="BI12" i="9"/>
  <c r="BI13" i="9"/>
  <c r="BI14" i="9"/>
  <c r="BI15" i="9"/>
  <c r="AZ8" i="9"/>
  <c r="AH8" i="9"/>
  <c r="AH9" i="9"/>
  <c r="AH11" i="9"/>
  <c r="AH12" i="9"/>
  <c r="AH14" i="9"/>
  <c r="AH15" i="9"/>
  <c r="AQ7" i="9"/>
  <c r="AH10" i="9"/>
  <c r="AH13" i="9"/>
  <c r="AH16" i="9"/>
  <c r="AQ9" i="9"/>
  <c r="AQ10" i="9"/>
  <c r="AQ11" i="9"/>
  <c r="AQ12" i="9"/>
  <c r="AQ13" i="9"/>
  <c r="AQ14" i="9"/>
  <c r="AQ15" i="9"/>
  <c r="AQ16" i="9"/>
  <c r="C14" i="9"/>
  <c r="B14" i="9"/>
  <c r="K13" i="9"/>
  <c r="AZ19" i="9"/>
  <c r="AZ18" i="9"/>
  <c r="BI7" i="9"/>
  <c r="BI17" i="9"/>
  <c r="AQ19" i="9"/>
  <c r="AH19" i="9"/>
  <c r="AQ18" i="9"/>
  <c r="AH18" i="9"/>
  <c r="B13" i="9"/>
  <c r="BI16" i="9"/>
  <c r="AQ17" i="9"/>
  <c r="AH7" i="9"/>
  <c r="AH17" i="9"/>
  <c r="AM31" i="8"/>
  <c r="AM28" i="8"/>
  <c r="AM30" i="8"/>
  <c r="AM33" i="8"/>
  <c r="AM27" i="8"/>
  <c r="AM25" i="8"/>
  <c r="AM26" i="8"/>
  <c r="AM29" i="8"/>
  <c r="AM32" i="8"/>
  <c r="AY20" i="8"/>
  <c r="AZ20" i="8" s="1"/>
  <c r="AY18" i="8"/>
  <c r="AZ18" i="8" s="1"/>
  <c r="AY16" i="8"/>
  <c r="AZ16" i="8" s="1"/>
  <c r="AY14" i="8"/>
  <c r="AZ14" i="8" s="1"/>
  <c r="AY12" i="8"/>
  <c r="AZ12" i="8" s="1"/>
  <c r="AY10" i="8"/>
  <c r="AZ10" i="8" s="1"/>
  <c r="AY19" i="8"/>
  <c r="AZ19" i="8" s="1"/>
  <c r="AY17" i="8"/>
  <c r="AZ17" i="8" s="1"/>
  <c r="AY15" i="8"/>
  <c r="AZ15" i="8" s="1"/>
  <c r="AY13" i="8"/>
  <c r="AZ13" i="8" s="1"/>
  <c r="AY11" i="8"/>
  <c r="AZ11" i="8" s="1"/>
  <c r="AY9" i="8"/>
  <c r="AZ9" i="8" s="1"/>
  <c r="BH9" i="8"/>
  <c r="BI9" i="8" s="1"/>
  <c r="BH17" i="8"/>
  <c r="BI17" i="8" s="1"/>
  <c r="BH8" i="8"/>
  <c r="BI8" i="8" s="1"/>
  <c r="BH12" i="8"/>
  <c r="BI12" i="8" s="1"/>
  <c r="BH11" i="8"/>
  <c r="BI11" i="8" s="1"/>
  <c r="BH10" i="8"/>
  <c r="BI10" i="8" s="1"/>
  <c r="AH7" i="8"/>
  <c r="AH9" i="8"/>
  <c r="AH10" i="8"/>
  <c r="AH13" i="8"/>
  <c r="C14" i="8"/>
  <c r="B14" i="8"/>
  <c r="K14" i="8"/>
  <c r="J14" i="8"/>
  <c r="J13" i="8"/>
  <c r="BH14" i="8"/>
  <c r="BI14" i="8" s="1"/>
  <c r="BH16" i="8"/>
  <c r="BI16" i="8" s="1"/>
  <c r="AH17" i="8"/>
  <c r="C38" i="8"/>
  <c r="B13" i="8"/>
  <c r="BH13" i="8"/>
  <c r="BI13" i="8" s="1"/>
  <c r="BH15" i="8"/>
  <c r="BI15" i="8" s="1"/>
  <c r="BH18" i="8"/>
  <c r="BI18" i="8" s="1"/>
  <c r="AH19" i="8"/>
  <c r="AH14" i="8"/>
  <c r="AH16" i="8"/>
  <c r="B88" i="6"/>
  <c r="B64" i="6"/>
  <c r="B61" i="6"/>
  <c r="AL58" i="6"/>
  <c r="AK58" i="6"/>
  <c r="AJ58" i="6"/>
  <c r="AI58" i="6"/>
  <c r="AH58" i="6"/>
  <c r="AG58" i="6"/>
  <c r="AF58" i="6"/>
  <c r="U58" i="6"/>
  <c r="Q58" i="6"/>
  <c r="R58" i="6" s="1"/>
  <c r="S58" i="6" s="1"/>
  <c r="K58" i="6"/>
  <c r="AL57" i="6"/>
  <c r="AK57" i="6"/>
  <c r="AJ57" i="6"/>
  <c r="AI57" i="6"/>
  <c r="AH57" i="6"/>
  <c r="AG57" i="6"/>
  <c r="AF57" i="6"/>
  <c r="U57" i="6"/>
  <c r="Q57" i="6"/>
  <c r="R57" i="6" s="1"/>
  <c r="S57" i="6" s="1"/>
  <c r="K57" i="6"/>
  <c r="AL56" i="6"/>
  <c r="AK56" i="6"/>
  <c r="AJ56" i="6"/>
  <c r="AI56" i="6"/>
  <c r="AH56" i="6"/>
  <c r="AG56" i="6"/>
  <c r="AF56" i="6"/>
  <c r="K56" i="6"/>
  <c r="AP55" i="6"/>
  <c r="AQ55" i="6" s="1"/>
  <c r="AR55" i="6" s="1"/>
  <c r="AS55" i="6" s="1"/>
  <c r="AT55" i="6" s="1"/>
  <c r="AU55" i="6" s="1"/>
  <c r="AV55" i="6" s="1"/>
  <c r="AW55" i="6" s="1"/>
  <c r="AX55" i="6" s="1"/>
  <c r="AY55" i="6" s="1"/>
  <c r="AL55" i="6"/>
  <c r="AL34" i="6" s="1"/>
  <c r="AK55" i="6"/>
  <c r="AJ55" i="6"/>
  <c r="AI55" i="6"/>
  <c r="AH55" i="6"/>
  <c r="AG55" i="6"/>
  <c r="AF55" i="6"/>
  <c r="AL54" i="6"/>
  <c r="AK54" i="6"/>
  <c r="AJ54" i="6"/>
  <c r="AI54" i="6"/>
  <c r="AH54" i="6"/>
  <c r="AG54" i="6"/>
  <c r="AF54" i="6"/>
  <c r="K54" i="6"/>
  <c r="B54" i="6"/>
  <c r="AL53" i="6"/>
  <c r="AK53" i="6"/>
  <c r="AJ53" i="6"/>
  <c r="AI53" i="6"/>
  <c r="AH53" i="6"/>
  <c r="AG53" i="6"/>
  <c r="AF53" i="6"/>
  <c r="O53" i="6"/>
  <c r="K53" i="6"/>
  <c r="AL52" i="6"/>
  <c r="AL31" i="6" s="1"/>
  <c r="AK52" i="6"/>
  <c r="AJ52" i="6"/>
  <c r="AI52" i="6"/>
  <c r="AH52" i="6"/>
  <c r="AG52" i="6"/>
  <c r="AF52" i="6"/>
  <c r="R52" i="6"/>
  <c r="Q52" i="6"/>
  <c r="O52" i="6"/>
  <c r="K52" i="6"/>
  <c r="B52" i="6"/>
  <c r="B53" i="6" s="1"/>
  <c r="B55" i="6" s="1"/>
  <c r="AL51" i="6"/>
  <c r="K51" i="6" s="1"/>
  <c r="AK51" i="6"/>
  <c r="AJ51" i="6"/>
  <c r="AI51" i="6"/>
  <c r="AH51" i="6"/>
  <c r="AG51" i="6"/>
  <c r="AF51" i="6"/>
  <c r="S51" i="6"/>
  <c r="R51" i="6"/>
  <c r="Q51" i="6"/>
  <c r="AL50" i="6"/>
  <c r="K50" i="6" s="1"/>
  <c r="AK50" i="6"/>
  <c r="AJ50" i="6"/>
  <c r="AI50" i="6"/>
  <c r="AH50" i="6"/>
  <c r="AG50" i="6"/>
  <c r="AF50" i="6"/>
  <c r="Q50" i="6"/>
  <c r="R50" i="6" s="1"/>
  <c r="S50" i="6" s="1"/>
  <c r="AL49" i="6"/>
  <c r="AL28" i="6" s="1"/>
  <c r="AK49" i="6"/>
  <c r="AJ49" i="6"/>
  <c r="AI49" i="6"/>
  <c r="AH49" i="6"/>
  <c r="AG49" i="6"/>
  <c r="AF49" i="6"/>
  <c r="Q49" i="6"/>
  <c r="R49" i="6" s="1"/>
  <c r="S49" i="6" s="1"/>
  <c r="K49" i="6"/>
  <c r="AL48" i="6"/>
  <c r="AK48" i="6"/>
  <c r="AJ48" i="6"/>
  <c r="AI48" i="6"/>
  <c r="AH48" i="6"/>
  <c r="AG48" i="6"/>
  <c r="AF48" i="6"/>
  <c r="S48" i="6"/>
  <c r="Q48" i="6"/>
  <c r="R48" i="6" s="1"/>
  <c r="K48" i="6"/>
  <c r="AL47" i="6"/>
  <c r="AK47" i="6"/>
  <c r="AJ47" i="6"/>
  <c r="AI47" i="6"/>
  <c r="AH47" i="6"/>
  <c r="AG47" i="6"/>
  <c r="AF47" i="6"/>
  <c r="R47" i="6"/>
  <c r="S47" i="6" s="1"/>
  <c r="Q47" i="6"/>
  <c r="AL46" i="6"/>
  <c r="K46" i="6" s="1"/>
  <c r="AK46" i="6"/>
  <c r="AJ46" i="6"/>
  <c r="AI46" i="6"/>
  <c r="AH46" i="6"/>
  <c r="AG46" i="6"/>
  <c r="AF46" i="6"/>
  <c r="R46" i="6"/>
  <c r="S46" i="6" s="1"/>
  <c r="Q46" i="6"/>
  <c r="AL45" i="6"/>
  <c r="AK45" i="6"/>
  <c r="AJ45" i="6"/>
  <c r="AI45" i="6"/>
  <c r="AH45" i="6"/>
  <c r="AG45" i="6"/>
  <c r="AF45" i="6"/>
  <c r="Q45" i="6"/>
  <c r="R45" i="6" s="1"/>
  <c r="S45" i="6" s="1"/>
  <c r="K45" i="6"/>
  <c r="B38" i="6"/>
  <c r="AL37" i="6"/>
  <c r="AM37" i="6" s="1"/>
  <c r="X37" i="6"/>
  <c r="B37" i="6"/>
  <c r="AL36" i="6"/>
  <c r="X36" i="6"/>
  <c r="AL35" i="6"/>
  <c r="X35" i="6"/>
  <c r="AJ35" i="6" s="1"/>
  <c r="AK35" i="6" s="1"/>
  <c r="AJ34" i="6"/>
  <c r="AK34" i="6" s="1"/>
  <c r="X34" i="6"/>
  <c r="B34" i="6"/>
  <c r="AL33" i="6"/>
  <c r="X33" i="6"/>
  <c r="AL32" i="6"/>
  <c r="AJ32" i="6"/>
  <c r="X32" i="6"/>
  <c r="AJ31" i="6"/>
  <c r="AK31" i="6" s="1"/>
  <c r="Z31" i="6"/>
  <c r="AB31" i="6" s="1"/>
  <c r="X31" i="6"/>
  <c r="AL30" i="6"/>
  <c r="AJ30" i="6"/>
  <c r="AK30" i="6" s="1"/>
  <c r="Z30" i="6"/>
  <c r="AB30" i="6" s="1"/>
  <c r="AC30" i="6" s="1"/>
  <c r="AD30" i="6" s="1"/>
  <c r="AF30" i="6" s="1"/>
  <c r="X30" i="6"/>
  <c r="X29" i="6"/>
  <c r="X28" i="6"/>
  <c r="AL27" i="6"/>
  <c r="X27" i="6"/>
  <c r="AJ26" i="6"/>
  <c r="AK26" i="6" s="1"/>
  <c r="Z26" i="6"/>
  <c r="AB26" i="6" s="1"/>
  <c r="X26" i="6"/>
  <c r="AL25" i="6"/>
  <c r="AJ25" i="6"/>
  <c r="AK25" i="6" s="1"/>
  <c r="Z25" i="6"/>
  <c r="AB25" i="6" s="1"/>
  <c r="AC25" i="6" s="1"/>
  <c r="AD25" i="6" s="1"/>
  <c r="AF25" i="6" s="1"/>
  <c r="X25" i="6"/>
  <c r="B25" i="6"/>
  <c r="B27" i="6" s="1"/>
  <c r="AL24" i="6"/>
  <c r="AJ24" i="6"/>
  <c r="AD24" i="6"/>
  <c r="AF24" i="6" s="1"/>
  <c r="AB24" i="6"/>
  <c r="K23" i="6"/>
  <c r="L23" i="6" s="1"/>
  <c r="M23" i="6" s="1"/>
  <c r="N23" i="6" s="1"/>
  <c r="O23" i="6" s="1"/>
  <c r="P23" i="6" s="1"/>
  <c r="Q23" i="6" s="1"/>
  <c r="R23" i="6" s="1"/>
  <c r="S23" i="6" s="1"/>
  <c r="T23" i="6" s="1"/>
  <c r="U23" i="6" s="1"/>
  <c r="AO22" i="6"/>
  <c r="AO21" i="6"/>
  <c r="AO20" i="6"/>
  <c r="B20" i="6"/>
  <c r="B22" i="6" s="1"/>
  <c r="B28" i="6" s="1"/>
  <c r="B29" i="6" s="1"/>
  <c r="B39" i="6" s="1"/>
  <c r="J17" i="6"/>
  <c r="B17" i="6"/>
  <c r="B19" i="6" s="1"/>
  <c r="J16" i="6"/>
  <c r="J15" i="6"/>
  <c r="B15" i="6"/>
  <c r="J14" i="6"/>
  <c r="J13" i="6"/>
  <c r="J12" i="6"/>
  <c r="J11" i="6"/>
  <c r="J10" i="6"/>
  <c r="J9" i="6"/>
  <c r="J8" i="6"/>
  <c r="J7" i="6"/>
  <c r="J6" i="6"/>
  <c r="J5" i="6"/>
  <c r="J4" i="6"/>
  <c r="A7" i="10" l="1"/>
  <c r="B6" i="10" a="1"/>
  <c r="B6" i="10" s="1"/>
  <c r="D6" i="10" a="1"/>
  <c r="D6" i="10" s="1"/>
  <c r="C6" i="10" a="1"/>
  <c r="C6" i="10" s="1"/>
  <c r="E6" i="10" a="1"/>
  <c r="E6" i="10" s="1"/>
  <c r="AV29" i="9"/>
  <c r="AX29" i="9" s="1"/>
  <c r="AY29" i="9" s="1"/>
  <c r="BA29" i="9" s="1"/>
  <c r="AV31" i="9"/>
  <c r="AX31" i="9" s="1"/>
  <c r="AY31" i="9" s="1"/>
  <c r="BA31" i="9" s="1"/>
  <c r="AV30" i="9"/>
  <c r="AX30" i="9" s="1"/>
  <c r="AY30" i="9" s="1"/>
  <c r="BA30" i="9" s="1"/>
  <c r="AV33" i="9"/>
  <c r="AX33" i="9" s="1"/>
  <c r="AY33" i="9" s="1"/>
  <c r="BA33" i="9" s="1"/>
  <c r="AV32" i="9"/>
  <c r="AX32" i="9" s="1"/>
  <c r="AY32" i="9" s="1"/>
  <c r="BA32" i="9" s="1"/>
  <c r="AV27" i="9"/>
  <c r="AX27" i="9" s="1"/>
  <c r="AY27" i="9" s="1"/>
  <c r="BA27" i="9" s="1"/>
  <c r="AM31" i="9"/>
  <c r="AO31" i="9" s="1"/>
  <c r="AP31" i="9" s="1"/>
  <c r="AR31" i="9" s="1"/>
  <c r="AM33" i="9"/>
  <c r="BE29" i="9"/>
  <c r="BG29" i="9" s="1"/>
  <c r="BH29" i="9" s="1"/>
  <c r="BJ29" i="9" s="1"/>
  <c r="BE33" i="9"/>
  <c r="BG33" i="9" s="1"/>
  <c r="BH33" i="9" s="1"/>
  <c r="BJ33" i="9" s="1"/>
  <c r="BE28" i="9"/>
  <c r="BG28" i="9" s="1"/>
  <c r="BH28" i="9" s="1"/>
  <c r="BJ28" i="9" s="1"/>
  <c r="BE31" i="9"/>
  <c r="BG31" i="9" s="1"/>
  <c r="BH31" i="9" s="1"/>
  <c r="BJ31" i="9" s="1"/>
  <c r="AM26" i="9"/>
  <c r="AO26" i="9" s="1"/>
  <c r="AP26" i="9" s="1"/>
  <c r="AR26" i="9" s="1"/>
  <c r="AO33" i="9"/>
  <c r="AP33" i="9" s="1"/>
  <c r="AR33" i="9" s="1"/>
  <c r="AM30" i="9"/>
  <c r="AO30" i="9" s="1"/>
  <c r="AP30" i="9" s="1"/>
  <c r="AR30" i="9" s="1"/>
  <c r="BE25" i="9"/>
  <c r="BG25" i="9" s="1"/>
  <c r="BH25" i="9" s="1"/>
  <c r="BJ25" i="9" s="1"/>
  <c r="BE26" i="9"/>
  <c r="BG26" i="9" s="1"/>
  <c r="BH26" i="9" s="1"/>
  <c r="BJ26" i="9" s="1"/>
  <c r="BE30" i="9"/>
  <c r="BG30" i="9" s="1"/>
  <c r="BH30" i="9" s="1"/>
  <c r="BJ30" i="9" s="1"/>
  <c r="AV26" i="9"/>
  <c r="AX26" i="9" s="1"/>
  <c r="AY26" i="9" s="1"/>
  <c r="BA26" i="9" s="1"/>
  <c r="AV25" i="9"/>
  <c r="AX25" i="9" s="1"/>
  <c r="AY25" i="9" s="1"/>
  <c r="BA25" i="9" s="1"/>
  <c r="BE27" i="9"/>
  <c r="BG27" i="9" s="1"/>
  <c r="BH27" i="9" s="1"/>
  <c r="BJ27" i="9" s="1"/>
  <c r="AD29" i="9"/>
  <c r="AF29" i="9" s="1"/>
  <c r="AG29" i="9" s="1"/>
  <c r="AI29" i="9" s="1"/>
  <c r="AJ29" i="9" s="1"/>
  <c r="AD25" i="9"/>
  <c r="AF25" i="9" s="1"/>
  <c r="AG25" i="9" s="1"/>
  <c r="AI25" i="9" s="1"/>
  <c r="AM25" i="9"/>
  <c r="AO25" i="9" s="1"/>
  <c r="AP25" i="9" s="1"/>
  <c r="AR25" i="9" s="1"/>
  <c r="AD26" i="9"/>
  <c r="AF26" i="9" s="1"/>
  <c r="AG26" i="9" s="1"/>
  <c r="AI26" i="9" s="1"/>
  <c r="AD30" i="9"/>
  <c r="AF30" i="9" s="1"/>
  <c r="AG30" i="9" s="1"/>
  <c r="AI30" i="9" s="1"/>
  <c r="AJ30" i="9" s="1"/>
  <c r="AM28" i="9"/>
  <c r="AO28" i="9" s="1"/>
  <c r="AP28" i="9" s="1"/>
  <c r="AR28" i="9" s="1"/>
  <c r="AD33" i="9"/>
  <c r="AF33" i="9" s="1"/>
  <c r="AG33" i="9" s="1"/>
  <c r="AI33" i="9" s="1"/>
  <c r="AM27" i="9"/>
  <c r="AO27" i="9" s="1"/>
  <c r="AP27" i="9" s="1"/>
  <c r="AR27" i="9" s="1"/>
  <c r="AD27" i="9"/>
  <c r="AF27" i="9" s="1"/>
  <c r="AG27" i="9" s="1"/>
  <c r="AI27" i="9" s="1"/>
  <c r="AJ27" i="9" s="1"/>
  <c r="AD31" i="9"/>
  <c r="AF31" i="9" s="1"/>
  <c r="AG31" i="9" s="1"/>
  <c r="AI31" i="9" s="1"/>
  <c r="AM32" i="9"/>
  <c r="AO32" i="9" s="1"/>
  <c r="AP32" i="9" s="1"/>
  <c r="AR32" i="9" s="1"/>
  <c r="AM29" i="9"/>
  <c r="AO29" i="9" s="1"/>
  <c r="AP29" i="9" s="1"/>
  <c r="AR29" i="9" s="1"/>
  <c r="AD28" i="9"/>
  <c r="AF28" i="9" s="1"/>
  <c r="AG28" i="9" s="1"/>
  <c r="AI28" i="9" s="1"/>
  <c r="AJ28" i="9" s="1"/>
  <c r="AD32" i="9"/>
  <c r="AF32" i="9" s="1"/>
  <c r="AG32" i="9" s="1"/>
  <c r="AI32" i="9" s="1"/>
  <c r="BE32" i="9"/>
  <c r="BG32" i="9" s="1"/>
  <c r="BH32" i="9" s="1"/>
  <c r="BJ32" i="9" s="1"/>
  <c r="C15" i="9"/>
  <c r="B15" i="9"/>
  <c r="J14" i="9"/>
  <c r="K14" i="9"/>
  <c r="BE33" i="8"/>
  <c r="BG33" i="8" s="1"/>
  <c r="BH33" i="8" s="1"/>
  <c r="BJ33" i="8" s="1"/>
  <c r="BE28" i="8"/>
  <c r="BG28" i="8" s="1"/>
  <c r="BH28" i="8" s="1"/>
  <c r="BJ28" i="8" s="1"/>
  <c r="BE25" i="8"/>
  <c r="BG25" i="8" s="1"/>
  <c r="BH25" i="8" s="1"/>
  <c r="BJ25" i="8" s="1"/>
  <c r="BE32" i="8"/>
  <c r="BG32" i="8" s="1"/>
  <c r="BH32" i="8" s="1"/>
  <c r="BJ32" i="8" s="1"/>
  <c r="BE30" i="8"/>
  <c r="BG30" i="8" s="1"/>
  <c r="BH30" i="8" s="1"/>
  <c r="BJ30" i="8" s="1"/>
  <c r="BE27" i="8"/>
  <c r="BG27" i="8" s="1"/>
  <c r="BH27" i="8" s="1"/>
  <c r="BJ27" i="8" s="1"/>
  <c r="BE29" i="8"/>
  <c r="BG29" i="8" s="1"/>
  <c r="BH29" i="8" s="1"/>
  <c r="BJ29" i="8" s="1"/>
  <c r="BE31" i="8"/>
  <c r="BG31" i="8" s="1"/>
  <c r="BH31" i="8" s="1"/>
  <c r="BJ31" i="8" s="1"/>
  <c r="BE26" i="8"/>
  <c r="BG26" i="8" s="1"/>
  <c r="BH26" i="8" s="1"/>
  <c r="BJ26" i="8" s="1"/>
  <c r="AV32" i="8"/>
  <c r="AX32" i="8" s="1"/>
  <c r="AY32" i="8" s="1"/>
  <c r="AV29" i="8"/>
  <c r="AX29" i="8" s="1"/>
  <c r="AY29" i="8" s="1"/>
  <c r="AV26" i="8"/>
  <c r="AX26" i="8" s="1"/>
  <c r="AY26" i="8" s="1"/>
  <c r="AV28" i="8"/>
  <c r="AX28" i="8" s="1"/>
  <c r="AY28" i="8" s="1"/>
  <c r="AV25" i="8"/>
  <c r="AX25" i="8" s="1"/>
  <c r="AY25" i="8" s="1"/>
  <c r="AV31" i="8"/>
  <c r="AX31" i="8" s="1"/>
  <c r="AY31" i="8" s="1"/>
  <c r="AV33" i="8"/>
  <c r="AX33" i="8" s="1"/>
  <c r="AY33" i="8" s="1"/>
  <c r="AV30" i="8"/>
  <c r="AX30" i="8" s="1"/>
  <c r="AY30" i="8" s="1"/>
  <c r="AV27" i="8"/>
  <c r="AX27" i="8" s="1"/>
  <c r="AY27" i="8" s="1"/>
  <c r="AD28" i="8"/>
  <c r="AF28" i="8" s="1"/>
  <c r="AG28" i="8" s="1"/>
  <c r="AI28" i="8" s="1"/>
  <c r="AD32" i="8"/>
  <c r="AF32" i="8" s="1"/>
  <c r="AG32" i="8" s="1"/>
  <c r="AI32" i="8" s="1"/>
  <c r="AD29" i="8"/>
  <c r="AF29" i="8" s="1"/>
  <c r="AG29" i="8" s="1"/>
  <c r="AI29" i="8" s="1"/>
  <c r="AJ29" i="8" s="1"/>
  <c r="AD33" i="8"/>
  <c r="AF33" i="8" s="1"/>
  <c r="AG33" i="8" s="1"/>
  <c r="AI33" i="8" s="1"/>
  <c r="AD26" i="8"/>
  <c r="AF26" i="8" s="1"/>
  <c r="AG26" i="8" s="1"/>
  <c r="AI26" i="8" s="1"/>
  <c r="AD30" i="8"/>
  <c r="AF30" i="8" s="1"/>
  <c r="AG30" i="8" s="1"/>
  <c r="AI30" i="8" s="1"/>
  <c r="AD25" i="8"/>
  <c r="AF25" i="8" s="1"/>
  <c r="AG25" i="8" s="1"/>
  <c r="AI25" i="8" s="1"/>
  <c r="AD27" i="8"/>
  <c r="AF27" i="8" s="1"/>
  <c r="AG27" i="8" s="1"/>
  <c r="AI27" i="8" s="1"/>
  <c r="AD31" i="8"/>
  <c r="AF31" i="8" s="1"/>
  <c r="AG31" i="8" s="1"/>
  <c r="AI31" i="8" s="1"/>
  <c r="AO30" i="8"/>
  <c r="AP30" i="8" s="1"/>
  <c r="AR30" i="8" s="1"/>
  <c r="AO29" i="8"/>
  <c r="AP29" i="8" s="1"/>
  <c r="AR29" i="8" s="1"/>
  <c r="AO31" i="8"/>
  <c r="AP31" i="8" s="1"/>
  <c r="AR31" i="8" s="1"/>
  <c r="AO28" i="8"/>
  <c r="AP28" i="8" s="1"/>
  <c r="AR28" i="8" s="1"/>
  <c r="AO27" i="8"/>
  <c r="AP27" i="8" s="1"/>
  <c r="AR27" i="8" s="1"/>
  <c r="C15" i="8"/>
  <c r="B15" i="8"/>
  <c r="AO32" i="8"/>
  <c r="AP32" i="8" s="1"/>
  <c r="AR32" i="8" s="1"/>
  <c r="AO25" i="8"/>
  <c r="AP25" i="8" s="1"/>
  <c r="AR25" i="8" s="1"/>
  <c r="C39" i="8"/>
  <c r="AO33" i="8"/>
  <c r="AP33" i="8" s="1"/>
  <c r="AR33" i="8" s="1"/>
  <c r="J15" i="8"/>
  <c r="K15" i="8"/>
  <c r="AO26" i="8"/>
  <c r="AP26" i="8" s="1"/>
  <c r="AR26" i="8" s="1"/>
  <c r="AS26" i="8" s="1"/>
  <c r="AM24" i="6"/>
  <c r="AM30" i="6"/>
  <c r="AM33" i="6"/>
  <c r="AM31" i="6"/>
  <c r="AM28" i="6"/>
  <c r="AM27" i="6"/>
  <c r="AM25" i="6"/>
  <c r="AM36" i="6"/>
  <c r="AM32" i="6"/>
  <c r="AM35" i="6"/>
  <c r="AM34" i="6"/>
  <c r="AG24" i="6"/>
  <c r="AH24" i="6"/>
  <c r="AH30" i="6"/>
  <c r="AH25" i="6"/>
  <c r="AG25" i="6"/>
  <c r="AI25" i="6" s="1"/>
  <c r="AK32" i="6"/>
  <c r="AK24" i="6"/>
  <c r="Z28" i="6"/>
  <c r="AB28" i="6" s="1"/>
  <c r="AC28" i="6" s="1"/>
  <c r="AD28" i="6" s="1"/>
  <c r="AF28" i="6" s="1"/>
  <c r="AH28" i="6" s="1"/>
  <c r="Z35" i="6"/>
  <c r="AB35" i="6" s="1"/>
  <c r="AC35" i="6" s="1"/>
  <c r="AD35" i="6" s="1"/>
  <c r="AF35" i="6" s="1"/>
  <c r="B40" i="6"/>
  <c r="AL26" i="6"/>
  <c r="AM26" i="6" s="1"/>
  <c r="K47" i="6"/>
  <c r="O54" i="6"/>
  <c r="Q53" i="6"/>
  <c r="R53" i="6" s="1"/>
  <c r="AJ27" i="6"/>
  <c r="AK27" i="6" s="1"/>
  <c r="Z27" i="6"/>
  <c r="AB27" i="6" s="1"/>
  <c r="AC27" i="6" s="1"/>
  <c r="AD27" i="6" s="1"/>
  <c r="AF27" i="6" s="1"/>
  <c r="AH27" i="6" s="1"/>
  <c r="Z32" i="6"/>
  <c r="AB32" i="6" s="1"/>
  <c r="AC32" i="6" s="1"/>
  <c r="AD32" i="6" s="1"/>
  <c r="AF32" i="6" s="1"/>
  <c r="AJ36" i="6"/>
  <c r="AK36" i="6" s="1"/>
  <c r="Z36" i="6"/>
  <c r="AB36" i="6" s="1"/>
  <c r="AC36" i="6" s="1"/>
  <c r="AD36" i="6" s="1"/>
  <c r="AF36" i="6" s="1"/>
  <c r="Z37" i="6"/>
  <c r="AB37" i="6" s="1"/>
  <c r="AC37" i="6" s="1"/>
  <c r="AD37" i="6" s="1"/>
  <c r="AF37" i="6" s="1"/>
  <c r="AJ37" i="6"/>
  <c r="AK37" i="6" s="1"/>
  <c r="K55" i="6"/>
  <c r="B65" i="6"/>
  <c r="AC26" i="6"/>
  <c r="AD26" i="6" s="1"/>
  <c r="AF26" i="6" s="1"/>
  <c r="AH26" i="6" s="1"/>
  <c r="AJ28" i="6"/>
  <c r="AK28" i="6" s="1"/>
  <c r="AJ29" i="6"/>
  <c r="AK29" i="6" s="1"/>
  <c r="Z29" i="6"/>
  <c r="AB29" i="6" s="1"/>
  <c r="AC29" i="6" s="1"/>
  <c r="AD29" i="6" s="1"/>
  <c r="AF29" i="6" s="1"/>
  <c r="AH29" i="6" s="1"/>
  <c r="AL29" i="6"/>
  <c r="AM29" i="6" s="1"/>
  <c r="AC31" i="6"/>
  <c r="AD31" i="6" s="1"/>
  <c r="AF31" i="6" s="1"/>
  <c r="AH31" i="6" s="1"/>
  <c r="AJ33" i="6"/>
  <c r="AK33" i="6" s="1"/>
  <c r="Z33" i="6"/>
  <c r="AB33" i="6" s="1"/>
  <c r="AC33" i="6" s="1"/>
  <c r="AD33" i="6" s="1"/>
  <c r="AF33" i="6" s="1"/>
  <c r="Z34" i="6"/>
  <c r="AB34" i="6" s="1"/>
  <c r="AC34" i="6" s="1"/>
  <c r="AD34" i="6" s="1"/>
  <c r="AF34" i="6" s="1"/>
  <c r="A8" i="10" l="1"/>
  <c r="B7" i="10" a="1"/>
  <c r="B7" i="10" s="1"/>
  <c r="D7" i="10" a="1"/>
  <c r="D7" i="10" s="1"/>
  <c r="C7" i="10" a="1"/>
  <c r="C7" i="10" s="1"/>
  <c r="E7" i="10" a="1"/>
  <c r="E7" i="10" s="1"/>
  <c r="AS29" i="8"/>
  <c r="AJ25" i="8"/>
  <c r="BK31" i="8"/>
  <c r="BK32" i="8"/>
  <c r="BK29" i="8"/>
  <c r="BK25" i="8"/>
  <c r="AS33" i="8"/>
  <c r="AS31" i="8"/>
  <c r="BK27" i="8"/>
  <c r="BK28" i="8"/>
  <c r="BK26" i="8"/>
  <c r="BK30" i="8"/>
  <c r="BK33" i="8"/>
  <c r="AS25" i="8"/>
  <c r="AS27" i="8"/>
  <c r="AS30" i="8"/>
  <c r="AS32" i="8"/>
  <c r="AS28" i="8"/>
  <c r="AJ30" i="8"/>
  <c r="AJ32" i="8"/>
  <c r="AJ31" i="8"/>
  <c r="AJ26" i="8"/>
  <c r="AJ28" i="8"/>
  <c r="AJ27" i="8"/>
  <c r="AJ33" i="8"/>
  <c r="BK30" i="9"/>
  <c r="BK33" i="9"/>
  <c r="BK27" i="9"/>
  <c r="BK26" i="9"/>
  <c r="BK29" i="9"/>
  <c r="BK32" i="9"/>
  <c r="BK25" i="9"/>
  <c r="BK31" i="9"/>
  <c r="AJ32" i="9"/>
  <c r="AJ31" i="9"/>
  <c r="AS28" i="9"/>
  <c r="AJ25" i="9"/>
  <c r="BB26" i="9"/>
  <c r="AS30" i="9"/>
  <c r="BK28" i="9"/>
  <c r="AS31" i="9"/>
  <c r="BB30" i="9"/>
  <c r="BB27" i="9"/>
  <c r="BB31" i="9"/>
  <c r="BB32" i="9"/>
  <c r="BB29" i="9"/>
  <c r="AS32" i="9"/>
  <c r="AJ33" i="9"/>
  <c r="AS25" i="9"/>
  <c r="BB25" i="9"/>
  <c r="BB33" i="9"/>
  <c r="BB28" i="9"/>
  <c r="AS33" i="9"/>
  <c r="AS29" i="9"/>
  <c r="AS27" i="9"/>
  <c r="AS26" i="9"/>
  <c r="AJ26" i="9"/>
  <c r="C16" i="9"/>
  <c r="B16" i="9"/>
  <c r="J15" i="9"/>
  <c r="K15" i="9"/>
  <c r="BA28" i="8"/>
  <c r="BB28" i="8" s="1"/>
  <c r="BA31" i="8"/>
  <c r="BB31" i="8" s="1"/>
  <c r="BA27" i="8"/>
  <c r="BB27" i="8" s="1"/>
  <c r="BA30" i="8"/>
  <c r="BB30" i="8" s="1"/>
  <c r="BA29" i="8"/>
  <c r="BB29" i="8" s="1"/>
  <c r="BA33" i="8"/>
  <c r="BB33" i="8" s="1"/>
  <c r="BA26" i="8"/>
  <c r="BB26" i="8" s="1"/>
  <c r="BA32" i="8"/>
  <c r="BB32" i="8" s="1"/>
  <c r="BA25" i="8"/>
  <c r="BB25" i="8" s="1"/>
  <c r="K16" i="8"/>
  <c r="J16" i="8"/>
  <c r="C40" i="8"/>
  <c r="C16" i="8"/>
  <c r="B16" i="8"/>
  <c r="AH34" i="6"/>
  <c r="AG34" i="6"/>
  <c r="AI34" i="6" s="1"/>
  <c r="AH37" i="6"/>
  <c r="AG37" i="6"/>
  <c r="AI37" i="6" s="1"/>
  <c r="AG32" i="6"/>
  <c r="AH32" i="6"/>
  <c r="AG35" i="6"/>
  <c r="AI35" i="6" s="1"/>
  <c r="AH35" i="6"/>
  <c r="AG33" i="6"/>
  <c r="AI33" i="6" s="1"/>
  <c r="AH33" i="6"/>
  <c r="AI24" i="6"/>
  <c r="AH36" i="6"/>
  <c r="AG36" i="6"/>
  <c r="AI36" i="6" s="1"/>
  <c r="O55" i="6"/>
  <c r="Q54" i="6"/>
  <c r="R54" i="6" s="1"/>
  <c r="A9" i="10" l="1"/>
  <c r="B8" i="10" a="1"/>
  <c r="B8" i="10" s="1"/>
  <c r="D8" i="10" a="1"/>
  <c r="D8" i="10" s="1"/>
  <c r="C8" i="10" a="1"/>
  <c r="C8" i="10" s="1"/>
  <c r="E8" i="10" a="1"/>
  <c r="E8" i="10" s="1"/>
  <c r="J16" i="9"/>
  <c r="K16" i="9"/>
  <c r="C17" i="9"/>
  <c r="B17" i="9"/>
  <c r="C41" i="8"/>
  <c r="C17" i="8"/>
  <c r="B17" i="8"/>
  <c r="K17" i="8"/>
  <c r="J17" i="8"/>
  <c r="Q55" i="6"/>
  <c r="R55" i="6" s="1"/>
  <c r="O56" i="6"/>
  <c r="U55" i="6"/>
  <c r="U52" i="6"/>
  <c r="U54" i="6"/>
  <c r="AI32" i="6"/>
  <c r="AG31" i="6"/>
  <c r="A10" i="10" l="1"/>
  <c r="B9" i="10" a="1"/>
  <c r="B9" i="10" s="1"/>
  <c r="D9" i="10" a="1"/>
  <c r="D9" i="10" s="1"/>
  <c r="C9" i="10" a="1"/>
  <c r="C9" i="10" s="1"/>
  <c r="E9" i="10" a="1"/>
  <c r="E9" i="10" s="1"/>
  <c r="C18" i="9"/>
  <c r="B18" i="9"/>
  <c r="K17" i="9"/>
  <c r="J17" i="9"/>
  <c r="C18" i="8"/>
  <c r="B18" i="8"/>
  <c r="K18" i="8"/>
  <c r="J18" i="8"/>
  <c r="C42" i="8"/>
  <c r="U56" i="6"/>
  <c r="Q56" i="6"/>
  <c r="R56" i="6" s="1"/>
  <c r="AG30" i="6"/>
  <c r="AI31" i="6"/>
  <c r="U53" i="6"/>
  <c r="S55" i="6"/>
  <c r="S52" i="6"/>
  <c r="S53" i="6"/>
  <c r="A11" i="10" l="1"/>
  <c r="B10" i="10" a="1"/>
  <c r="B10" i="10" s="1"/>
  <c r="D10" i="10" a="1"/>
  <c r="D10" i="10" s="1"/>
  <c r="C10" i="10" a="1"/>
  <c r="C10" i="10" s="1"/>
  <c r="E10" i="10" a="1"/>
  <c r="E10" i="10" s="1"/>
  <c r="J18" i="9"/>
  <c r="K18" i="9"/>
  <c r="C19" i="9"/>
  <c r="B19" i="9"/>
  <c r="K19" i="8"/>
  <c r="J19" i="8"/>
  <c r="C43" i="8"/>
  <c r="C19" i="8"/>
  <c r="B19" i="8"/>
  <c r="AI30" i="6"/>
  <c r="AG29" i="6"/>
  <c r="S56" i="6"/>
  <c r="S54" i="6"/>
  <c r="A12" i="10" l="1"/>
  <c r="B11" i="10" a="1"/>
  <c r="B11" i="10" s="1"/>
  <c r="D11" i="10" a="1"/>
  <c r="D11" i="10" s="1"/>
  <c r="C11" i="10" a="1"/>
  <c r="C11" i="10" s="1"/>
  <c r="E11" i="10" a="1"/>
  <c r="E11" i="10" s="1"/>
  <c r="K19" i="9"/>
  <c r="J19" i="9"/>
  <c r="C20" i="9"/>
  <c r="B20" i="9"/>
  <c r="C20" i="8"/>
  <c r="B20" i="8"/>
  <c r="C44" i="8"/>
  <c r="K20" i="8"/>
  <c r="J20" i="8"/>
  <c r="AI29" i="6"/>
  <c r="AG28" i="6"/>
  <c r="A13" i="10" l="1"/>
  <c r="B12" i="10" a="1"/>
  <c r="B12" i="10" s="1"/>
  <c r="B32" i="10" s="1"/>
  <c r="D12" i="10" a="1"/>
  <c r="D12" i="10" s="1"/>
  <c r="D32" i="10" s="1"/>
  <c r="C12" i="10" a="1"/>
  <c r="C12" i="10" s="1"/>
  <c r="C32" i="10" s="1"/>
  <c r="E12" i="10" a="1"/>
  <c r="E12" i="10" s="1"/>
  <c r="E32" i="10" s="1"/>
  <c r="J20" i="9"/>
  <c r="K20" i="9"/>
  <c r="AI28" i="6"/>
  <c r="AG27" i="6"/>
  <c r="A14" i="10" l="1"/>
  <c r="B13" i="10" a="1"/>
  <c r="B13" i="10" s="1"/>
  <c r="D13" i="10" a="1"/>
  <c r="D13" i="10" s="1"/>
  <c r="C13" i="10" a="1"/>
  <c r="C13" i="10" s="1"/>
  <c r="E13" i="10" a="1"/>
  <c r="E13" i="10" s="1"/>
  <c r="AI27" i="6"/>
  <c r="AG26" i="6"/>
  <c r="AI26" i="6" s="1"/>
  <c r="A15" i="10" l="1"/>
  <c r="B14" i="10" a="1"/>
  <c r="B14" i="10" s="1"/>
  <c r="D14" i="10" a="1"/>
  <c r="D14" i="10" s="1"/>
  <c r="C14" i="10" a="1"/>
  <c r="C14" i="10" s="1"/>
  <c r="E14" i="10" a="1"/>
  <c r="E14" i="10" s="1"/>
  <c r="F39" i="5"/>
  <c r="F41" i="5" s="1"/>
  <c r="E39" i="5"/>
  <c r="E41" i="5" s="1"/>
  <c r="D39" i="5"/>
  <c r="D41" i="5" s="1"/>
  <c r="C39" i="5"/>
  <c r="C41" i="5" s="1"/>
  <c r="D32" i="5"/>
  <c r="F30" i="5"/>
  <c r="F32" i="5" s="1"/>
  <c r="E30" i="5"/>
  <c r="E32" i="5" s="1"/>
  <c r="E33" i="5" s="1"/>
  <c r="D30" i="5"/>
  <c r="C30" i="5"/>
  <c r="C32" i="5" s="1"/>
  <c r="D23" i="5"/>
  <c r="F21" i="5"/>
  <c r="F23" i="5" s="1"/>
  <c r="F24" i="5" s="1"/>
  <c r="F25" i="5" s="1"/>
  <c r="E21" i="5"/>
  <c r="E23" i="5" s="1"/>
  <c r="D21" i="5"/>
  <c r="C21" i="5"/>
  <c r="C23" i="5" s="1"/>
  <c r="D14" i="5"/>
  <c r="F12" i="5"/>
  <c r="F14" i="5" s="1"/>
  <c r="E12" i="5"/>
  <c r="E14" i="5" s="1"/>
  <c r="D12" i="5"/>
  <c r="C12" i="5"/>
  <c r="C14" i="5" s="1"/>
  <c r="C15" i="5" s="1"/>
  <c r="E42" i="5" l="1"/>
  <c r="A16" i="10"/>
  <c r="B15" i="10" a="1"/>
  <c r="B15" i="10" s="1"/>
  <c r="D15" i="10" a="1"/>
  <c r="D15" i="10" s="1"/>
  <c r="C15" i="10" a="1"/>
  <c r="C15" i="10" s="1"/>
  <c r="E15" i="10" a="1"/>
  <c r="E15" i="10" s="1"/>
  <c r="D15" i="5"/>
  <c r="E34" i="5"/>
  <c r="C24" i="5"/>
  <c r="C25" i="5" s="1"/>
  <c r="D24" i="5"/>
  <c r="D25" i="5" s="1"/>
  <c r="F33" i="5"/>
  <c r="F34" i="5" s="1"/>
  <c r="E15" i="5"/>
  <c r="C33" i="5"/>
  <c r="D33" i="5"/>
  <c r="F42" i="5"/>
  <c r="F43" i="5" s="1"/>
  <c r="F15" i="5"/>
  <c r="E24" i="5"/>
  <c r="E25" i="5" s="1"/>
  <c r="C42" i="5"/>
  <c r="D42" i="5"/>
  <c r="D43" i="5" s="1"/>
  <c r="G12" i="5"/>
  <c r="G14" i="5" s="1"/>
  <c r="G15" i="5" s="1"/>
  <c r="G21" i="5"/>
  <c r="G23" i="5" s="1"/>
  <c r="G24" i="5" s="1"/>
  <c r="G25" i="5" s="1"/>
  <c r="G30" i="5"/>
  <c r="G32" i="5" s="1"/>
  <c r="G33" i="5" s="1"/>
  <c r="G39" i="5"/>
  <c r="G41" i="5" s="1"/>
  <c r="G42" i="5" s="1"/>
  <c r="G43" i="5" s="1"/>
  <c r="G34" i="5" l="1"/>
  <c r="D34" i="5"/>
  <c r="A17" i="10"/>
  <c r="B16" i="10" a="1"/>
  <c r="B16" i="10" s="1"/>
  <c r="D16" i="10" a="1"/>
  <c r="D16" i="10" s="1"/>
  <c r="C16" i="10" a="1"/>
  <c r="C16" i="10" s="1"/>
  <c r="E16" i="10" a="1"/>
  <c r="E16" i="10" s="1"/>
  <c r="G6" i="5"/>
  <c r="G16" i="5"/>
  <c r="F6" i="5"/>
  <c r="F16" i="5"/>
  <c r="E16" i="5"/>
  <c r="E6" i="5"/>
  <c r="C6" i="5"/>
  <c r="E43" i="5"/>
  <c r="C43" i="5"/>
  <c r="D6" i="5"/>
  <c r="D16" i="5"/>
  <c r="C34" i="5"/>
  <c r="C16" i="5"/>
  <c r="A18" i="10" l="1"/>
  <c r="B17" i="10" a="1"/>
  <c r="B17" i="10" s="1"/>
  <c r="D17" i="10" a="1"/>
  <c r="D17" i="10" s="1"/>
  <c r="C17" i="10" a="1"/>
  <c r="C17" i="10" s="1"/>
  <c r="E17" i="10" a="1"/>
  <c r="E17" i="10" s="1"/>
  <c r="G7" i="5"/>
  <c r="C7" i="5"/>
  <c r="E7" i="5"/>
  <c r="F7" i="5"/>
  <c r="D7" i="5"/>
  <c r="A19" i="10" l="1"/>
  <c r="B18" i="10" a="1"/>
  <c r="B18" i="10" s="1"/>
  <c r="D18" i="10" a="1"/>
  <c r="D18" i="10" s="1"/>
  <c r="C18" i="10" a="1"/>
  <c r="C18" i="10" s="1"/>
  <c r="E18" i="10" a="1"/>
  <c r="E18" i="10" s="1"/>
  <c r="A20" i="10" l="1"/>
  <c r="B19" i="10" a="1"/>
  <c r="B19" i="10" s="1"/>
  <c r="D19" i="10" a="1"/>
  <c r="D19" i="10" s="1"/>
  <c r="C19" i="10" a="1"/>
  <c r="C19" i="10" s="1"/>
  <c r="E19" i="10" a="1"/>
  <c r="E19" i="10" s="1"/>
  <c r="A21" i="10" l="1"/>
  <c r="B20" i="10" a="1"/>
  <c r="B20" i="10" s="1"/>
  <c r="D20" i="10" a="1"/>
  <c r="D20" i="10" s="1"/>
  <c r="C20" i="10" a="1"/>
  <c r="C20" i="10" s="1"/>
  <c r="E20" i="10" a="1"/>
  <c r="E20" i="10" s="1"/>
  <c r="B21" i="10" l="1" a="1"/>
  <c r="B21" i="10" s="1"/>
  <c r="B28" i="10" s="1"/>
  <c r="D21" i="10" a="1"/>
  <c r="D21" i="10" s="1"/>
  <c r="D28" i="10" s="1"/>
  <c r="C21" i="10" a="1"/>
  <c r="C21" i="10" s="1"/>
  <c r="C28" i="10" s="1"/>
  <c r="E21" i="10" a="1"/>
  <c r="E21" i="10" s="1"/>
  <c r="E28" i="10" s="1"/>
</calcChain>
</file>

<file path=xl/sharedStrings.xml><?xml version="1.0" encoding="utf-8"?>
<sst xmlns="http://schemas.openxmlformats.org/spreadsheetml/2006/main" count="665" uniqueCount="299">
  <si>
    <t>C</t>
  </si>
  <si>
    <t>B</t>
  </si>
  <si>
    <t>R</t>
  </si>
  <si>
    <t>N</t>
  </si>
  <si>
    <t>CB</t>
  </si>
  <si>
    <t>Reported median 10 year probability (world)</t>
  </si>
  <si>
    <t>Corresponding 1 year frequency (world)</t>
  </si>
  <si>
    <t>Proportion terrorist</t>
  </si>
  <si>
    <t>1 year frequency, terrorist attacks (world)</t>
  </si>
  <si>
    <t>Relative frequency</t>
  </si>
  <si>
    <t>Reported average 10 year probability (world)</t>
  </si>
  <si>
    <t>Reported median 5 year probability (world)</t>
  </si>
  <si>
    <t>Reported average 5 year probability (world)</t>
  </si>
  <si>
    <t>Lugar Survey</t>
  </si>
  <si>
    <t>Exceedance</t>
  </si>
  <si>
    <t>Original raw numbers</t>
  </si>
  <si>
    <t>N 10 years</t>
  </si>
  <si>
    <t>0-0</t>
  </si>
  <si>
    <t>Lugar survey 10 year estimates</t>
  </si>
  <si>
    <t>Low</t>
  </si>
  <si>
    <t>Below</t>
  </si>
  <si>
    <t>High</t>
  </si>
  <si>
    <t>C 10 years</t>
  </si>
  <si>
    <t>B 10 years</t>
  </si>
  <si>
    <t>R 10 years</t>
  </si>
  <si>
    <t>Reported</t>
  </si>
  <si>
    <t>Half</t>
  </si>
  <si>
    <t>Median</t>
  </si>
  <si>
    <t>Mean</t>
  </si>
  <si>
    <t>total</t>
  </si>
  <si>
    <t>Lugar survey 5 year estimates</t>
  </si>
  <si>
    <t>to identify bin of median respondent</t>
  </si>
  <si>
    <t>years</t>
  </si>
  <si>
    <t>median</t>
  </si>
  <si>
    <t>sum</t>
  </si>
  <si>
    <t>Relative to N</t>
  </si>
  <si>
    <t>Average of 5, 10 year mean, median</t>
  </si>
  <si>
    <t>N 5 years</t>
  </si>
  <si>
    <t>(six, "at or near zero", minus the four 0%)</t>
  </si>
  <si>
    <t>0-1%</t>
  </si>
  <si>
    <t>1-5%</t>
  </si>
  <si>
    <t>(32 "at 5% or less", minus the six at or near zero)</t>
  </si>
  <si>
    <t>6 to 9%</t>
  </si>
  <si>
    <t>(33 reported in table, minus 32 rating at 5% or less)</t>
  </si>
  <si>
    <t>49, 10% to 50%, minus 37, 10% to less than 50%</t>
  </si>
  <si>
    <t>50%</t>
  </si>
  <si>
    <t>51-60%</t>
  </si>
  <si>
    <t>13 in 50-60 bin, minus 12 at 50%</t>
  </si>
  <si>
    <t>B 5 years</t>
  </si>
  <si>
    <t>10%-30%</t>
  </si>
  <si>
    <t>text</t>
  </si>
  <si>
    <t>table</t>
  </si>
  <si>
    <t>10%-29%</t>
  </si>
  <si>
    <t>difference</t>
  </si>
  <si>
    <t>Seven 30-39%, minus six 30%</t>
  </si>
  <si>
    <t>31-39%</t>
  </si>
  <si>
    <t>Three others as above 75%</t>
  </si>
  <si>
    <t>70-74%</t>
  </si>
  <si>
    <t>0-3%</t>
  </si>
  <si>
    <t>3 less than 4%</t>
  </si>
  <si>
    <t>4-9%</t>
  </si>
  <si>
    <t>&gt;0-3%</t>
  </si>
  <si>
    <t>97-100%</t>
  </si>
  <si>
    <t>90-96%</t>
  </si>
  <si>
    <t>97-99%</t>
  </si>
  <si>
    <t>C 5 years</t>
  </si>
  <si>
    <t>all in the 30-39% bin</t>
  </si>
  <si>
    <t>&gt;0-5%</t>
  </si>
  <si>
    <t>14, 5% or less</t>
  </si>
  <si>
    <t>6%-9%</t>
  </si>
  <si>
    <t>R 5 years</t>
  </si>
  <si>
    <t>No additional information in text</t>
  </si>
  <si>
    <t>60%</t>
  </si>
  <si>
    <t>61-70%</t>
  </si>
  <si>
    <t>0-3% minus 1 at 0</t>
  </si>
  <si>
    <t>remainder</t>
  </si>
  <si>
    <t>Detail</t>
  </si>
  <si>
    <t>Original raw numbers, with additional detail from text.</t>
  </si>
  <si>
    <t>(percent) Bottom of "greater than zero" bin</t>
  </si>
  <si>
    <t>Green bins are bins identified from the text.</t>
  </si>
  <si>
    <t>Bins</t>
  </si>
  <si>
    <t xml:space="preserve">A very large scale terrorist attack, on the scale of the three city version </t>
  </si>
  <si>
    <t>TRIA</t>
  </si>
  <si>
    <t>FY16 doesn't, https://www.govinfo.gov/content/pkg/BUDGET-2016-APP/pdf/BUDGET-2016-APP-1-19.pdf (retrieved 11 April 2021).</t>
  </si>
  <si>
    <t>https://www.nytimes.com/2021/03/06/us/emergent-biosolutions-anthrax-coronavirus.html</t>
  </si>
  <si>
    <t>budget</t>
  </si>
  <si>
    <t>expires</t>
  </si>
  <si>
    <t>Baseline estimated outlays.  Heavy line indicates then-current TRIA regime sunset.</t>
  </si>
  <si>
    <t>Pink numbers are from the FY09 Treasury budget justification rather than the President's Budget.</t>
  </si>
  <si>
    <t>10 year</t>
  </si>
  <si>
    <t xml:space="preserve">of the 380,000 fatality/city 2008 anthrax planning scenario </t>
  </si>
  <si>
    <t>published</t>
  </si>
  <si>
    <t>on 12/31</t>
  </si>
  <si>
    <t>years left</t>
  </si>
  <si>
    <t>CY prepared</t>
  </si>
  <si>
    <t>FY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</si>
  <si>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</si>
  <si>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</si>
  <si>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</si>
  <si>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</si>
  <si>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</si>
  <si>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</si>
  <si>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</si>
  <si>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</si>
  <si>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</si>
  <si>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</si>
  <si>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</si>
  <si>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</si>
  <si>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Net</t>
  </si>
  <si>
    <t>Page</t>
  </si>
  <si>
    <t>Source</t>
  </si>
  <si>
    <t xml:space="preserve">https://www.tfah.org/report-details/ready-or-not-2008/ p. 21 </t>
  </si>
  <si>
    <t>pp. 91-92</t>
  </si>
  <si>
    <t>Bush, George W. (2008, February 4).  Analytical perspectives.  At https://fraser.stlouisfed.org/docs/publications/usbanalytical/BUDGET-2009-PER.pdf, https://www.gpo.gov/fdsys/pkg/BUDGET-2009-PER/xls/BUDGET-2009-PER-12-5-2.xls.  U.S. Department of the Treasury (2008, February 4).  Congressional budget justification FY 2009, p. DO-38 table 4.3, TRIA baseline outlays and receipt table.  At https://home.treasury.gov/system/files/266/CJ_FY09.pdf (retrieved 11 April 2021).</t>
  </si>
  <si>
    <t>http://docs.house.gov/meetings/HM/HM12/20140211/101728/HHRG-113-HM12-Wstate-KadlecR-20140211.pdf p.5</t>
  </si>
  <si>
    <t>pp. 58-59</t>
  </si>
  <si>
    <t>Obama, Barack H. (2009, May 11).  Analytical perspectives.  At https://fraser.stlouisfed.org/docs/publications/usbanalytical/BUDGET-2010-PER.pdf, https://www.gpo.gov/fdsys/pkg/BUDGET-2010-PER/xls/BUDGET-2010-PER-1-5-1.xls</t>
  </si>
  <si>
    <t>https://www.hsgac.senate.gov/imo/media/doc/TestimonyKadlec20111018.pdf p. 8</t>
  </si>
  <si>
    <t>pp. 362-363</t>
  </si>
  <si>
    <t>Obama, Barack H. (2010, February 1).  Analytical perspectives.  At https://fraser.stlouisfed.org/docs/publications/usbanalytical/BUDGET-2011-PER.pdf, https://www.gpo.gov/fdsys/pkg/BUDGET-2011-PER/xls/BUDGET-2011-PER-1-5-1.xls</t>
  </si>
  <si>
    <t xml:space="preserve">https://www.govinfo.gov/content/pkg/CHRG-112hhrg81131/pdf/CHRG-112hhrg81131.pdf p. 30 </t>
  </si>
  <si>
    <t>p. 387</t>
  </si>
  <si>
    <t>Obama, Barack H. (2011, February 14).  Analytical perspectives.  At https://fraser.stlouisfed.org/docs/publications/usbanalytical/BUDGET-2012-PER.pdf, https://www.gpo.gov/fdsys/pkg/BUDGET-2012-PER/xls/BUDGET-2012-PER-1-6-1.xls</t>
  </si>
  <si>
    <t>p. 392</t>
  </si>
  <si>
    <t>Obama, Barack H. (2012, February 13).  Analytical perspectives.  At https://fraser.stlouisfed.org/docs/publications/usbanalytical/BUDGET-2013-PER.pdf, https://www.gpo.gov/fdsys/pkg/BUDGET-2013-PER/xls/BUDGET-2013-PER-1-5-1.xls</t>
  </si>
  <si>
    <t>Big terrorist attack probability</t>
  </si>
  <si>
    <t>p. 396</t>
  </si>
  <si>
    <t>Obama, Barack H. (2013, April 10).  Analytical perspectives.  At https://fraser.stlouisfed.org/docs/publications/usbanalytical/BUDGET-2014-PER.pdf, https://www.gpo.gov/fdsys/pkg/BUDGET-2014-PER/xls/BUDGET-2014-PER-1-5-1.xls</t>
  </si>
  <si>
    <t>President's estimate, Analytical perspectives for FY22.</t>
  </si>
  <si>
    <t>pp. 336-337</t>
  </si>
  <si>
    <t>Obama, Barack H. (2014, March 10).  Analytical perspectives.  At https://fraser.stlouisfed.org/docs/publications/usbanalytical/BUDGET-2015-PER.pdf, https://www.gpo.gov/fdsys/pkg/BUDGET-2015-PER/xls/BUDGET-2015-PER-9-6-2.xls</t>
  </si>
  <si>
    <t>Biden, Joseph R. (2021, May 28).  Analytical perspectives.  At https://www.govinfo.gov/content/pkg/BUDGET-2022-PER/pdf/BUDGET-2022-PER.pdf, https://www.govinfo.gov/content/pkg/BUDGET-2022-PER/xls/BUDGET-2022-PER-8-4-1.xlsx</t>
  </si>
  <si>
    <t>p. 322</t>
  </si>
  <si>
    <t>Obama, Barack H. (2015, February 2).  Analytical perspectives.  At https://fraser.stlouisfed.org/docs/publications/usbanalytical/BUDGET-2016-PER.pdf, https://www.gpo.gov/fdsys/pkg/BUDGET-2016-PER/xls/BUDGET-2016-PER-9-6-2.xls</t>
  </si>
  <si>
    <t>p. 328*</t>
  </si>
  <si>
    <t>Obama, Barack H. (2016, February 9).  Analytical perspectives p. 328, Budget p. 1021.  At https://www.govinfo.gov/content/pkg/BUDGET-2017-PER/pdf/BUDGET-2017-PER.pdf, https://www.govinfo.gov/content/pkg/BUDGET-2017-BUD/pdf/BUDGET-2017-BUD.pdf, https://www.gpo.gov/fdsys/pkg/BUDGET-2017-PER/xls/BUDGET-2017-PER-8-5-2.xls.</t>
  </si>
  <si>
    <t>Example calculation, for one year (other years to right)</t>
  </si>
  <si>
    <t>pp. 225-226</t>
  </si>
  <si>
    <t>Trump, Donald J. (2017, May 23).  Analytical perspectives.  At https://www.govinfo.gov/content/pkg/BUDGET-2018-PER/pdf/BUDGET-2018-PER.pdf, https://www.gpo.gov/fdsys/pkg/BUDGET-2018-PER/xls/BUDGET-2018-PER-9-4-2.xls</t>
  </si>
  <si>
    <t>pp. 256-257</t>
  </si>
  <si>
    <t>Trump, Donald J. (2018, February 12).  Analytical perspectives.  At https://www.govinfo.gov/content/pkg/BUDGET-2019-PER/pdf/BUDGET-2019-PER.pdf, https://www.gpo.gov/fdsys/pkg/BUDGET-2019-PER/xls/BUDGET-2019-PER-9-5-1.xlsx</t>
  </si>
  <si>
    <t>Net FY22-31 outlays, Terrorism Insurance Program, Analytic Perspectives table 20-1 tab Outlays, $ million.</t>
  </si>
  <si>
    <t>p. 288</t>
  </si>
  <si>
    <t>Trump, Donald J. (2019, March 11).  Analytical perspectives.  At https://www.govinfo.gov/app/details/BUDGET-2020-PER/, https://www.govinfo.gov/content/pkg/BUDGET-2020-PER.zip</t>
  </si>
  <si>
    <t>Ten year net spending, Analytic Perspectives p. 194.</t>
  </si>
  <si>
    <t>p. 254</t>
  </si>
  <si>
    <t>Trump, Donald J. (2020, February 10).  Analytical perspectives.  At https://www.govinfo.gov/content/pkg/BUDGET-2021-PER/pdf/BUDGET-2021-PER.pdf, https://www.govinfo.gov/content/pkg/BUDGET-2021-PER/xls/BUDGET-2021-PER-8-5-1.xlsx</t>
  </si>
  <si>
    <t>Difference: Money recouped from insurers, $ million.</t>
  </si>
  <si>
    <t>p. 194</t>
  </si>
  <si>
    <t>Factor: Amount recouped / recoupable outlays in TRIA law.</t>
  </si>
  <si>
    <t>Recoupable outlays: difference / 140%.</t>
  </si>
  <si>
    <t>Comparison with CBO's TRIA estimates</t>
  </si>
  <si>
    <t>Actual USG share (non-recoupable outlays): Total outlays FY22-30, minus actual recoupable outlays.</t>
  </si>
  <si>
    <t>CBO March 2020 for comparison</t>
  </si>
  <si>
    <t>Two very different pictures.</t>
  </si>
  <si>
    <t>Years of remaining exposure (until current TRIA regime sunsets).</t>
  </si>
  <si>
    <t>sum Pres FY21</t>
  </si>
  <si>
    <t>CBO sees many small, medium attacks, but almost no 9/11+ scale attacks.</t>
  </si>
  <si>
    <t>USG exposure / year, $ million.</t>
  </si>
  <si>
    <t>year</t>
  </si>
  <si>
    <t>actual</t>
  </si>
  <si>
    <t>net losses</t>
  </si>
  <si>
    <t>100b or above</t>
  </si>
  <si>
    <t>presumed</t>
  </si>
  <si>
    <t>to</t>
  </si>
  <si>
    <t>sum Pres FY22</t>
  </si>
  <si>
    <t>President sees few medium attacks at least, but risk is concentrated on the big ones.</t>
  </si>
  <si>
    <t>Aggregate retention CY 2021 (assume constant in future years), $ million, https://www.govinfo.gov/content/pkg/FR-2020-12-21/pdf/2020-27996.pdf.</t>
  </si>
  <si>
    <t>CY made</t>
  </si>
  <si>
    <t>prepared</t>
  </si>
  <si>
    <t>exposure</t>
  </si>
  <si>
    <t>outlays</t>
  </si>
  <si>
    <t>spending</t>
  </si>
  <si>
    <t>factor</t>
  </si>
  <si>
    <t>recouped</t>
  </si>
  <si>
    <t>by USG</t>
  </si>
  <si>
    <t>avg</t>
  </si>
  <si>
    <t>prob</t>
  </si>
  <si>
    <t>rel 09</t>
  </si>
  <si>
    <t>avg outlays</t>
  </si>
  <si>
    <t>deflator</t>
  </si>
  <si>
    <t>average</t>
  </si>
  <si>
    <t>Pink cells with rounded numbers are from the FY09 Treasury budget justification, the remainder from the Analytical Perspectives volumes and the budget spreadsheets.</t>
  </si>
  <si>
    <t>Program ceiling, $ million.</t>
  </si>
  <si>
    <t>aggregate deductible</t>
  </si>
  <si>
    <t>The two needed figures are the ten year outlays and revenues.</t>
  </si>
  <si>
    <t>Program ceiling - aggregate retention.</t>
  </si>
  <si>
    <t>2009-18</t>
  </si>
  <si>
    <t>USG % share.</t>
  </si>
  <si>
    <t>Or, given ten year outlay and revenue totals, the actual USG retained losses</t>
  </si>
  <si>
    <t>USG $m share of a $100+ billion loss.</t>
  </si>
  <si>
    <t>revenues</t>
  </si>
  <si>
    <t>are outlays - 0.75*revenues.</t>
  </si>
  <si>
    <t>revenues / 1.33</t>
  </si>
  <si>
    <t>Probability of saturating upper bound, if loss distribution for terrorist attacks greater than $42 billion were distributed above $100 billion: USG exposure / maximum exposure from a $100b+ attack.</t>
  </si>
  <si>
    <t>actual losses owned by USG</t>
  </si>
  <si>
    <t>For a three-city anthrax attack scenario, based on the 2008 CEA 380,000 fatality/city scenario referenced elsewhere, total fatalities.</t>
  </si>
  <si>
    <t>One city</t>
  </si>
  <si>
    <t>Three cities</t>
  </si>
  <si>
    <t>DC+states+PR population 2008</t>
  </si>
  <si>
    <t>DC+states+PR population 2020</t>
  </si>
  <si>
    <t>Ratio 2020/2008</t>
  </si>
  <si>
    <t>Total fatalities, three cities, 2020 population.</t>
  </si>
  <si>
    <t>The probability increase CY 2010-2014 is an artefact of summing over a longer range (the ten year window includes more of the tail outlays as it stretches beyond the then-current TRIA regime's</t>
  </si>
  <si>
    <t>Total fatality risk.</t>
  </si>
  <si>
    <t>sunset), as well as indicative of the assumptions being applied by the then-current President.  The regularity in #44's outlay estimates from CY 2010-16 suggests the same continuity of assumptions.</t>
  </si>
  <si>
    <t>TRIA parameters</t>
  </si>
  <si>
    <t>Alternate deflators (unused)</t>
  </si>
  <si>
    <t>The clear but steady decrease from CY 2017 on marks another self-consistent set of assumptions with #45 which is continued by #46 in the first year of his Administration (as #44's continued the</t>
  </si>
  <si>
    <t>For comparison</t>
  </si>
  <si>
    <t xml:space="preserve"> N, 1.2 million fatality IND FOIA-released Region II 2016 THIRA p. 84 (Bates 000405) https://assets.documentcloud.org/documents/5788192/FEMA-Records-Regarding-Hurricane-Maria-Response.pdf. </t>
  </si>
  <si>
    <t>hist</t>
  </si>
  <si>
    <t>outlay</t>
  </si>
  <si>
    <t>estimates of the previous Administration in its first year).  The 'presumed' column applies these assumptions: flat from CY 2010 to 2016, and no change (the already-observed decline) to 2017-present.</t>
  </si>
  <si>
    <t>Deaths</t>
  </si>
  <si>
    <t>original</t>
  </si>
  <si>
    <t>year budget</t>
  </si>
  <si>
    <t>Fed fx</t>
  </si>
  <si>
    <t>WC terrorism risk</t>
  </si>
  <si>
    <t>gdp</t>
  </si>
  <si>
    <t>GDP</t>
  </si>
  <si>
    <t>OMB</t>
  </si>
  <si>
    <t>fraction</t>
  </si>
  <si>
    <t>threshold</t>
  </si>
  <si>
    <t>recoupment</t>
  </si>
  <si>
    <t>above thr</t>
  </si>
  <si>
    <t>cy</t>
  </si>
  <si>
    <t>RMS</t>
  </si>
  <si>
    <t>AIR</t>
  </si>
  <si>
    <t>NCCI</t>
  </si>
  <si>
    <t>HSGP</t>
  </si>
  <si>
    <t>CBO</t>
  </si>
  <si>
    <t>OMB GDP and deflator source</t>
  </si>
  <si>
    <t>https://www.govinfo.gov/app/details/BUDGET-2021-TAB/BUDGET-2021-TAB-11-1/context</t>
  </si>
  <si>
    <t>For comparison:</t>
  </si>
  <si>
    <t>https://www.govinfo.gov/content/pkg/BUDGET-2021-TAB/xls/BUDGET-2021-TAB-11-1.xlsx</t>
  </si>
  <si>
    <t>Pandemic fatality risk</t>
  </si>
  <si>
    <t>Retrieved 10 April 2021</t>
  </si>
  <si>
    <t>SNRA 2015 best estimate</t>
  </si>
  <si>
    <t>CBO GDP source</t>
  </si>
  <si>
    <t>U.S. population used by 2011 and 2015 SNRA</t>
  </si>
  <si>
    <t>CBO historical data and economic projections, February 2021.   At https://www.cbo.gov/data/budget-economic-data,</t>
  </si>
  <si>
    <t>2020 U.S. population including island territories</t>
  </si>
  <si>
    <t>https://www.cbo.gov/system/files/2021-02/55022-2021-02-historicaleconomicdata.zip</t>
  </si>
  <si>
    <t>Scale</t>
  </si>
  <si>
    <t>SNRA 2015 pandemic scenario fatalities, best estimate, 2020 USA population</t>
  </si>
  <si>
    <t>Annual likelihood</t>
  </si>
  <si>
    <t>U.S. Department of the Treasury (2008, February 4).  Congressional budget justification FY 2009, p. DO-38 table 4.3, TRIA baseline outlays and receipt table.  At https://home.treasury.gov/system/files/266/CJ_FY09.pdf (retrieved 11 April 2021).</t>
  </si>
  <si>
    <t>2009-13</t>
  </si>
  <si>
    <t>Outlays</t>
  </si>
  <si>
    <t>Revenues</t>
  </si>
  <si>
    <t>Nuclear war fatality risk.</t>
  </si>
  <si>
    <t>2020 $40.880 (https://www.govinfo.gov/content/pkg/FR-2019-12-18/pdf/2019-27279.pdf), 2021 $41.706 (https://www.govinfo.gov/content/pkg/FR-2020-12-21/pdf/2020-27996.pdf</t>
  </si>
  <si>
    <t>Annual probability of U.S. in multi-city nuclear war, Lloyd's (2018).</t>
  </si>
  <si>
    <t>FEMA 1988, estimated fraction of U.S. population dead within 30 days of a Soviet nuclear exchange, optimistic scenario.</t>
  </si>
  <si>
    <t>U.S. population 2020.</t>
  </si>
  <si>
    <t>Total fatalities.</t>
  </si>
  <si>
    <t>Total fatality risk, nuclear war.</t>
  </si>
  <si>
    <t>Nuclear war probability, every major city in USA.</t>
  </si>
  <si>
    <t>At https://cityriskindex.lloyds.com/explore/ (retrieved 18 November 2020)</t>
  </si>
  <si>
    <t>Interstate conflict</t>
  </si>
  <si>
    <t>The extreme and moderate scenarios are the same for the official five nuclear powers.</t>
  </si>
  <si>
    <t>Interstate Conflict</t>
  </si>
  <si>
    <t>IW1</t>
  </si>
  <si>
    <t xml:space="preserve">City mobilized for war, but not attacked; industrial activity switches from commercial to military </t>
  </si>
  <si>
    <t xml:space="preserve">production; consumer demand and investor confidence drops, some outmigration; conflict impact lasts </t>
  </si>
  <si>
    <t>for 1 year</t>
  </si>
  <si>
    <t>IW2</t>
  </si>
  <si>
    <t xml:space="preserve">City suffers sporadic attack from occasional missiles or aerial bombardment (and possible damage </t>
  </si>
  <si>
    <t xml:space="preserve">from cyber attack); city is mobilized for war; consumer demand and investor confidence drops, large </t>
  </si>
  <si>
    <t>outmigration; conflict impact lasts for 2 year</t>
  </si>
  <si>
    <t>IW3</t>
  </si>
  <si>
    <t xml:space="preserve">City is the target of strategic bombing by enemy forces, destroying industrial and commercial </t>
  </si>
  <si>
    <t xml:space="preserve">output and military facilities in the city; significant outmigration. Possible rebuilding </t>
  </si>
  <si>
    <t>afterwards by major injection of capital; conflict impact lasts for 3 years</t>
  </si>
  <si>
    <t>Nuclear war impacts.</t>
  </si>
  <si>
    <t>FEMA-160, Recovery from nuclear attack, 1988, U.S. fatality estimates (summarized from NAPB-90).</t>
  </si>
  <si>
    <t>Blast and thermal effects, killed outright.</t>
  </si>
  <si>
    <t>Fallout radiation, killed.</t>
  </si>
  <si>
    <t>Total US fraction.</t>
  </si>
  <si>
    <t>https://www.defconwarningsystem.com/documents/recovery_from_nuclear_attack.pdf</t>
  </si>
  <si>
    <t>Retrieved 27 June 2020</t>
  </si>
  <si>
    <t>Also in https://raw.githubusercontent.com/bd02/staging/main/docs/Public%20sources/Adversarial/Other/N/FEMA%201988%20Recovery%20from%20nuclear%20attack%20(FEMA-160).pdf.</t>
  </si>
  <si>
    <t>more than 30% (25+) btwn 50 and 60%, minus 50-59 bin</t>
  </si>
  <si>
    <t>%iles</t>
  </si>
  <si>
    <t>10yp</t>
  </si>
  <si>
    <t>10yf</t>
  </si>
  <si>
    <t>terr%</t>
  </si>
  <si>
    <t>1yr f</t>
  </si>
  <si>
    <t>Rel N median</t>
  </si>
  <si>
    <t>5yp</t>
  </si>
  <si>
    <t>5yf</t>
  </si>
  <si>
    <t>lookup</t>
  </si>
  <si>
    <t>Decimal</t>
  </si>
  <si>
    <t>President's estimate, absolute probability of an NPS #1 event</t>
  </si>
  <si>
    <t>Lugar Survey, conditional probabilities relative to median N</t>
  </si>
  <si>
    <t>probability</t>
  </si>
  <si>
    <t>Cross-multiplication matrix</t>
  </si>
  <si>
    <t>Reported summary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</si>
</sst>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%"/>
    <numFmt numFmtId="165" formatCode="0.000"/>
    <numFmt numFmtId="166" formatCode="0.0"/>
    <numFmt numFmtId="167" formatCode="0.0000"/>
    <numFmt numFmtId="168" formatCode="m/d/yy;@"/>
    <numFmt numFmtId="169" formatCode="yyyy"/>
    <numFmt numFmtId="170" formatCode="0.000%"/>
    <numFmt numFmtId="171" formatCode="0.00000"/>
    <numFmt numFmtId="172" formatCode="#\ ???/???"/>
  </numFmts>
  <fonts count="22" x14ac:knownFonts="1">
    <font>
      <sz val="11"/>
      <color theme="1"/>
      <name val="Times New Roman"/>
      <family val="2"/>
      <scheme val="minor"/>
    </font>
    <font>
      <sz val="8"/>
      <color theme="1"/>
      <name val="Cambria"/>
      <family val="2"/>
    </font>
    <font>
      <sz val="8"/>
      <color theme="1"/>
      <name val="Cambria"/>
      <family val="2"/>
    </font>
    <font>
      <sz val="8"/>
      <color theme="1"/>
      <name val="Cambria"/>
      <family val="2"/>
    </font>
    <font>
      <sz val="11"/>
      <color theme="1"/>
      <name val="Times New Roman"/>
      <family val="2"/>
      <scheme val="minor"/>
    </font>
    <font>
      <sz val="9"/>
      <color theme="1"/>
      <name val="Cambria"/>
      <family val="1"/>
    </font>
    <font>
      <sz val="9"/>
      <color theme="1"/>
      <name val="Times New Roman"/>
      <family val="1"/>
      <scheme val="major"/>
    </font>
    <font>
      <sz val="9"/>
      <color indexed="8"/>
      <name val="Times New Roman"/>
      <family val="1"/>
      <scheme val="major"/>
    </font>
    <font>
      <sz val="9"/>
      <color indexed="48"/>
      <name val="Times New Roman"/>
      <family val="1"/>
      <scheme val="major"/>
    </font>
    <font>
      <sz val="9"/>
      <color theme="1"/>
      <name val="Times New Roman"/>
      <family val="2"/>
      <scheme val="minor"/>
    </font>
    <font>
      <b/>
      <sz val="9"/>
      <color rgb="FFFFFFFF"/>
      <name val="Times New Roman"/>
      <family val="1"/>
      <scheme val="major"/>
    </font>
    <font>
      <sz val="8"/>
      <color theme="1"/>
      <name val="Cambria"/>
      <family val="1"/>
    </font>
    <font>
      <sz val="8"/>
      <name val="Cambria"/>
      <family val="1"/>
    </font>
    <font>
      <sz val="8"/>
      <color indexed="8"/>
      <name val="Cambria"/>
      <family val="1"/>
    </font>
    <font>
      <sz val="6"/>
      <color theme="1"/>
      <name val="Cambria"/>
      <family val="2"/>
    </font>
    <font>
      <sz val="8"/>
      <color rgb="FFFFFFFF"/>
      <name val="Cambria"/>
      <family val="1"/>
    </font>
    <font>
      <sz val="8"/>
      <name val="Cambria"/>
      <family val="2"/>
    </font>
    <font>
      <sz val="8"/>
      <color rgb="FF000000"/>
      <name val="Cambria"/>
      <family val="1"/>
    </font>
    <font>
      <sz val="8"/>
      <color rgb="FFC00000"/>
      <name val="Cambria"/>
      <family val="2"/>
    </font>
    <font>
      <sz val="8"/>
      <color rgb="FF7030A0"/>
      <name val="Cambria"/>
      <family val="2"/>
    </font>
    <font>
      <sz val="9"/>
      <color rgb="FFFFFFFF"/>
      <name val="Cambria"/>
      <family val="1"/>
    </font>
    <font>
      <sz val="8"/>
      <color rgb="FFFFFFFF"/>
      <name val="Cambria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A72D4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FF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rgb="FF0000FF"/>
      </bottom>
      <diagonal/>
    </border>
    <border>
      <left/>
      <right style="thin">
        <color indexed="64"/>
      </right>
      <top style="thin">
        <color indexed="64"/>
      </top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FF"/>
      </bottom>
      <diagonal/>
    </border>
    <border>
      <left style="thin">
        <color indexed="64"/>
      </left>
      <right/>
      <top/>
      <bottom style="medium">
        <color rgb="FF0000F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rgb="FF0000F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0000FF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rgb="FF0000FF"/>
      </bottom>
      <diagonal/>
    </border>
    <border>
      <left/>
      <right style="thin">
        <color indexed="64"/>
      </right>
      <top/>
      <bottom style="medium">
        <color rgb="FF0000FF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FF"/>
      </bottom>
      <diagonal/>
    </border>
    <border>
      <left style="thin">
        <color indexed="64"/>
      </left>
      <right/>
      <top style="thin">
        <color indexed="64"/>
      </top>
      <bottom style="medium">
        <color rgb="FF0000F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FF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FF"/>
      </bottom>
      <diagonal/>
    </border>
    <border>
      <left style="thin">
        <color indexed="64"/>
      </left>
      <right style="medium">
        <color indexed="64"/>
      </right>
      <top/>
      <bottom style="medium">
        <color rgb="FF0000FF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/>
      <right/>
      <top style="medium">
        <color indexed="64"/>
      </top>
      <bottom style="medium">
        <color rgb="FF0000FF"/>
      </bottom>
      <diagonal/>
    </border>
    <border>
      <left/>
      <right style="thin">
        <color indexed="64"/>
      </right>
      <top style="medium">
        <color indexed="64"/>
      </top>
      <bottom style="medium">
        <color rgb="FF0000FF"/>
      </bottom>
      <diagonal/>
    </border>
    <border>
      <left style="medium">
        <color indexed="64"/>
      </left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 style="thick">
        <color rgb="FF0000F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ck">
        <color rgb="FF0000F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FF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FF0000"/>
      </right>
      <top style="thin">
        <color indexed="64"/>
      </top>
      <bottom/>
      <diagonal/>
    </border>
    <border>
      <left/>
      <right style="thick">
        <color rgb="FF0000FF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9" fontId="3" fillId="0" borderId="0" applyFont="0" applyFill="0" applyBorder="0" applyAlignment="0" applyProtection="0"/>
    <xf numFmtId="0" fontId="4" fillId="0" borderId="0"/>
    <xf numFmtId="0" fontId="2" fillId="0" borderId="0">
      <alignment vertical="center"/>
    </xf>
    <xf numFmtId="9" fontId="2" fillId="0" borderId="0" applyFont="0" applyFill="0" applyBorder="0" applyAlignment="0" applyProtection="0"/>
    <xf numFmtId="0" fontId="1" fillId="0" borderId="0">
      <alignment vertical="center"/>
    </xf>
  </cellStyleXfs>
  <cellXfs count="609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" fontId="5" fillId="0" borderId="0" xfId="0" applyNumberFormat="1" applyFont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right" vertical="center"/>
    </xf>
    <xf numFmtId="0" fontId="5" fillId="0" borderId="6" xfId="0" applyFont="1" applyBorder="1" applyAlignment="1">
      <alignment vertical="center"/>
    </xf>
    <xf numFmtId="0" fontId="5" fillId="6" borderId="1" xfId="0" applyFont="1" applyFill="1" applyBorder="1" applyAlignment="1">
      <alignment horizontal="right" vertical="center"/>
    </xf>
    <xf numFmtId="164" fontId="5" fillId="0" borderId="0" xfId="0" applyNumberFormat="1" applyFont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2" fontId="5" fillId="0" borderId="0" xfId="0" applyNumberFormat="1" applyFont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2" fontId="5" fillId="0" borderId="0" xfId="0" applyNumberFormat="1" applyFont="1" applyFill="1" applyAlignment="1">
      <alignment vertical="center"/>
    </xf>
    <xf numFmtId="165" fontId="5" fillId="0" borderId="0" xfId="0" applyNumberFormat="1" applyFont="1" applyAlignment="1">
      <alignment vertical="center"/>
    </xf>
    <xf numFmtId="1" fontId="5" fillId="0" borderId="0" xfId="0" applyNumberFormat="1" applyFont="1" applyBorder="1" applyAlignment="1">
      <alignment vertical="center"/>
    </xf>
    <xf numFmtId="166" fontId="5" fillId="0" borderId="0" xfId="0" applyNumberFormat="1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9" fontId="7" fillId="0" borderId="1" xfId="0" applyNumberFormat="1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164" fontId="7" fillId="0" borderId="1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vertical="center"/>
    </xf>
    <xf numFmtId="2" fontId="7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right" vertical="center"/>
    </xf>
    <xf numFmtId="164" fontId="7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right" vertical="center"/>
    </xf>
    <xf numFmtId="0" fontId="10" fillId="3" borderId="1" xfId="0" applyFont="1" applyFill="1" applyBorder="1" applyAlignment="1">
      <alignment horizontal="right" vertical="center"/>
    </xf>
    <xf numFmtId="0" fontId="10" fillId="4" borderId="1" xfId="0" applyFont="1" applyFill="1" applyBorder="1" applyAlignment="1">
      <alignment horizontal="right" vertical="center"/>
    </xf>
    <xf numFmtId="0" fontId="10" fillId="5" borderId="1" xfId="0" applyFont="1" applyFill="1" applyBorder="1" applyAlignment="1">
      <alignment horizontal="right" vertical="center"/>
    </xf>
    <xf numFmtId="0" fontId="10" fillId="6" borderId="1" xfId="0" applyFont="1" applyFill="1" applyBorder="1" applyAlignment="1">
      <alignment horizontal="right" vertical="center"/>
    </xf>
    <xf numFmtId="165" fontId="7" fillId="0" borderId="0" xfId="0" applyNumberFormat="1" applyFont="1" applyFill="1" applyBorder="1" applyAlignment="1">
      <alignment vertical="center"/>
    </xf>
    <xf numFmtId="165" fontId="6" fillId="0" borderId="0" xfId="0" applyNumberFormat="1" applyFont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9" fontId="5" fillId="0" borderId="0" xfId="0" applyNumberFormat="1" applyFont="1" applyAlignment="1">
      <alignment horizontal="right" vertical="center"/>
    </xf>
    <xf numFmtId="0" fontId="5" fillId="0" borderId="0" xfId="0" applyFont="1" applyFill="1" applyAlignment="1">
      <alignment vertical="center"/>
    </xf>
    <xf numFmtId="164" fontId="5" fillId="0" borderId="0" xfId="0" applyNumberFormat="1" applyFont="1" applyFill="1" applyAlignment="1">
      <alignment vertical="center"/>
    </xf>
    <xf numFmtId="1" fontId="5" fillId="0" borderId="0" xfId="0" applyNumberFormat="1" applyFont="1" applyFill="1" applyAlignment="1">
      <alignment vertical="center"/>
    </xf>
    <xf numFmtId="164" fontId="5" fillId="10" borderId="0" xfId="0" applyNumberFormat="1" applyFont="1" applyFill="1" applyAlignment="1">
      <alignment vertical="center"/>
    </xf>
    <xf numFmtId="1" fontId="5" fillId="10" borderId="0" xfId="0" applyNumberFormat="1" applyFont="1" applyFill="1" applyAlignment="1">
      <alignment vertical="center"/>
    </xf>
    <xf numFmtId="2" fontId="5" fillId="10" borderId="0" xfId="0" applyNumberFormat="1" applyFont="1" applyFill="1" applyAlignment="1">
      <alignment vertical="center"/>
    </xf>
    <xf numFmtId="0" fontId="5" fillId="10" borderId="0" xfId="0" applyFont="1" applyFill="1" applyAlignment="1">
      <alignment vertical="center"/>
    </xf>
    <xf numFmtId="0" fontId="5" fillId="10" borderId="1" xfId="0" applyFont="1" applyFill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Border="1">
      <alignment vertical="center"/>
    </xf>
    <xf numFmtId="0" fontId="7" fillId="0" borderId="14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9" fillId="0" borderId="0" xfId="0" applyFont="1" applyAlignment="1">
      <alignment horizontal="right" vertical="center"/>
    </xf>
    <xf numFmtId="166" fontId="5" fillId="0" borderId="3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9" fontId="5" fillId="0" borderId="0" xfId="0" applyNumberFormat="1" applyFont="1" applyBorder="1" applyAlignment="1">
      <alignment vertical="center"/>
    </xf>
    <xf numFmtId="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49" fontId="5" fillId="0" borderId="16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horizontal="right" vertical="center"/>
    </xf>
    <xf numFmtId="165" fontId="5" fillId="0" borderId="0" xfId="0" applyNumberFormat="1" applyFont="1" applyBorder="1" applyAlignment="1">
      <alignment vertical="center"/>
    </xf>
    <xf numFmtId="166" fontId="5" fillId="0" borderId="16" xfId="0" applyNumberFormat="1" applyFont="1" applyBorder="1" applyAlignment="1">
      <alignment vertical="center"/>
    </xf>
    <xf numFmtId="0" fontId="2" fillId="0" borderId="0" xfId="3" applyAlignment="1">
      <alignment vertical="center"/>
    </xf>
    <xf numFmtId="0" fontId="2" fillId="0" borderId="0" xfId="3" applyAlignment="1">
      <alignment horizontal="center" vertical="center"/>
    </xf>
    <xf numFmtId="0" fontId="11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1" fillId="0" borderId="0" xfId="3" applyFont="1" applyAlignment="1">
      <alignment horizontal="center" vertical="center"/>
    </xf>
    <xf numFmtId="9" fontId="2" fillId="0" borderId="0" xfId="4" applyFont="1" applyAlignment="1">
      <alignment horizontal="center" vertical="center"/>
    </xf>
    <xf numFmtId="0" fontId="11" fillId="0" borderId="0" xfId="3" applyFont="1" applyAlignment="1">
      <alignment horizontal="right" vertical="center"/>
    </xf>
    <xf numFmtId="0" fontId="2" fillId="0" borderId="0" xfId="3" applyAlignment="1"/>
    <xf numFmtId="0" fontId="12" fillId="0" borderId="1" xfId="3" applyFont="1" applyBorder="1" applyAlignment="1">
      <alignment horizontal="center" vertical="center"/>
    </xf>
    <xf numFmtId="16" fontId="11" fillId="0" borderId="1" xfId="3" applyNumberFormat="1" applyFont="1" applyBorder="1" applyAlignment="1">
      <alignment horizontal="center" vertical="center"/>
    </xf>
    <xf numFmtId="0" fontId="2" fillId="0" borderId="1" xfId="3" applyBorder="1" applyAlignment="1">
      <alignment horizontal="center" vertical="center"/>
    </xf>
    <xf numFmtId="0" fontId="11" fillId="0" borderId="1" xfId="3" applyFont="1" applyBorder="1" applyAlignment="1">
      <alignment horizontal="right" vertical="center"/>
    </xf>
    <xf numFmtId="0" fontId="11" fillId="0" borderId="1" xfId="3" applyFont="1" applyBorder="1" applyAlignment="1">
      <alignment horizontal="center" vertical="center"/>
    </xf>
    <xf numFmtId="0" fontId="12" fillId="0" borderId="1" xfId="3" quotePrefix="1" applyFont="1" applyBorder="1" applyAlignment="1">
      <alignment horizontal="center" vertical="center"/>
    </xf>
    <xf numFmtId="3" fontId="13" fillId="0" borderId="1" xfId="3" applyNumberFormat="1" applyFont="1" applyFill="1" applyBorder="1" applyAlignment="1" applyProtection="1">
      <alignment horizontal="center" vertical="center"/>
    </xf>
    <xf numFmtId="1" fontId="13" fillId="0" borderId="1" xfId="3" applyNumberFormat="1" applyFont="1" applyFill="1" applyBorder="1" applyAlignment="1" applyProtection="1">
      <alignment horizontal="center" vertical="center"/>
    </xf>
    <xf numFmtId="0" fontId="13" fillId="0" borderId="1" xfId="3" applyNumberFormat="1" applyFont="1" applyBorder="1" applyAlignment="1">
      <alignment horizontal="center" vertical="center"/>
    </xf>
    <xf numFmtId="0" fontId="2" fillId="0" borderId="1" xfId="3" applyBorder="1" applyAlignment="1">
      <alignment horizontal="right" vertical="center"/>
    </xf>
    <xf numFmtId="0" fontId="2" fillId="0" borderId="1" xfId="3" applyBorder="1" applyAlignment="1">
      <alignment horizontal="left" vertical="center"/>
    </xf>
    <xf numFmtId="168" fontId="14" fillId="0" borderId="18" xfId="3" applyNumberFormat="1" applyFont="1" applyBorder="1" applyAlignment="1">
      <alignment horizontal="center" vertical="center"/>
    </xf>
    <xf numFmtId="169" fontId="11" fillId="0" borderId="18" xfId="3" applyNumberFormat="1" applyFont="1" applyBorder="1" applyAlignment="1">
      <alignment horizontal="center" vertical="center"/>
    </xf>
    <xf numFmtId="2" fontId="2" fillId="0" borderId="18" xfId="3" applyNumberFormat="1" applyBorder="1" applyAlignment="1">
      <alignment horizontal="center" vertical="center"/>
    </xf>
    <xf numFmtId="0" fontId="11" fillId="0" borderId="18" xfId="3" applyFont="1" applyBorder="1" applyAlignment="1">
      <alignment horizontal="center" vertical="center"/>
    </xf>
    <xf numFmtId="0" fontId="12" fillId="0" borderId="18" xfId="3" applyFont="1" applyBorder="1" applyAlignment="1">
      <alignment horizontal="right" vertical="center"/>
    </xf>
    <xf numFmtId="3" fontId="12" fillId="0" borderId="18" xfId="3" applyNumberFormat="1" applyFont="1" applyBorder="1" applyAlignment="1">
      <alignment horizontal="right" vertical="center"/>
    </xf>
    <xf numFmtId="3" fontId="11" fillId="11" borderId="19" xfId="3" applyNumberFormat="1" applyFont="1" applyFill="1" applyBorder="1" applyAlignment="1">
      <alignment vertical="center"/>
    </xf>
    <xf numFmtId="3" fontId="11" fillId="11" borderId="20" xfId="3" applyNumberFormat="1" applyFont="1" applyFill="1" applyBorder="1" applyAlignment="1">
      <alignment vertical="center"/>
    </xf>
    <xf numFmtId="3" fontId="11" fillId="11" borderId="18" xfId="3" applyNumberFormat="1" applyFont="1" applyFill="1" applyBorder="1" applyAlignment="1">
      <alignment vertical="center"/>
    </xf>
    <xf numFmtId="0" fontId="11" fillId="11" borderId="18" xfId="3" applyFont="1" applyFill="1" applyBorder="1" applyAlignment="1">
      <alignment vertical="center"/>
    </xf>
    <xf numFmtId="0" fontId="11" fillId="0" borderId="18" xfId="3" applyFont="1" applyBorder="1" applyAlignment="1">
      <alignment vertical="center"/>
    </xf>
    <xf numFmtId="3" fontId="2" fillId="0" borderId="18" xfId="3" applyNumberFormat="1" applyBorder="1" applyAlignment="1">
      <alignment vertical="center"/>
    </xf>
    <xf numFmtId="0" fontId="2" fillId="0" borderId="18" xfId="3" applyBorder="1" applyAlignment="1">
      <alignment vertical="center"/>
    </xf>
    <xf numFmtId="0" fontId="2" fillId="0" borderId="21" xfId="3" applyBorder="1" applyAlignment="1">
      <alignment vertical="center"/>
    </xf>
    <xf numFmtId="168" fontId="14" fillId="0" borderId="13" xfId="3" applyNumberFormat="1" applyFont="1" applyBorder="1" applyAlignment="1">
      <alignment horizontal="center" vertical="center"/>
    </xf>
    <xf numFmtId="169" fontId="11" fillId="0" borderId="13" xfId="3" applyNumberFormat="1" applyFont="1" applyBorder="1" applyAlignment="1">
      <alignment horizontal="center" vertical="center"/>
    </xf>
    <xf numFmtId="2" fontId="2" fillId="0" borderId="13" xfId="3" applyNumberFormat="1" applyBorder="1" applyAlignment="1">
      <alignment horizontal="center" vertical="center"/>
    </xf>
    <xf numFmtId="0" fontId="11" fillId="0" borderId="13" xfId="3" applyFont="1" applyBorder="1" applyAlignment="1">
      <alignment horizontal="center" vertical="center"/>
    </xf>
    <xf numFmtId="0" fontId="11" fillId="0" borderId="13" xfId="3" applyFont="1" applyBorder="1" applyAlignment="1">
      <alignment vertical="center"/>
    </xf>
    <xf numFmtId="1" fontId="13" fillId="0" borderId="13" xfId="3" applyNumberFormat="1" applyFont="1" applyFill="1" applyBorder="1" applyAlignment="1" applyProtection="1">
      <alignment horizontal="right" vertical="center"/>
    </xf>
    <xf numFmtId="3" fontId="13" fillId="0" borderId="13" xfId="3" applyNumberFormat="1" applyFont="1" applyFill="1" applyBorder="1" applyAlignment="1" applyProtection="1">
      <alignment horizontal="right" vertical="center"/>
    </xf>
    <xf numFmtId="3" fontId="13" fillId="0" borderId="22" xfId="3" applyNumberFormat="1" applyFont="1" applyFill="1" applyBorder="1" applyAlignment="1" applyProtection="1">
      <alignment horizontal="right" vertical="center"/>
    </xf>
    <xf numFmtId="3" fontId="13" fillId="0" borderId="12" xfId="3" applyNumberFormat="1" applyFont="1" applyFill="1" applyBorder="1" applyAlignment="1" applyProtection="1">
      <alignment horizontal="right" vertical="center"/>
    </xf>
    <xf numFmtId="3" fontId="2" fillId="0" borderId="13" xfId="3" applyNumberFormat="1" applyBorder="1" applyAlignment="1">
      <alignment vertical="center"/>
    </xf>
    <xf numFmtId="0" fontId="2" fillId="0" borderId="13" xfId="3" applyBorder="1" applyAlignment="1">
      <alignment vertical="center"/>
    </xf>
    <xf numFmtId="0" fontId="2" fillId="0" borderId="0" xfId="3">
      <alignment vertical="center"/>
    </xf>
    <xf numFmtId="168" fontId="14" fillId="0" borderId="1" xfId="3" applyNumberFormat="1" applyFont="1" applyBorder="1" applyAlignment="1">
      <alignment horizontal="center" vertical="center"/>
    </xf>
    <xf numFmtId="169" fontId="11" fillId="0" borderId="1" xfId="3" applyNumberFormat="1" applyFont="1" applyBorder="1" applyAlignment="1">
      <alignment horizontal="center" vertical="center"/>
    </xf>
    <xf numFmtId="2" fontId="2" fillId="0" borderId="1" xfId="3" applyNumberFormat="1" applyBorder="1" applyAlignment="1">
      <alignment horizontal="center" vertical="center"/>
    </xf>
    <xf numFmtId="0" fontId="11" fillId="0" borderId="1" xfId="3" applyFont="1" applyBorder="1" applyAlignment="1">
      <alignment vertical="center"/>
    </xf>
    <xf numFmtId="1" fontId="13" fillId="0" borderId="1" xfId="3" applyNumberFormat="1" applyFont="1" applyFill="1" applyBorder="1" applyAlignment="1" applyProtection="1">
      <alignment horizontal="right" vertical="center"/>
    </xf>
    <xf numFmtId="1" fontId="13" fillId="0" borderId="23" xfId="3" applyNumberFormat="1" applyFont="1" applyFill="1" applyBorder="1" applyAlignment="1" applyProtection="1">
      <alignment horizontal="right" vertical="center"/>
    </xf>
    <xf numFmtId="1" fontId="13" fillId="0" borderId="24" xfId="3" applyNumberFormat="1" applyFont="1" applyFill="1" applyBorder="1" applyAlignment="1" applyProtection="1">
      <alignment horizontal="right" vertical="center"/>
    </xf>
    <xf numFmtId="3" fontId="2" fillId="0" borderId="1" xfId="3" applyNumberFormat="1" applyBorder="1" applyAlignment="1">
      <alignment vertical="center"/>
    </xf>
    <xf numFmtId="0" fontId="2" fillId="0" borderId="1" xfId="3" applyBorder="1" applyAlignment="1">
      <alignment vertical="center"/>
    </xf>
    <xf numFmtId="0" fontId="11" fillId="0" borderId="1" xfId="3" applyFont="1" applyFill="1" applyBorder="1" applyAlignment="1">
      <alignment horizontal="center" vertical="center"/>
    </xf>
    <xf numFmtId="0" fontId="11" fillId="0" borderId="23" xfId="3" applyFont="1" applyBorder="1" applyAlignment="1">
      <alignment horizontal="right" vertical="center"/>
    </xf>
    <xf numFmtId="0" fontId="11" fillId="0" borderId="24" xfId="3" applyFont="1" applyBorder="1" applyAlignment="1">
      <alignment horizontal="right" vertical="center"/>
    </xf>
    <xf numFmtId="3" fontId="13" fillId="0" borderId="1" xfId="3" applyNumberFormat="1" applyFont="1" applyFill="1" applyBorder="1" applyAlignment="1" applyProtection="1">
      <alignment horizontal="right" vertical="center"/>
    </xf>
    <xf numFmtId="3" fontId="13" fillId="0" borderId="23" xfId="3" applyNumberFormat="1" applyFont="1" applyFill="1" applyBorder="1" applyAlignment="1" applyProtection="1">
      <alignment horizontal="right" vertical="center"/>
    </xf>
    <xf numFmtId="3" fontId="13" fillId="0" borderId="24" xfId="3" applyNumberFormat="1" applyFont="1" applyFill="1" applyBorder="1" applyAlignment="1" applyProtection="1">
      <alignment horizontal="right" vertical="center"/>
    </xf>
    <xf numFmtId="168" fontId="14" fillId="0" borderId="25" xfId="3" applyNumberFormat="1" applyFont="1" applyBorder="1" applyAlignment="1">
      <alignment horizontal="center" vertical="center"/>
    </xf>
    <xf numFmtId="169" fontId="11" fillId="0" borderId="25" xfId="3" applyNumberFormat="1" applyFont="1" applyBorder="1" applyAlignment="1">
      <alignment horizontal="center" vertical="center"/>
    </xf>
    <xf numFmtId="2" fontId="2" fillId="0" borderId="25" xfId="3" applyNumberFormat="1" applyBorder="1" applyAlignment="1">
      <alignment horizontal="center" vertical="center"/>
    </xf>
    <xf numFmtId="0" fontId="11" fillId="0" borderId="25" xfId="3" applyFont="1" applyFill="1" applyBorder="1" applyAlignment="1">
      <alignment horizontal="center" vertical="center"/>
    </xf>
    <xf numFmtId="0" fontId="11" fillId="0" borderId="25" xfId="3" applyFont="1" applyBorder="1" applyAlignment="1">
      <alignment vertical="center"/>
    </xf>
    <xf numFmtId="1" fontId="13" fillId="0" borderId="25" xfId="3" applyNumberFormat="1" applyFont="1" applyFill="1" applyBorder="1" applyAlignment="1" applyProtection="1">
      <alignment horizontal="right" vertical="center"/>
    </xf>
    <xf numFmtId="1" fontId="13" fillId="0" borderId="26" xfId="3" applyNumberFormat="1" applyFont="1" applyFill="1" applyBorder="1" applyAlignment="1" applyProtection="1">
      <alignment horizontal="right" vertical="center"/>
    </xf>
    <xf numFmtId="1" fontId="13" fillId="0" borderId="27" xfId="3" applyNumberFormat="1" applyFont="1" applyFill="1" applyBorder="1" applyAlignment="1" applyProtection="1">
      <alignment horizontal="right" vertical="center"/>
    </xf>
    <xf numFmtId="0" fontId="11" fillId="0" borderId="25" xfId="3" applyFont="1" applyBorder="1" applyAlignment="1">
      <alignment horizontal="center" vertical="center"/>
    </xf>
    <xf numFmtId="3" fontId="2" fillId="0" borderId="25" xfId="3" applyNumberFormat="1" applyBorder="1" applyAlignment="1">
      <alignment vertical="center"/>
    </xf>
    <xf numFmtId="0" fontId="2" fillId="0" borderId="25" xfId="3" applyBorder="1" applyAlignment="1">
      <alignment vertical="center"/>
    </xf>
    <xf numFmtId="168" fontId="14" fillId="0" borderId="13" xfId="3" applyNumberFormat="1" applyFont="1" applyFill="1" applyBorder="1" applyAlignment="1">
      <alignment horizontal="center" vertical="center"/>
    </xf>
    <xf numFmtId="169" fontId="11" fillId="0" borderId="13" xfId="3" applyNumberFormat="1" applyFont="1" applyFill="1" applyBorder="1" applyAlignment="1">
      <alignment horizontal="center" vertical="center"/>
    </xf>
    <xf numFmtId="2" fontId="2" fillId="0" borderId="13" xfId="3" applyNumberFormat="1" applyFill="1" applyBorder="1" applyAlignment="1">
      <alignment horizontal="center" vertical="center"/>
    </xf>
    <xf numFmtId="0" fontId="11" fillId="0" borderId="13" xfId="3" applyFont="1" applyFill="1" applyBorder="1" applyAlignment="1">
      <alignment horizontal="center" vertical="center"/>
    </xf>
    <xf numFmtId="0" fontId="13" fillId="0" borderId="13" xfId="3" applyNumberFormat="1" applyFont="1" applyBorder="1" applyAlignment="1">
      <alignment horizontal="right" vertical="center"/>
    </xf>
    <xf numFmtId="0" fontId="13" fillId="0" borderId="10" xfId="3" applyNumberFormat="1" applyFont="1" applyBorder="1" applyAlignment="1">
      <alignment horizontal="right" vertical="center"/>
    </xf>
    <xf numFmtId="0" fontId="13" fillId="0" borderId="28" xfId="3" applyNumberFormat="1" applyFont="1" applyBorder="1" applyAlignment="1">
      <alignment horizontal="right" vertical="center"/>
    </xf>
    <xf numFmtId="0" fontId="11" fillId="0" borderId="29" xfId="3" applyFont="1" applyBorder="1" applyAlignment="1">
      <alignment vertical="center"/>
    </xf>
    <xf numFmtId="0" fontId="11" fillId="0" borderId="12" xfId="3" applyFont="1" applyBorder="1" applyAlignment="1">
      <alignment vertical="center"/>
    </xf>
    <xf numFmtId="3" fontId="2" fillId="0" borderId="13" xfId="3" applyNumberFormat="1" applyFill="1" applyBorder="1" applyAlignment="1">
      <alignment vertical="center"/>
    </xf>
    <xf numFmtId="0" fontId="2" fillId="0" borderId="13" xfId="3" applyFill="1" applyBorder="1" applyAlignment="1">
      <alignment vertical="center"/>
    </xf>
    <xf numFmtId="168" fontId="14" fillId="0" borderId="30" xfId="3" applyNumberFormat="1" applyFont="1" applyFill="1" applyBorder="1" applyAlignment="1">
      <alignment horizontal="center" vertical="center"/>
    </xf>
    <xf numFmtId="169" fontId="11" fillId="0" borderId="30" xfId="3" applyNumberFormat="1" applyFont="1" applyFill="1" applyBorder="1" applyAlignment="1">
      <alignment horizontal="center" vertical="center"/>
    </xf>
    <xf numFmtId="2" fontId="2" fillId="0" borderId="30" xfId="3" applyNumberFormat="1" applyFill="1" applyBorder="1" applyAlignment="1">
      <alignment horizontal="center" vertical="center"/>
    </xf>
    <xf numFmtId="0" fontId="11" fillId="0" borderId="30" xfId="3" applyFont="1" applyFill="1" applyBorder="1" applyAlignment="1">
      <alignment horizontal="center" vertical="center"/>
    </xf>
    <xf numFmtId="0" fontId="11" fillId="0" borderId="30" xfId="3" applyFont="1" applyBorder="1" applyAlignment="1">
      <alignment horizontal="center" vertical="center"/>
    </xf>
    <xf numFmtId="0" fontId="11" fillId="0" borderId="30" xfId="3" applyFont="1" applyBorder="1" applyAlignment="1">
      <alignment vertical="center"/>
    </xf>
    <xf numFmtId="0" fontId="13" fillId="0" borderId="30" xfId="3" applyNumberFormat="1" applyFont="1" applyBorder="1" applyAlignment="1">
      <alignment horizontal="right" vertical="center"/>
    </xf>
    <xf numFmtId="0" fontId="13" fillId="0" borderId="31" xfId="3" applyNumberFormat="1" applyFont="1" applyBorder="1" applyAlignment="1">
      <alignment horizontal="right" vertical="center"/>
    </xf>
    <xf numFmtId="0" fontId="13" fillId="0" borderId="32" xfId="3" applyNumberFormat="1" applyFont="1" applyBorder="1" applyAlignment="1">
      <alignment horizontal="right" vertical="center"/>
    </xf>
    <xf numFmtId="0" fontId="13" fillId="0" borderId="30" xfId="3" applyNumberFormat="1" applyFont="1" applyBorder="1" applyAlignment="1">
      <alignment vertical="center"/>
    </xf>
    <xf numFmtId="0" fontId="11" fillId="0" borderId="33" xfId="3" applyFont="1" applyBorder="1" applyAlignment="1">
      <alignment vertical="center"/>
    </xf>
    <xf numFmtId="0" fontId="11" fillId="0" borderId="34" xfId="3" applyFont="1" applyBorder="1" applyAlignment="1">
      <alignment vertical="center"/>
    </xf>
    <xf numFmtId="3" fontId="2" fillId="0" borderId="30" xfId="3" applyNumberFormat="1" applyFill="1" applyBorder="1" applyAlignment="1">
      <alignment vertical="center"/>
    </xf>
    <xf numFmtId="0" fontId="2" fillId="0" borderId="30" xfId="3" applyFill="1" applyBorder="1" applyAlignment="1">
      <alignment vertical="center"/>
    </xf>
    <xf numFmtId="0" fontId="2" fillId="0" borderId="35" xfId="3" applyBorder="1" applyAlignment="1">
      <alignment vertical="center"/>
    </xf>
    <xf numFmtId="0" fontId="11" fillId="0" borderId="35" xfId="3" applyFont="1" applyBorder="1" applyAlignment="1">
      <alignment vertical="center"/>
    </xf>
    <xf numFmtId="0" fontId="13" fillId="0" borderId="29" xfId="3" applyNumberFormat="1" applyFont="1" applyBorder="1" applyAlignment="1">
      <alignment horizontal="right" vertical="center"/>
    </xf>
    <xf numFmtId="0" fontId="13" fillId="0" borderId="12" xfId="3" applyNumberFormat="1" applyFont="1" applyBorder="1" applyAlignment="1">
      <alignment horizontal="right" vertical="center"/>
    </xf>
    <xf numFmtId="168" fontId="14" fillId="0" borderId="1" xfId="3" applyNumberFormat="1" applyFont="1" applyFill="1" applyBorder="1" applyAlignment="1">
      <alignment horizontal="center" vertical="center"/>
    </xf>
    <xf numFmtId="169" fontId="11" fillId="0" borderId="1" xfId="3" applyNumberFormat="1" applyFont="1" applyFill="1" applyBorder="1" applyAlignment="1">
      <alignment horizontal="center" vertical="center"/>
    </xf>
    <xf numFmtId="2" fontId="2" fillId="0" borderId="1" xfId="3" applyNumberFormat="1" applyFill="1" applyBorder="1" applyAlignment="1">
      <alignment horizontal="center" vertical="center"/>
    </xf>
    <xf numFmtId="0" fontId="13" fillId="0" borderId="1" xfId="3" applyNumberFormat="1" applyFont="1" applyBorder="1" applyAlignment="1">
      <alignment horizontal="right" vertical="center"/>
    </xf>
    <xf numFmtId="0" fontId="13" fillId="0" borderId="36" xfId="3" applyNumberFormat="1" applyFont="1" applyBorder="1" applyAlignment="1">
      <alignment horizontal="right" vertical="center"/>
    </xf>
    <xf numFmtId="0" fontId="13" fillId="0" borderId="37" xfId="3" applyNumberFormat="1" applyFont="1" applyBorder="1" applyAlignment="1">
      <alignment horizontal="right" vertical="center"/>
    </xf>
    <xf numFmtId="0" fontId="13" fillId="0" borderId="38" xfId="3" applyNumberFormat="1" applyFont="1" applyBorder="1" applyAlignment="1">
      <alignment horizontal="right" vertical="center"/>
    </xf>
    <xf numFmtId="0" fontId="13" fillId="0" borderId="24" xfId="3" applyNumberFormat="1" applyFont="1" applyBorder="1" applyAlignment="1">
      <alignment horizontal="right" vertical="center"/>
    </xf>
    <xf numFmtId="3" fontId="2" fillId="0" borderId="1" xfId="3" applyNumberFormat="1" applyFill="1" applyBorder="1" applyAlignment="1">
      <alignment vertical="center"/>
    </xf>
    <xf numFmtId="0" fontId="2" fillId="0" borderId="1" xfId="3" applyFill="1" applyBorder="1" applyAlignment="1">
      <alignment vertical="center"/>
    </xf>
    <xf numFmtId="3" fontId="2" fillId="0" borderId="0" xfId="3" applyNumberFormat="1" applyAlignment="1">
      <alignment vertical="center"/>
    </xf>
    <xf numFmtId="168" fontId="14" fillId="0" borderId="25" xfId="3" applyNumberFormat="1" applyFont="1" applyFill="1" applyBorder="1" applyAlignment="1">
      <alignment horizontal="center" vertical="center"/>
    </xf>
    <xf numFmtId="169" fontId="11" fillId="0" borderId="25" xfId="3" applyNumberFormat="1" applyFont="1" applyFill="1" applyBorder="1" applyAlignment="1">
      <alignment horizontal="center" vertical="center"/>
    </xf>
    <xf numFmtId="2" fontId="2" fillId="0" borderId="25" xfId="3" applyNumberFormat="1" applyFill="1" applyBorder="1" applyAlignment="1">
      <alignment horizontal="center" vertical="center"/>
    </xf>
    <xf numFmtId="0" fontId="13" fillId="0" borderId="25" xfId="3" applyNumberFormat="1" applyFont="1" applyBorder="1" applyAlignment="1">
      <alignment horizontal="right" vertical="center"/>
    </xf>
    <xf numFmtId="0" fontId="13" fillId="0" borderId="39" xfId="3" applyNumberFormat="1" applyFont="1" applyBorder="1" applyAlignment="1">
      <alignment horizontal="right" vertical="center"/>
    </xf>
    <xf numFmtId="0" fontId="13" fillId="0" borderId="40" xfId="3" applyNumberFormat="1" applyFont="1" applyBorder="1" applyAlignment="1">
      <alignment horizontal="right" vertical="center"/>
    </xf>
    <xf numFmtId="0" fontId="13" fillId="0" borderId="41" xfId="3" applyNumberFormat="1" applyFont="1" applyBorder="1" applyAlignment="1">
      <alignment horizontal="right" vertical="center"/>
    </xf>
    <xf numFmtId="0" fontId="13" fillId="0" borderId="27" xfId="3" applyNumberFormat="1" applyFont="1" applyBorder="1" applyAlignment="1">
      <alignment horizontal="right" vertical="center"/>
    </xf>
    <xf numFmtId="3" fontId="2" fillId="0" borderId="25" xfId="3" applyNumberFormat="1" applyFill="1" applyBorder="1" applyAlignment="1">
      <alignment vertical="center"/>
    </xf>
    <xf numFmtId="0" fontId="2" fillId="0" borderId="25" xfId="3" applyFill="1" applyBorder="1" applyAlignment="1">
      <alignment vertical="center"/>
    </xf>
    <xf numFmtId="168" fontId="14" fillId="0" borderId="42" xfId="3" applyNumberFormat="1" applyFont="1" applyBorder="1" applyAlignment="1">
      <alignment horizontal="center" vertical="center"/>
    </xf>
    <xf numFmtId="169" fontId="11" fillId="0" borderId="42" xfId="3" applyNumberFormat="1" applyFont="1" applyBorder="1" applyAlignment="1">
      <alignment horizontal="center" vertical="center"/>
    </xf>
    <xf numFmtId="2" fontId="2" fillId="0" borderId="42" xfId="3" applyNumberFormat="1" applyBorder="1" applyAlignment="1">
      <alignment horizontal="center" vertical="center"/>
    </xf>
    <xf numFmtId="0" fontId="11" fillId="0" borderId="42" xfId="3" applyFont="1" applyFill="1" applyBorder="1" applyAlignment="1">
      <alignment horizontal="center" vertical="center"/>
    </xf>
    <xf numFmtId="0" fontId="11" fillId="0" borderId="42" xfId="3" applyFont="1" applyBorder="1" applyAlignment="1">
      <alignment horizontal="center" vertical="center"/>
    </xf>
    <xf numFmtId="0" fontId="11" fillId="0" borderId="42" xfId="3" applyFont="1" applyBorder="1" applyAlignment="1">
      <alignment vertical="center"/>
    </xf>
    <xf numFmtId="0" fontId="13" fillId="0" borderId="42" xfId="3" applyNumberFormat="1" applyFont="1" applyBorder="1" applyAlignment="1">
      <alignment horizontal="right" vertical="center"/>
    </xf>
    <xf numFmtId="0" fontId="13" fillId="0" borderId="43" xfId="3" applyNumberFormat="1" applyFont="1" applyBorder="1" applyAlignment="1">
      <alignment horizontal="right" vertical="center"/>
    </xf>
    <xf numFmtId="0" fontId="13" fillId="0" borderId="44" xfId="3" applyNumberFormat="1" applyFont="1" applyBorder="1" applyAlignment="1">
      <alignment horizontal="right" vertical="center"/>
    </xf>
    <xf numFmtId="0" fontId="13" fillId="0" borderId="45" xfId="3" applyNumberFormat="1" applyFont="1" applyBorder="1" applyAlignment="1">
      <alignment horizontal="right" vertical="center"/>
    </xf>
    <xf numFmtId="0" fontId="13" fillId="0" borderId="46" xfId="3" applyNumberFormat="1" applyFont="1" applyBorder="1" applyAlignment="1">
      <alignment horizontal="right" vertical="center"/>
    </xf>
    <xf numFmtId="0" fontId="13" fillId="0" borderId="47" xfId="3" applyNumberFormat="1" applyFont="1" applyBorder="1" applyAlignment="1">
      <alignment horizontal="right" vertical="center"/>
    </xf>
    <xf numFmtId="3" fontId="2" fillId="0" borderId="42" xfId="3" applyNumberFormat="1" applyFill="1" applyBorder="1" applyAlignment="1">
      <alignment vertical="center"/>
    </xf>
    <xf numFmtId="0" fontId="2" fillId="0" borderId="42" xfId="3" applyFill="1" applyBorder="1" applyAlignment="1">
      <alignment vertical="center"/>
    </xf>
    <xf numFmtId="0" fontId="13" fillId="0" borderId="48" xfId="3" applyNumberFormat="1" applyFont="1" applyBorder="1" applyAlignment="1">
      <alignment horizontal="right" vertical="center"/>
    </xf>
    <xf numFmtId="0" fontId="13" fillId="0" borderId="49" xfId="3" applyNumberFormat="1" applyFont="1" applyBorder="1" applyAlignment="1">
      <alignment horizontal="right" vertical="center"/>
    </xf>
    <xf numFmtId="0" fontId="13" fillId="0" borderId="50" xfId="3" applyNumberFormat="1" applyFont="1" applyBorder="1" applyAlignment="1">
      <alignment horizontal="right" vertical="center"/>
    </xf>
    <xf numFmtId="9" fontId="2" fillId="0" borderId="0" xfId="3" applyNumberFormat="1" applyAlignment="1">
      <alignment vertical="center"/>
    </xf>
    <xf numFmtId="168" fontId="14" fillId="0" borderId="0" xfId="3" applyNumberFormat="1" applyFont="1" applyBorder="1" applyAlignment="1">
      <alignment horizontal="center" vertical="center"/>
    </xf>
    <xf numFmtId="169" fontId="11" fillId="0" borderId="0" xfId="3" applyNumberFormat="1" applyFont="1" applyBorder="1" applyAlignment="1">
      <alignment horizontal="center" vertical="center"/>
    </xf>
    <xf numFmtId="2" fontId="2" fillId="0" borderId="0" xfId="3" applyNumberFormat="1" applyBorder="1" applyAlignment="1">
      <alignment horizontal="center" vertical="center"/>
    </xf>
    <xf numFmtId="0" fontId="11" fillId="0" borderId="0" xfId="3" applyFont="1" applyFill="1" applyBorder="1" applyAlignment="1">
      <alignment horizontal="center" vertical="center"/>
    </xf>
    <xf numFmtId="0" fontId="11" fillId="0" borderId="0" xfId="3" applyFont="1" applyBorder="1" applyAlignment="1">
      <alignment horizontal="center" vertical="center"/>
    </xf>
    <xf numFmtId="0" fontId="11" fillId="0" borderId="0" xfId="3" applyFont="1" applyBorder="1" applyAlignment="1">
      <alignment vertical="center"/>
    </xf>
    <xf numFmtId="0" fontId="13" fillId="0" borderId="0" xfId="3" applyNumberFormat="1" applyFont="1" applyBorder="1" applyAlignment="1">
      <alignment horizontal="right" vertical="center"/>
    </xf>
    <xf numFmtId="0" fontId="13" fillId="0" borderId="0" xfId="3" applyNumberFormat="1" applyFont="1" applyBorder="1" applyAlignment="1">
      <alignment horizontal="left" vertical="center"/>
    </xf>
    <xf numFmtId="168" fontId="2" fillId="0" borderId="0" xfId="3" applyNumberFormat="1" applyBorder="1" applyAlignment="1">
      <alignment horizontal="center" vertical="center"/>
    </xf>
    <xf numFmtId="168" fontId="11" fillId="0" borderId="0" xfId="3" applyNumberFormat="1" applyFont="1" applyBorder="1" applyAlignment="1">
      <alignment horizontal="center" vertical="center"/>
    </xf>
    <xf numFmtId="168" fontId="11" fillId="0" borderId="0" xfId="3" applyNumberFormat="1" applyFont="1" applyAlignment="1">
      <alignment horizontal="center" vertical="center"/>
    </xf>
    <xf numFmtId="0" fontId="12" fillId="0" borderId="0" xfId="3" applyFont="1" applyAlignment="1">
      <alignment horizontal="left" vertical="center"/>
    </xf>
    <xf numFmtId="1" fontId="2" fillId="0" borderId="0" xfId="3" applyNumberFormat="1" applyAlignment="1">
      <alignment vertical="center"/>
    </xf>
    <xf numFmtId="0" fontId="13" fillId="0" borderId="0" xfId="3" applyNumberFormat="1" applyFont="1" applyBorder="1" applyAlignment="1">
      <alignment horizontal="center" vertical="center"/>
    </xf>
    <xf numFmtId="0" fontId="13" fillId="0" borderId="0" xfId="3" applyNumberFormat="1" applyFont="1" applyFill="1" applyBorder="1" applyAlignment="1">
      <alignment horizontal="right" vertical="center"/>
    </xf>
    <xf numFmtId="0" fontId="2" fillId="0" borderId="0" xfId="3" applyFill="1" applyAlignment="1">
      <alignment vertical="center"/>
    </xf>
    <xf numFmtId="0" fontId="11" fillId="0" borderId="0" xfId="3" applyFont="1" applyFill="1" applyAlignment="1">
      <alignment vertical="center"/>
    </xf>
    <xf numFmtId="0" fontId="2" fillId="0" borderId="0" xfId="3" applyAlignment="1">
      <alignment horizontal="right" vertical="center"/>
    </xf>
    <xf numFmtId="0" fontId="11" fillId="0" borderId="37" xfId="3" applyFont="1" applyBorder="1" applyAlignment="1">
      <alignment horizontal="center" vertical="center"/>
    </xf>
    <xf numFmtId="0" fontId="12" fillId="0" borderId="36" xfId="3" quotePrefix="1" applyFont="1" applyBorder="1" applyAlignment="1">
      <alignment horizontal="center" vertical="center"/>
    </xf>
    <xf numFmtId="0" fontId="12" fillId="0" borderId="51" xfId="3" quotePrefix="1" applyFont="1" applyBorder="1" applyAlignment="1">
      <alignment horizontal="center" vertical="center"/>
    </xf>
    <xf numFmtId="0" fontId="12" fillId="0" borderId="52" xfId="3" quotePrefix="1" applyFont="1" applyBorder="1" applyAlignment="1">
      <alignment horizontal="center" vertical="center"/>
    </xf>
    <xf numFmtId="0" fontId="12" fillId="0" borderId="53" xfId="3" quotePrefix="1" applyFont="1" applyBorder="1" applyAlignment="1">
      <alignment horizontal="center" vertical="center"/>
    </xf>
    <xf numFmtId="0" fontId="2" fillId="0" borderId="24" xfId="3" applyBorder="1" applyAlignment="1">
      <alignment horizontal="center" vertical="center"/>
    </xf>
    <xf numFmtId="0" fontId="12" fillId="0" borderId="1" xfId="3" quotePrefix="1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vertical="center"/>
    </xf>
    <xf numFmtId="0" fontId="12" fillId="0" borderId="1" xfId="3" applyFont="1" applyFill="1" applyBorder="1" applyAlignment="1">
      <alignment horizontal="right" vertical="center"/>
    </xf>
    <xf numFmtId="0" fontId="12" fillId="8" borderId="1" xfId="3" applyFont="1" applyFill="1" applyBorder="1" applyAlignment="1">
      <alignment horizontal="right" vertical="center"/>
    </xf>
    <xf numFmtId="0" fontId="12" fillId="0" borderId="10" xfId="3" applyFont="1" applyBorder="1" applyAlignment="1">
      <alignment horizontal="center" vertical="center"/>
    </xf>
    <xf numFmtId="0" fontId="11" fillId="0" borderId="54" xfId="3" applyFont="1" applyBorder="1" applyAlignment="1">
      <alignment horizontal="center" vertical="center"/>
    </xf>
    <xf numFmtId="0" fontId="12" fillId="0" borderId="55" xfId="3" applyFont="1" applyBorder="1" applyAlignment="1">
      <alignment horizontal="right" vertical="center"/>
    </xf>
    <xf numFmtId="0" fontId="12" fillId="0" borderId="54" xfId="3" applyFont="1" applyBorder="1" applyAlignment="1">
      <alignment horizontal="right" vertical="center"/>
    </xf>
    <xf numFmtId="0" fontId="11" fillId="11" borderId="56" xfId="3" applyFont="1" applyFill="1" applyBorder="1" applyAlignment="1">
      <alignment vertical="center"/>
    </xf>
    <xf numFmtId="0" fontId="2" fillId="0" borderId="20" xfId="3" applyBorder="1" applyAlignment="1">
      <alignment horizontal="center" vertical="center"/>
    </xf>
    <xf numFmtId="2" fontId="12" fillId="0" borderId="18" xfId="3" applyNumberFormat="1" applyFont="1" applyFill="1" applyBorder="1" applyAlignment="1">
      <alignment horizontal="center" vertical="center"/>
    </xf>
    <xf numFmtId="3" fontId="14" fillId="11" borderId="18" xfId="3" applyNumberFormat="1" applyFont="1" applyFill="1" applyBorder="1" applyAlignment="1">
      <alignment vertical="center"/>
    </xf>
    <xf numFmtId="3" fontId="2" fillId="11" borderId="18" xfId="3" applyNumberFormat="1" applyFill="1" applyBorder="1" applyAlignment="1">
      <alignment vertical="center"/>
    </xf>
    <xf numFmtId="9" fontId="12" fillId="0" borderId="18" xfId="3" applyNumberFormat="1" applyFont="1" applyFill="1" applyBorder="1" applyAlignment="1">
      <alignment vertical="center"/>
    </xf>
    <xf numFmtId="3" fontId="14" fillId="0" borderId="18" xfId="3" applyNumberFormat="1" applyFont="1" applyBorder="1" applyAlignment="1">
      <alignment vertical="center"/>
    </xf>
    <xf numFmtId="164" fontId="12" fillId="0" borderId="18" xfId="3" applyNumberFormat="1" applyFont="1" applyFill="1" applyBorder="1" applyAlignment="1">
      <alignment vertical="center"/>
    </xf>
    <xf numFmtId="164" fontId="12" fillId="0" borderId="18" xfId="4" applyNumberFormat="1" applyFont="1" applyFill="1" applyBorder="1" applyAlignment="1">
      <alignment horizontal="center" vertical="center"/>
    </xf>
    <xf numFmtId="165" fontId="12" fillId="0" borderId="18" xfId="3" applyNumberFormat="1" applyFont="1" applyFill="1" applyBorder="1" applyAlignment="1">
      <alignment horizontal="center" vertical="center"/>
    </xf>
    <xf numFmtId="165" fontId="2" fillId="0" borderId="18" xfId="3" applyNumberFormat="1" applyBorder="1" applyAlignment="1">
      <alignment horizontal="center" vertical="center"/>
    </xf>
    <xf numFmtId="165" fontId="12" fillId="0" borderId="55" xfId="3" applyNumberFormat="1" applyFont="1" applyBorder="1" applyAlignment="1">
      <alignment horizontal="center" vertical="center"/>
    </xf>
    <xf numFmtId="165" fontId="12" fillId="0" borderId="18" xfId="3" applyNumberFormat="1" applyFont="1" applyBorder="1" applyAlignment="1">
      <alignment horizontal="center" vertical="center"/>
    </xf>
    <xf numFmtId="0" fontId="11" fillId="0" borderId="28" xfId="3" applyFont="1" applyBorder="1" applyAlignment="1">
      <alignment horizontal="center" vertical="center"/>
    </xf>
    <xf numFmtId="1" fontId="13" fillId="0" borderId="10" xfId="3" applyNumberFormat="1" applyFont="1" applyFill="1" applyBorder="1" applyAlignment="1" applyProtection="1">
      <alignment horizontal="right" vertical="center"/>
    </xf>
    <xf numFmtId="1" fontId="13" fillId="0" borderId="28" xfId="3" applyNumberFormat="1" applyFont="1" applyFill="1" applyBorder="1" applyAlignment="1" applyProtection="1">
      <alignment horizontal="right" vertical="center"/>
    </xf>
    <xf numFmtId="3" fontId="13" fillId="0" borderId="57" xfId="3" applyNumberFormat="1" applyFont="1" applyFill="1" applyBorder="1" applyAlignment="1" applyProtection="1">
      <alignment horizontal="right" vertical="center"/>
    </xf>
    <xf numFmtId="1" fontId="13" fillId="0" borderId="29" xfId="3" applyNumberFormat="1" applyFont="1" applyFill="1" applyBorder="1" applyAlignment="1" applyProtection="1">
      <alignment horizontal="right" vertical="center"/>
    </xf>
    <xf numFmtId="0" fontId="2" fillId="0" borderId="12" xfId="3" applyBorder="1" applyAlignment="1">
      <alignment horizontal="center" vertical="center"/>
    </xf>
    <xf numFmtId="2" fontId="12" fillId="0" borderId="13" xfId="3" applyNumberFormat="1" applyFont="1" applyFill="1" applyBorder="1" applyAlignment="1">
      <alignment horizontal="center" vertical="center"/>
    </xf>
    <xf numFmtId="9" fontId="12" fillId="0" borderId="13" xfId="3" applyNumberFormat="1" applyFont="1" applyFill="1" applyBorder="1" applyAlignment="1">
      <alignment vertical="center"/>
    </xf>
    <xf numFmtId="3" fontId="14" fillId="0" borderId="13" xfId="3" applyNumberFormat="1" applyFont="1" applyBorder="1" applyAlignment="1">
      <alignment vertical="center"/>
    </xf>
    <xf numFmtId="10" fontId="12" fillId="0" borderId="13" xfId="4" applyNumberFormat="1" applyFont="1" applyFill="1" applyBorder="1" applyAlignment="1">
      <alignment vertical="center"/>
    </xf>
    <xf numFmtId="10" fontId="12" fillId="0" borderId="13" xfId="4" applyNumberFormat="1" applyFont="1" applyFill="1" applyBorder="1" applyAlignment="1">
      <alignment horizontal="center" vertical="center"/>
    </xf>
    <xf numFmtId="165" fontId="12" fillId="0" borderId="13" xfId="4" applyNumberFormat="1" applyFont="1" applyFill="1" applyBorder="1" applyAlignment="1">
      <alignment horizontal="center" vertical="center"/>
    </xf>
    <xf numFmtId="165" fontId="2" fillId="0" borderId="1" xfId="3" applyNumberFormat="1" applyBorder="1" applyAlignment="1">
      <alignment horizontal="center" vertical="center"/>
    </xf>
    <xf numFmtId="165" fontId="13" fillId="0" borderId="10" xfId="3" applyNumberFormat="1" applyFont="1" applyFill="1" applyBorder="1" applyAlignment="1" applyProtection="1">
      <alignment horizontal="center" vertical="center"/>
    </xf>
    <xf numFmtId="165" fontId="13" fillId="0" borderId="13" xfId="3" applyNumberFormat="1" applyFont="1" applyFill="1" applyBorder="1" applyAlignment="1" applyProtection="1">
      <alignment horizontal="center" vertical="center"/>
    </xf>
    <xf numFmtId="1" fontId="13" fillId="0" borderId="36" xfId="3" applyNumberFormat="1" applyFont="1" applyFill="1" applyBorder="1" applyAlignment="1" applyProtection="1">
      <alignment horizontal="right" vertical="center"/>
    </xf>
    <xf numFmtId="1" fontId="13" fillId="0" borderId="37" xfId="3" applyNumberFormat="1" applyFont="1" applyFill="1" applyBorder="1" applyAlignment="1" applyProtection="1">
      <alignment horizontal="right" vertical="center"/>
    </xf>
    <xf numFmtId="1" fontId="13" fillId="0" borderId="12" xfId="3" applyNumberFormat="1" applyFont="1" applyFill="1" applyBorder="1" applyAlignment="1" applyProtection="1">
      <alignment horizontal="right" vertical="center"/>
    </xf>
    <xf numFmtId="1" fontId="13" fillId="0" borderId="38" xfId="3" applyNumberFormat="1" applyFont="1" applyFill="1" applyBorder="1" applyAlignment="1" applyProtection="1">
      <alignment horizontal="right" vertical="center"/>
    </xf>
    <xf numFmtId="2" fontId="12" fillId="0" borderId="1" xfId="3" applyNumberFormat="1" applyFont="1" applyFill="1" applyBorder="1" applyAlignment="1">
      <alignment horizontal="center" vertical="center"/>
    </xf>
    <xf numFmtId="9" fontId="12" fillId="0" borderId="1" xfId="3" applyNumberFormat="1" applyFont="1" applyFill="1" applyBorder="1" applyAlignment="1">
      <alignment vertical="center"/>
    </xf>
    <xf numFmtId="3" fontId="14" fillId="0" borderId="1" xfId="3" applyNumberFormat="1" applyFont="1" applyBorder="1" applyAlignment="1">
      <alignment vertical="center"/>
    </xf>
    <xf numFmtId="10" fontId="12" fillId="0" borderId="1" xfId="4" applyNumberFormat="1" applyFont="1" applyFill="1" applyBorder="1" applyAlignment="1">
      <alignment vertical="center"/>
    </xf>
    <xf numFmtId="10" fontId="12" fillId="0" borderId="1" xfId="4" applyNumberFormat="1" applyFont="1" applyFill="1" applyBorder="1" applyAlignment="1">
      <alignment horizontal="center" vertical="center"/>
    </xf>
    <xf numFmtId="165" fontId="12" fillId="0" borderId="1" xfId="4" applyNumberFormat="1" applyFont="1" applyFill="1" applyBorder="1" applyAlignment="1">
      <alignment horizontal="center" vertical="center"/>
    </xf>
    <xf numFmtId="165" fontId="12" fillId="12" borderId="1" xfId="4" applyNumberFormat="1" applyFont="1" applyFill="1" applyBorder="1" applyAlignment="1">
      <alignment horizontal="center" vertical="center"/>
    </xf>
    <xf numFmtId="165" fontId="13" fillId="0" borderId="36" xfId="3" applyNumberFormat="1" applyFont="1" applyFill="1" applyBorder="1" applyAlignment="1" applyProtection="1">
      <alignment horizontal="center" vertical="center"/>
    </xf>
    <xf numFmtId="165" fontId="13" fillId="0" borderId="1" xfId="3" applyNumberFormat="1" applyFont="1" applyFill="1" applyBorder="1" applyAlignment="1" applyProtection="1">
      <alignment horizontal="center" vertical="center"/>
    </xf>
    <xf numFmtId="0" fontId="11" fillId="0" borderId="36" xfId="3" applyFont="1" applyBorder="1" applyAlignment="1">
      <alignment horizontal="right" vertical="center"/>
    </xf>
    <xf numFmtId="0" fontId="11" fillId="0" borderId="37" xfId="3" applyFont="1" applyBorder="1" applyAlignment="1">
      <alignment horizontal="right" vertical="center"/>
    </xf>
    <xf numFmtId="0" fontId="11" fillId="0" borderId="26" xfId="3" applyFont="1" applyBorder="1" applyAlignment="1">
      <alignment horizontal="right" vertical="center"/>
    </xf>
    <xf numFmtId="0" fontId="11" fillId="0" borderId="12" xfId="3" applyFont="1" applyBorder="1" applyAlignment="1">
      <alignment horizontal="right" vertical="center"/>
    </xf>
    <xf numFmtId="0" fontId="11" fillId="0" borderId="38" xfId="3" applyFont="1" applyBorder="1" applyAlignment="1">
      <alignment horizontal="right" vertical="center"/>
    </xf>
    <xf numFmtId="165" fontId="11" fillId="0" borderId="36" xfId="3" applyNumberFormat="1" applyFont="1" applyFill="1" applyBorder="1" applyAlignment="1">
      <alignment horizontal="center" vertical="center"/>
    </xf>
    <xf numFmtId="165" fontId="11" fillId="0" borderId="1" xfId="3" applyNumberFormat="1" applyFont="1" applyFill="1" applyBorder="1" applyAlignment="1">
      <alignment horizontal="center" vertical="center"/>
    </xf>
    <xf numFmtId="170" fontId="2" fillId="0" borderId="0" xfId="4" applyNumberFormat="1" applyFont="1" applyAlignment="1">
      <alignment vertical="center"/>
    </xf>
    <xf numFmtId="3" fontId="13" fillId="0" borderId="36" xfId="3" applyNumberFormat="1" applyFont="1" applyFill="1" applyBorder="1" applyAlignment="1" applyProtection="1">
      <alignment horizontal="right" vertical="center"/>
    </xf>
    <xf numFmtId="3" fontId="13" fillId="0" borderId="58" xfId="3" applyNumberFormat="1" applyFont="1" applyFill="1" applyBorder="1" applyAlignment="1" applyProtection="1">
      <alignment horizontal="right" vertical="center"/>
    </xf>
    <xf numFmtId="0" fontId="11" fillId="0" borderId="38" xfId="3" applyFont="1" applyBorder="1" applyAlignment="1">
      <alignment vertical="center"/>
    </xf>
    <xf numFmtId="0" fontId="2" fillId="11" borderId="1" xfId="3" applyFill="1" applyBorder="1" applyAlignment="1">
      <alignment vertical="center"/>
    </xf>
    <xf numFmtId="0" fontId="11" fillId="0" borderId="40" xfId="3" applyFont="1" applyFill="1" applyBorder="1" applyAlignment="1">
      <alignment horizontal="center" vertical="center"/>
    </xf>
    <xf numFmtId="1" fontId="13" fillId="0" borderId="39" xfId="3" applyNumberFormat="1" applyFont="1" applyFill="1" applyBorder="1" applyAlignment="1" applyProtection="1">
      <alignment horizontal="right" vertical="center"/>
    </xf>
    <xf numFmtId="1" fontId="13" fillId="0" borderId="48" xfId="3" applyNumberFormat="1" applyFont="1" applyFill="1" applyBorder="1" applyAlignment="1" applyProtection="1">
      <alignment horizontal="right" vertical="center"/>
    </xf>
    <xf numFmtId="1" fontId="13" fillId="0" borderId="41" xfId="3" applyNumberFormat="1" applyFont="1" applyFill="1" applyBorder="1" applyAlignment="1" applyProtection="1">
      <alignment horizontal="right" vertical="center"/>
    </xf>
    <xf numFmtId="0" fontId="2" fillId="0" borderId="27" xfId="3" applyBorder="1" applyAlignment="1">
      <alignment horizontal="center" vertical="center"/>
    </xf>
    <xf numFmtId="2" fontId="12" fillId="0" borderId="25" xfId="3" applyNumberFormat="1" applyFont="1" applyFill="1" applyBorder="1" applyAlignment="1">
      <alignment horizontal="center" vertical="center"/>
    </xf>
    <xf numFmtId="9" fontId="12" fillId="0" borderId="25" xfId="3" applyNumberFormat="1" applyFont="1" applyFill="1" applyBorder="1" applyAlignment="1">
      <alignment vertical="center"/>
    </xf>
    <xf numFmtId="3" fontId="14" fillId="0" borderId="25" xfId="3" applyNumberFormat="1" applyFont="1" applyBorder="1" applyAlignment="1">
      <alignment vertical="center"/>
    </xf>
    <xf numFmtId="10" fontId="12" fillId="0" borderId="25" xfId="4" applyNumberFormat="1" applyFont="1" applyFill="1" applyBorder="1" applyAlignment="1">
      <alignment vertical="center"/>
    </xf>
    <xf numFmtId="10" fontId="12" fillId="0" borderId="25" xfId="4" applyNumberFormat="1" applyFont="1" applyFill="1" applyBorder="1" applyAlignment="1">
      <alignment horizontal="center" vertical="center"/>
    </xf>
    <xf numFmtId="165" fontId="12" fillId="0" borderId="25" xfId="4" applyNumberFormat="1" applyFont="1" applyFill="1" applyBorder="1" applyAlignment="1">
      <alignment horizontal="center" vertical="center"/>
    </xf>
    <xf numFmtId="165" fontId="12" fillId="12" borderId="25" xfId="4" applyNumberFormat="1" applyFont="1" applyFill="1" applyBorder="1" applyAlignment="1">
      <alignment horizontal="center" vertical="center"/>
    </xf>
    <xf numFmtId="165" fontId="2" fillId="0" borderId="25" xfId="3" applyNumberFormat="1" applyBorder="1" applyAlignment="1">
      <alignment horizontal="center" vertical="center"/>
    </xf>
    <xf numFmtId="165" fontId="13" fillId="0" borderId="39" xfId="3" applyNumberFormat="1" applyFont="1" applyFill="1" applyBorder="1" applyAlignment="1" applyProtection="1">
      <alignment horizontal="center" vertical="center"/>
    </xf>
    <xf numFmtId="165" fontId="13" fillId="0" borderId="25" xfId="3" applyNumberFormat="1" applyFont="1" applyFill="1" applyBorder="1" applyAlignment="1" applyProtection="1">
      <alignment horizontal="center" vertical="center"/>
    </xf>
    <xf numFmtId="0" fontId="13" fillId="0" borderId="57" xfId="3" applyNumberFormat="1" applyFont="1" applyBorder="1" applyAlignment="1">
      <alignment horizontal="right" vertical="center"/>
    </xf>
    <xf numFmtId="165" fontId="12" fillId="12" borderId="13" xfId="4" applyNumberFormat="1" applyFont="1" applyFill="1" applyBorder="1" applyAlignment="1">
      <alignment horizontal="center" vertical="center"/>
    </xf>
    <xf numFmtId="165" fontId="2" fillId="0" borderId="13" xfId="3" applyNumberFormat="1" applyBorder="1" applyAlignment="1">
      <alignment horizontal="center" vertical="center"/>
    </xf>
    <xf numFmtId="165" fontId="13" fillId="0" borderId="10" xfId="3" applyNumberFormat="1" applyFont="1" applyFill="1" applyBorder="1" applyAlignment="1">
      <alignment horizontal="center" vertical="center"/>
    </xf>
    <xf numFmtId="165" fontId="13" fillId="0" borderId="13" xfId="3" applyNumberFormat="1" applyFont="1" applyFill="1" applyBorder="1" applyAlignment="1">
      <alignment horizontal="center" vertical="center"/>
    </xf>
    <xf numFmtId="0" fontId="11" fillId="0" borderId="32" xfId="3" applyFont="1" applyBorder="1" applyAlignment="1">
      <alignment horizontal="center" vertical="center"/>
    </xf>
    <xf numFmtId="0" fontId="13" fillId="0" borderId="59" xfId="3" applyNumberFormat="1" applyFont="1" applyBorder="1" applyAlignment="1">
      <alignment horizontal="right" vertical="center"/>
    </xf>
    <xf numFmtId="0" fontId="13" fillId="0" borderId="60" xfId="3" applyNumberFormat="1" applyFont="1" applyBorder="1" applyAlignment="1">
      <alignment horizontal="right" vertical="center"/>
    </xf>
    <xf numFmtId="0" fontId="13" fillId="0" borderId="33" xfId="3" applyNumberFormat="1" applyFont="1" applyBorder="1" applyAlignment="1">
      <alignment horizontal="right" vertical="center"/>
    </xf>
    <xf numFmtId="0" fontId="2" fillId="0" borderId="34" xfId="3" applyFill="1" applyBorder="1" applyAlignment="1">
      <alignment horizontal="center" vertical="center"/>
    </xf>
    <xf numFmtId="2" fontId="12" fillId="0" borderId="30" xfId="3" applyNumberFormat="1" applyFont="1" applyFill="1" applyBorder="1" applyAlignment="1">
      <alignment horizontal="center" vertical="center"/>
    </xf>
    <xf numFmtId="3" fontId="2" fillId="0" borderId="30" xfId="3" applyNumberFormat="1" applyBorder="1" applyAlignment="1">
      <alignment vertical="center"/>
    </xf>
    <xf numFmtId="9" fontId="12" fillId="0" borderId="30" xfId="3" applyNumberFormat="1" applyFont="1" applyFill="1" applyBorder="1" applyAlignment="1">
      <alignment vertical="center"/>
    </xf>
    <xf numFmtId="3" fontId="14" fillId="0" borderId="30" xfId="3" applyNumberFormat="1" applyFont="1" applyBorder="1" applyAlignment="1">
      <alignment vertical="center"/>
    </xf>
    <xf numFmtId="10" fontId="12" fillId="0" borderId="30" xfId="4" applyNumberFormat="1" applyFont="1" applyFill="1" applyBorder="1" applyAlignment="1">
      <alignment vertical="center"/>
    </xf>
    <xf numFmtId="10" fontId="12" fillId="0" borderId="30" xfId="4" applyNumberFormat="1" applyFont="1" applyFill="1" applyBorder="1" applyAlignment="1">
      <alignment horizontal="center" vertical="center"/>
    </xf>
    <xf numFmtId="165" fontId="12" fillId="0" borderId="30" xfId="4" applyNumberFormat="1" applyFont="1" applyFill="1" applyBorder="1" applyAlignment="1">
      <alignment horizontal="center" vertical="center"/>
    </xf>
    <xf numFmtId="165" fontId="12" fillId="12" borderId="30" xfId="4" applyNumberFormat="1" applyFont="1" applyFill="1" applyBorder="1" applyAlignment="1">
      <alignment horizontal="center" vertical="center"/>
    </xf>
    <xf numFmtId="165" fontId="2" fillId="0" borderId="30" xfId="3" applyNumberFormat="1" applyBorder="1" applyAlignment="1">
      <alignment horizontal="center" vertical="center"/>
    </xf>
    <xf numFmtId="165" fontId="13" fillId="0" borderId="31" xfId="3" applyNumberFormat="1" applyFont="1" applyFill="1" applyBorder="1" applyAlignment="1">
      <alignment horizontal="center" vertical="center"/>
    </xf>
    <xf numFmtId="165" fontId="13" fillId="0" borderId="30" xfId="3" applyNumberFormat="1" applyFont="1" applyFill="1" applyBorder="1" applyAlignment="1">
      <alignment horizontal="center" vertical="center"/>
    </xf>
    <xf numFmtId="0" fontId="2" fillId="0" borderId="12" xfId="3" applyFill="1" applyBorder="1" applyAlignment="1">
      <alignment horizontal="center" vertical="center"/>
    </xf>
    <xf numFmtId="170" fontId="12" fillId="0" borderId="13" xfId="4" applyNumberFormat="1" applyFont="1" applyFill="1" applyBorder="1" applyAlignment="1">
      <alignment vertical="center"/>
    </xf>
    <xf numFmtId="170" fontId="12" fillId="0" borderId="13" xfId="4" applyNumberFormat="1" applyFont="1" applyFill="1" applyBorder="1" applyAlignment="1">
      <alignment horizontal="center" vertical="center"/>
    </xf>
    <xf numFmtId="0" fontId="2" fillId="0" borderId="24" xfId="3" applyFill="1" applyBorder="1" applyAlignment="1">
      <alignment horizontal="center" vertical="center"/>
    </xf>
    <xf numFmtId="170" fontId="12" fillId="0" borderId="1" xfId="4" applyNumberFormat="1" applyFont="1" applyFill="1" applyBorder="1" applyAlignment="1">
      <alignment vertical="center"/>
    </xf>
    <xf numFmtId="170" fontId="12" fillId="0" borderId="1" xfId="4" applyNumberFormat="1" applyFont="1" applyFill="1" applyBorder="1" applyAlignment="1">
      <alignment horizontal="center" vertical="center"/>
    </xf>
    <xf numFmtId="165" fontId="13" fillId="0" borderId="36" xfId="3" applyNumberFormat="1" applyFont="1" applyFill="1" applyBorder="1" applyAlignment="1">
      <alignment horizontal="center" vertical="center"/>
    </xf>
    <xf numFmtId="165" fontId="13" fillId="0" borderId="1" xfId="3" applyNumberFormat="1" applyFont="1" applyFill="1" applyBorder="1" applyAlignment="1">
      <alignment horizontal="center" vertical="center"/>
    </xf>
    <xf numFmtId="0" fontId="11" fillId="0" borderId="40" xfId="3" applyFont="1" applyBorder="1" applyAlignment="1">
      <alignment horizontal="center" vertical="center"/>
    </xf>
    <xf numFmtId="0" fontId="13" fillId="0" borderId="61" xfId="3" applyNumberFormat="1" applyFont="1" applyBorder="1" applyAlignment="1">
      <alignment horizontal="right" vertical="center"/>
    </xf>
    <xf numFmtId="0" fontId="13" fillId="0" borderId="62" xfId="3" applyNumberFormat="1" applyFont="1" applyBorder="1" applyAlignment="1">
      <alignment horizontal="right" vertical="center"/>
    </xf>
    <xf numFmtId="0" fontId="2" fillId="0" borderId="27" xfId="3" applyFill="1" applyBorder="1" applyAlignment="1">
      <alignment horizontal="center" vertical="center"/>
    </xf>
    <xf numFmtId="170" fontId="12" fillId="0" borderId="25" xfId="4" applyNumberFormat="1" applyFont="1" applyFill="1" applyBorder="1" applyAlignment="1">
      <alignment vertical="center"/>
    </xf>
    <xf numFmtId="170" fontId="12" fillId="0" borderId="25" xfId="4" applyNumberFormat="1" applyFont="1" applyFill="1" applyBorder="1" applyAlignment="1">
      <alignment horizontal="center" vertical="center"/>
    </xf>
    <xf numFmtId="165" fontId="13" fillId="0" borderId="39" xfId="3" applyNumberFormat="1" applyFont="1" applyFill="1" applyBorder="1" applyAlignment="1">
      <alignment horizontal="center" vertical="center"/>
    </xf>
    <xf numFmtId="165" fontId="13" fillId="0" borderId="25" xfId="3" applyNumberFormat="1" applyFont="1" applyFill="1" applyBorder="1" applyAlignment="1">
      <alignment horizontal="center" vertical="center"/>
    </xf>
    <xf numFmtId="0" fontId="11" fillId="0" borderId="63" xfId="3" applyFont="1" applyBorder="1" applyAlignment="1">
      <alignment horizontal="center" vertical="center"/>
    </xf>
    <xf numFmtId="0" fontId="13" fillId="0" borderId="63" xfId="3" applyNumberFormat="1" applyFont="1" applyBorder="1" applyAlignment="1">
      <alignment horizontal="right" vertical="center"/>
    </xf>
    <xf numFmtId="0" fontId="13" fillId="0" borderId="64" xfId="3" applyNumberFormat="1" applyFont="1" applyBorder="1" applyAlignment="1">
      <alignment horizontal="right" vertical="center"/>
    </xf>
    <xf numFmtId="0" fontId="2" fillId="0" borderId="47" xfId="3" applyBorder="1" applyAlignment="1">
      <alignment horizontal="center" vertical="center"/>
    </xf>
    <xf numFmtId="2" fontId="12" fillId="0" borderId="42" xfId="3" applyNumberFormat="1" applyFont="1" applyFill="1" applyBorder="1" applyAlignment="1">
      <alignment horizontal="center" vertical="center"/>
    </xf>
    <xf numFmtId="3" fontId="2" fillId="0" borderId="42" xfId="3" applyNumberFormat="1" applyBorder="1" applyAlignment="1">
      <alignment vertical="center"/>
    </xf>
    <xf numFmtId="9" fontId="12" fillId="0" borderId="42" xfId="3" applyNumberFormat="1" applyFont="1" applyFill="1" applyBorder="1" applyAlignment="1">
      <alignment vertical="center"/>
    </xf>
    <xf numFmtId="3" fontId="14" fillId="0" borderId="42" xfId="3" applyNumberFormat="1" applyFont="1" applyBorder="1" applyAlignment="1">
      <alignment vertical="center"/>
    </xf>
    <xf numFmtId="170" fontId="12" fillId="0" borderId="42" xfId="4" applyNumberFormat="1" applyFont="1" applyFill="1" applyBorder="1" applyAlignment="1">
      <alignment vertical="center"/>
    </xf>
    <xf numFmtId="170" fontId="12" fillId="0" borderId="42" xfId="4" applyNumberFormat="1" applyFont="1" applyFill="1" applyBorder="1" applyAlignment="1">
      <alignment horizontal="center" vertical="center"/>
    </xf>
    <xf numFmtId="165" fontId="12" fillId="0" borderId="42" xfId="4" applyNumberFormat="1" applyFont="1" applyFill="1" applyBorder="1" applyAlignment="1">
      <alignment horizontal="center" vertical="center"/>
    </xf>
    <xf numFmtId="165" fontId="2" fillId="0" borderId="42" xfId="3" applyNumberFormat="1" applyBorder="1" applyAlignment="1">
      <alignment horizontal="center" vertical="center"/>
    </xf>
    <xf numFmtId="165" fontId="13" fillId="0" borderId="43" xfId="3" applyNumberFormat="1" applyFont="1" applyFill="1" applyBorder="1" applyAlignment="1">
      <alignment horizontal="center" vertical="center"/>
    </xf>
    <xf numFmtId="165" fontId="13" fillId="0" borderId="42" xfId="3" applyNumberFormat="1" applyFont="1" applyFill="1" applyBorder="1" applyAlignment="1">
      <alignment horizontal="center" vertical="center"/>
    </xf>
    <xf numFmtId="165" fontId="2" fillId="0" borderId="0" xfId="3" applyNumberFormat="1" applyAlignment="1">
      <alignment vertical="center"/>
    </xf>
    <xf numFmtId="0" fontId="11" fillId="0" borderId="48" xfId="3" applyFont="1" applyBorder="1" applyAlignment="1">
      <alignment horizontal="center" vertical="center"/>
    </xf>
    <xf numFmtId="0" fontId="13" fillId="0" borderId="65" xfId="3" applyNumberFormat="1" applyFont="1" applyBorder="1" applyAlignment="1">
      <alignment horizontal="right" vertical="center"/>
    </xf>
    <xf numFmtId="0" fontId="13" fillId="0" borderId="66" xfId="3" applyNumberFormat="1" applyFont="1" applyBorder="1" applyAlignment="1">
      <alignment horizontal="right" vertical="center"/>
    </xf>
    <xf numFmtId="0" fontId="2" fillId="0" borderId="0" xfId="3" applyBorder="1" applyAlignment="1">
      <alignment horizontal="center" vertical="center"/>
    </xf>
    <xf numFmtId="2" fontId="12" fillId="0" borderId="0" xfId="3" applyNumberFormat="1" applyFont="1" applyFill="1" applyBorder="1" applyAlignment="1">
      <alignment horizontal="center" vertical="center"/>
    </xf>
    <xf numFmtId="3" fontId="2" fillId="0" borderId="0" xfId="3" applyNumberFormat="1" applyBorder="1" applyAlignment="1">
      <alignment vertical="center"/>
    </xf>
    <xf numFmtId="9" fontId="12" fillId="0" borderId="0" xfId="3" applyNumberFormat="1" applyFont="1" applyFill="1" applyBorder="1" applyAlignment="1">
      <alignment vertical="center"/>
    </xf>
    <xf numFmtId="3" fontId="14" fillId="0" borderId="0" xfId="3" applyNumberFormat="1" applyFont="1" applyBorder="1" applyAlignment="1">
      <alignment vertical="center"/>
    </xf>
    <xf numFmtId="10" fontId="12" fillId="0" borderId="0" xfId="4" applyNumberFormat="1" applyFont="1" applyFill="1" applyBorder="1" applyAlignment="1">
      <alignment vertical="center"/>
    </xf>
    <xf numFmtId="0" fontId="2" fillId="8" borderId="67" xfId="3" applyFill="1" applyBorder="1" applyAlignment="1">
      <alignment vertical="center"/>
    </xf>
    <xf numFmtId="0" fontId="2" fillId="8" borderId="68" xfId="3" applyFill="1" applyBorder="1" applyAlignment="1">
      <alignment vertical="center"/>
    </xf>
    <xf numFmtId="0" fontId="2" fillId="8" borderId="8" xfId="3" applyFill="1" applyBorder="1" applyAlignment="1">
      <alignment vertical="center"/>
    </xf>
    <xf numFmtId="0" fontId="2" fillId="8" borderId="8" xfId="3" applyFill="1" applyBorder="1" applyAlignment="1">
      <alignment horizontal="center" vertical="center"/>
    </xf>
    <xf numFmtId="2" fontId="12" fillId="8" borderId="8" xfId="3" applyNumberFormat="1" applyFont="1" applyFill="1" applyBorder="1" applyAlignment="1">
      <alignment horizontal="center" vertical="center"/>
    </xf>
    <xf numFmtId="3" fontId="2" fillId="8" borderId="8" xfId="3" applyNumberFormat="1" applyFill="1" applyBorder="1" applyAlignment="1">
      <alignment vertical="center"/>
    </xf>
    <xf numFmtId="0" fontId="11" fillId="8" borderId="8" xfId="3" applyFont="1" applyFill="1" applyBorder="1" applyAlignment="1">
      <alignment vertical="center"/>
    </xf>
    <xf numFmtId="10" fontId="12" fillId="8" borderId="8" xfId="4" applyNumberFormat="1" applyFont="1" applyFill="1" applyBorder="1" applyAlignment="1">
      <alignment vertical="center"/>
    </xf>
    <xf numFmtId="165" fontId="12" fillId="8" borderId="8" xfId="4" applyNumberFormat="1" applyFont="1" applyFill="1" applyBorder="1" applyAlignment="1">
      <alignment horizontal="center" vertical="center"/>
    </xf>
    <xf numFmtId="0" fontId="2" fillId="8" borderId="9" xfId="3" applyFill="1" applyBorder="1" applyAlignment="1">
      <alignment vertical="center"/>
    </xf>
    <xf numFmtId="0" fontId="2" fillId="8" borderId="0" xfId="3" applyFill="1" applyBorder="1" applyAlignment="1">
      <alignment vertical="center"/>
    </xf>
    <xf numFmtId="0" fontId="2" fillId="8" borderId="14" xfId="3" applyFill="1" applyBorder="1" applyAlignment="1">
      <alignment vertical="center"/>
    </xf>
    <xf numFmtId="0" fontId="2" fillId="8" borderId="0" xfId="3" applyFill="1" applyBorder="1" applyAlignment="1">
      <alignment horizontal="right" vertical="center"/>
    </xf>
    <xf numFmtId="0" fontId="2" fillId="8" borderId="10" xfId="3" applyFill="1" applyBorder="1" applyAlignment="1">
      <alignment vertical="center"/>
    </xf>
    <xf numFmtId="0" fontId="2" fillId="8" borderId="11" xfId="3" applyFill="1" applyBorder="1" applyAlignment="1">
      <alignment vertical="center"/>
    </xf>
    <xf numFmtId="0" fontId="11" fillId="8" borderId="11" xfId="3" applyFont="1" applyFill="1" applyBorder="1" applyAlignment="1">
      <alignment vertical="center"/>
    </xf>
    <xf numFmtId="0" fontId="2" fillId="8" borderId="12" xfId="3" applyFill="1" applyBorder="1" applyAlignment="1">
      <alignment vertical="center"/>
    </xf>
    <xf numFmtId="0" fontId="12" fillId="0" borderId="13" xfId="3" applyFont="1" applyBorder="1" applyAlignment="1">
      <alignment horizontal="center" vertical="center"/>
    </xf>
    <xf numFmtId="0" fontId="12" fillId="11" borderId="1" xfId="3" quotePrefix="1" applyFont="1" applyFill="1" applyBorder="1" applyAlignment="1">
      <alignment horizontal="center" vertical="center"/>
    </xf>
    <xf numFmtId="0" fontId="12" fillId="13" borderId="1" xfId="3" applyFont="1" applyFill="1" applyBorder="1" applyAlignment="1">
      <alignment horizontal="center" vertical="center"/>
    </xf>
    <xf numFmtId="0" fontId="12" fillId="14" borderId="1" xfId="3" applyFont="1" applyFill="1" applyBorder="1" applyAlignment="1">
      <alignment horizontal="center" vertical="center"/>
    </xf>
    <xf numFmtId="0" fontId="15" fillId="15" borderId="1" xfId="3" applyFont="1" applyFill="1" applyBorder="1" applyAlignment="1">
      <alignment horizontal="center" vertical="center"/>
    </xf>
    <xf numFmtId="0" fontId="16" fillId="0" borderId="0" xfId="3" applyFont="1" applyAlignment="1">
      <alignment vertical="center"/>
    </xf>
    <xf numFmtId="0" fontId="11" fillId="0" borderId="21" xfId="3" applyFont="1" applyBorder="1" applyAlignment="1">
      <alignment vertical="center"/>
    </xf>
    <xf numFmtId="0" fontId="2" fillId="0" borderId="18" xfId="3" applyBorder="1" applyAlignment="1">
      <alignment horizontal="center" vertical="center"/>
    </xf>
    <xf numFmtId="0" fontId="12" fillId="0" borderId="54" xfId="3" quotePrefix="1" applyFont="1" applyBorder="1" applyAlignment="1">
      <alignment horizontal="center" vertical="center"/>
    </xf>
    <xf numFmtId="9" fontId="14" fillId="0" borderId="18" xfId="3" applyNumberFormat="1" applyFont="1" applyBorder="1" applyAlignment="1">
      <alignment vertical="center"/>
    </xf>
    <xf numFmtId="0" fontId="17" fillId="0" borderId="18" xfId="3" applyFont="1" applyFill="1" applyBorder="1" applyAlignment="1">
      <alignment horizontal="center" vertical="center"/>
    </xf>
    <xf numFmtId="2" fontId="11" fillId="0" borderId="18" xfId="3" applyNumberFormat="1" applyFont="1" applyBorder="1" applyAlignment="1">
      <alignment horizontal="center" vertical="center"/>
    </xf>
    <xf numFmtId="3" fontId="14" fillId="0" borderId="18" xfId="3" applyNumberFormat="1" applyFont="1" applyBorder="1" applyAlignment="1">
      <alignment horizontal="center" vertical="center"/>
    </xf>
    <xf numFmtId="0" fontId="14" fillId="0" borderId="18" xfId="3" applyFont="1" applyBorder="1" applyAlignment="1">
      <alignment horizontal="center" vertical="center"/>
    </xf>
    <xf numFmtId="0" fontId="17" fillId="0" borderId="20" xfId="3" applyFont="1" applyFill="1" applyBorder="1" applyAlignment="1">
      <alignment horizontal="center" vertical="center"/>
    </xf>
    <xf numFmtId="2" fontId="11" fillId="0" borderId="42" xfId="3" applyNumberFormat="1" applyFont="1" applyBorder="1" applyAlignment="1">
      <alignment horizontal="center" vertical="center"/>
    </xf>
    <xf numFmtId="165" fontId="11" fillId="0" borderId="42" xfId="3" applyNumberFormat="1" applyFont="1" applyBorder="1" applyAlignment="1">
      <alignment horizontal="center" vertical="center"/>
    </xf>
    <xf numFmtId="0" fontId="18" fillId="0" borderId="0" xfId="3" applyFont="1" applyAlignment="1">
      <alignment vertical="center"/>
    </xf>
    <xf numFmtId="0" fontId="2" fillId="0" borderId="13" xfId="3" applyBorder="1" applyAlignment="1">
      <alignment horizontal="center" vertical="center"/>
    </xf>
    <xf numFmtId="2" fontId="12" fillId="0" borderId="28" xfId="3" quotePrefix="1" applyNumberFormat="1" applyFont="1" applyBorder="1" applyAlignment="1">
      <alignment horizontal="center" vertical="center"/>
    </xf>
    <xf numFmtId="9" fontId="14" fillId="0" borderId="13" xfId="3" applyNumberFormat="1" applyFont="1" applyBorder="1" applyAlignment="1">
      <alignment vertical="center"/>
    </xf>
    <xf numFmtId="0" fontId="17" fillId="0" borderId="13" xfId="3" applyFont="1" applyFill="1" applyBorder="1" applyAlignment="1">
      <alignment horizontal="center" vertical="center"/>
    </xf>
    <xf numFmtId="2" fontId="11" fillId="0" borderId="13" xfId="3" applyNumberFormat="1" applyFont="1" applyBorder="1" applyAlignment="1">
      <alignment horizontal="center" vertical="center"/>
    </xf>
    <xf numFmtId="3" fontId="14" fillId="0" borderId="13" xfId="3" applyNumberFormat="1" applyFont="1" applyBorder="1" applyAlignment="1">
      <alignment horizontal="center" vertical="center"/>
    </xf>
    <xf numFmtId="0" fontId="14" fillId="0" borderId="13" xfId="3" applyFont="1" applyBorder="1" applyAlignment="1">
      <alignment horizontal="center" vertical="center"/>
    </xf>
    <xf numFmtId="0" fontId="17" fillId="0" borderId="12" xfId="3" applyFont="1" applyFill="1" applyBorder="1" applyAlignment="1">
      <alignment horizontal="center" vertical="center"/>
    </xf>
    <xf numFmtId="165" fontId="11" fillId="0" borderId="13" xfId="3" applyNumberFormat="1" applyFont="1" applyBorder="1" applyAlignment="1">
      <alignment horizontal="center" vertical="center"/>
    </xf>
    <xf numFmtId="2" fontId="12" fillId="0" borderId="37" xfId="3" quotePrefix="1" applyNumberFormat="1" applyFont="1" applyBorder="1" applyAlignment="1">
      <alignment horizontal="center" vertical="center"/>
    </xf>
    <xf numFmtId="9" fontId="14" fillId="0" borderId="1" xfId="3" applyNumberFormat="1" applyFont="1" applyBorder="1" applyAlignment="1">
      <alignment vertical="center"/>
    </xf>
    <xf numFmtId="0" fontId="17" fillId="0" borderId="1" xfId="3" applyFont="1" applyFill="1" applyBorder="1" applyAlignment="1">
      <alignment horizontal="center" vertical="center"/>
    </xf>
    <xf numFmtId="2" fontId="11" fillId="0" borderId="1" xfId="3" applyNumberFormat="1" applyFont="1" applyBorder="1" applyAlignment="1">
      <alignment horizontal="center" vertical="center"/>
    </xf>
    <xf numFmtId="3" fontId="14" fillId="0" borderId="1" xfId="3" applyNumberFormat="1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7" fillId="0" borderId="24" xfId="3" applyFont="1" applyFill="1" applyBorder="1" applyAlignment="1">
      <alignment horizontal="center" vertical="center"/>
    </xf>
    <xf numFmtId="2" fontId="12" fillId="0" borderId="37" xfId="3" quotePrefix="1" applyNumberFormat="1" applyFont="1" applyFill="1" applyBorder="1" applyAlignment="1">
      <alignment horizontal="center" vertical="center"/>
    </xf>
    <xf numFmtId="3" fontId="18" fillId="0" borderId="0" xfId="3" applyNumberFormat="1" applyFont="1" applyAlignment="1">
      <alignment vertical="center"/>
    </xf>
    <xf numFmtId="3" fontId="18" fillId="0" borderId="0" xfId="3" applyNumberFormat="1" applyFont="1">
      <alignment vertical="center"/>
    </xf>
    <xf numFmtId="0" fontId="18" fillId="0" borderId="0" xfId="3" applyFont="1">
      <alignment vertical="center"/>
    </xf>
    <xf numFmtId="0" fontId="11" fillId="0" borderId="16" xfId="3" applyFont="1" applyBorder="1" applyAlignment="1">
      <alignment vertical="center"/>
    </xf>
    <xf numFmtId="0" fontId="2" fillId="0" borderId="25" xfId="3" applyBorder="1" applyAlignment="1">
      <alignment horizontal="center" vertical="center"/>
    </xf>
    <xf numFmtId="2" fontId="12" fillId="0" borderId="40" xfId="3" quotePrefix="1" applyNumberFormat="1" applyFont="1" applyFill="1" applyBorder="1" applyAlignment="1">
      <alignment horizontal="center" vertical="center"/>
    </xf>
    <xf numFmtId="9" fontId="14" fillId="0" borderId="25" xfId="3" applyNumberFormat="1" applyFont="1" applyBorder="1" applyAlignment="1">
      <alignment vertical="center"/>
    </xf>
    <xf numFmtId="0" fontId="2" fillId="0" borderId="16" xfId="3" applyBorder="1" applyAlignment="1">
      <alignment vertical="center"/>
    </xf>
    <xf numFmtId="0" fontId="17" fillId="0" borderId="25" xfId="3" applyFont="1" applyFill="1" applyBorder="1" applyAlignment="1">
      <alignment horizontal="center" vertical="center"/>
    </xf>
    <xf numFmtId="2" fontId="11" fillId="0" borderId="25" xfId="3" applyNumberFormat="1" applyFont="1" applyBorder="1" applyAlignment="1">
      <alignment horizontal="center" vertical="center"/>
    </xf>
    <xf numFmtId="3" fontId="14" fillId="0" borderId="25" xfId="3" applyNumberFormat="1" applyFont="1" applyBorder="1" applyAlignment="1">
      <alignment horizontal="center" vertical="center"/>
    </xf>
    <xf numFmtId="0" fontId="14" fillId="0" borderId="25" xfId="3" applyFont="1" applyBorder="1" applyAlignment="1">
      <alignment horizontal="center" vertical="center"/>
    </xf>
    <xf numFmtId="0" fontId="17" fillId="0" borderId="27" xfId="3" applyFont="1" applyFill="1" applyBorder="1" applyAlignment="1">
      <alignment horizontal="center" vertical="center"/>
    </xf>
    <xf numFmtId="2" fontId="11" fillId="0" borderId="49" xfId="3" applyNumberFormat="1" applyFont="1" applyBorder="1" applyAlignment="1">
      <alignment horizontal="center" vertical="center"/>
    </xf>
    <xf numFmtId="165" fontId="11" fillId="0" borderId="49" xfId="3" applyNumberFormat="1" applyFont="1" applyBorder="1" applyAlignment="1">
      <alignment horizontal="center" vertical="center"/>
    </xf>
    <xf numFmtId="165" fontId="18" fillId="0" borderId="0" xfId="3" applyNumberFormat="1" applyFont="1">
      <alignment vertical="center"/>
    </xf>
    <xf numFmtId="2" fontId="12" fillId="0" borderId="28" xfId="3" quotePrefix="1" applyNumberFormat="1" applyFont="1" applyFill="1" applyBorder="1" applyAlignment="1">
      <alignment horizontal="center" vertical="center"/>
    </xf>
    <xf numFmtId="3" fontId="14" fillId="8" borderId="13" xfId="3" applyNumberFormat="1" applyFont="1" applyFill="1" applyBorder="1" applyAlignment="1">
      <alignment vertical="center"/>
    </xf>
    <xf numFmtId="9" fontId="14" fillId="8" borderId="13" xfId="3" applyNumberFormat="1" applyFont="1" applyFill="1" applyBorder="1" applyAlignment="1">
      <alignment vertical="center"/>
    </xf>
    <xf numFmtId="0" fontId="2" fillId="0" borderId="30" xfId="3" applyFill="1" applyBorder="1" applyAlignment="1">
      <alignment horizontal="center" vertical="center"/>
    </xf>
    <xf numFmtId="2" fontId="12" fillId="0" borderId="32" xfId="3" quotePrefix="1" applyNumberFormat="1" applyFont="1" applyFill="1" applyBorder="1" applyAlignment="1">
      <alignment horizontal="center" vertical="center"/>
    </xf>
    <xf numFmtId="3" fontId="14" fillId="8" borderId="30" xfId="3" applyNumberFormat="1" applyFont="1" applyFill="1" applyBorder="1" applyAlignment="1">
      <alignment vertical="center"/>
    </xf>
    <xf numFmtId="9" fontId="14" fillId="8" borderId="30" xfId="3" applyNumberFormat="1" applyFont="1" applyFill="1" applyBorder="1" applyAlignment="1">
      <alignment vertical="center"/>
    </xf>
    <xf numFmtId="3" fontId="14" fillId="0" borderId="69" xfId="3" applyNumberFormat="1" applyFont="1" applyBorder="1" applyAlignment="1">
      <alignment vertical="center"/>
    </xf>
    <xf numFmtId="0" fontId="17" fillId="0" borderId="30" xfId="3" applyFont="1" applyFill="1" applyBorder="1" applyAlignment="1">
      <alignment horizontal="center" vertical="center"/>
    </xf>
    <xf numFmtId="2" fontId="11" fillId="0" borderId="30" xfId="3" applyNumberFormat="1" applyFont="1" applyBorder="1" applyAlignment="1">
      <alignment horizontal="center" vertical="center"/>
    </xf>
    <xf numFmtId="3" fontId="14" fillId="0" borderId="30" xfId="3" applyNumberFormat="1" applyFont="1" applyBorder="1" applyAlignment="1">
      <alignment horizontal="center" vertical="center"/>
    </xf>
    <xf numFmtId="0" fontId="14" fillId="0" borderId="30" xfId="3" applyFont="1" applyBorder="1" applyAlignment="1">
      <alignment horizontal="center" vertical="center"/>
    </xf>
    <xf numFmtId="0" fontId="17" fillId="0" borderId="34" xfId="3" applyFont="1" applyFill="1" applyBorder="1" applyAlignment="1">
      <alignment horizontal="center" vertical="center"/>
    </xf>
    <xf numFmtId="2" fontId="11" fillId="0" borderId="69" xfId="3" applyNumberFormat="1" applyFont="1" applyBorder="1" applyAlignment="1">
      <alignment horizontal="center" vertical="center"/>
    </xf>
    <xf numFmtId="165" fontId="11" fillId="0" borderId="69" xfId="3" applyNumberFormat="1" applyFont="1" applyBorder="1" applyAlignment="1">
      <alignment horizontal="center" vertical="center"/>
    </xf>
    <xf numFmtId="171" fontId="18" fillId="0" borderId="0" xfId="3" applyNumberFormat="1" applyFont="1" applyAlignment="1">
      <alignment vertical="center"/>
    </xf>
    <xf numFmtId="0" fontId="2" fillId="0" borderId="13" xfId="3" applyFill="1" applyBorder="1" applyAlignment="1">
      <alignment horizontal="center" vertical="center"/>
    </xf>
    <xf numFmtId="0" fontId="2" fillId="0" borderId="1" xfId="3" applyFill="1" applyBorder="1" applyAlignment="1">
      <alignment horizontal="center" vertical="center"/>
    </xf>
    <xf numFmtId="3" fontId="14" fillId="8" borderId="1" xfId="3" applyNumberFormat="1" applyFont="1" applyFill="1" applyBorder="1" applyAlignment="1">
      <alignment vertical="center"/>
    </xf>
    <xf numFmtId="9" fontId="14" fillId="8" borderId="1" xfId="3" applyNumberFormat="1" applyFont="1" applyFill="1" applyBorder="1" applyAlignment="1">
      <alignment vertical="center"/>
    </xf>
    <xf numFmtId="0" fontId="2" fillId="0" borderId="36" xfId="3" applyBorder="1" applyAlignment="1">
      <alignment vertical="center"/>
    </xf>
    <xf numFmtId="0" fontId="2" fillId="0" borderId="51" xfId="3" applyBorder="1" applyAlignment="1">
      <alignment vertical="center"/>
    </xf>
    <xf numFmtId="0" fontId="2" fillId="0" borderId="53" xfId="3" applyBorder="1" applyAlignment="1">
      <alignment vertical="center"/>
    </xf>
    <xf numFmtId="0" fontId="2" fillId="0" borderId="25" xfId="3" applyFill="1" applyBorder="1" applyAlignment="1">
      <alignment horizontal="center" vertical="center"/>
    </xf>
    <xf numFmtId="3" fontId="14" fillId="8" borderId="25" xfId="3" applyNumberFormat="1" applyFont="1" applyFill="1" applyBorder="1" applyAlignment="1">
      <alignment vertical="center"/>
    </xf>
    <xf numFmtId="9" fontId="14" fillId="8" borderId="25" xfId="3" applyNumberFormat="1" applyFont="1" applyFill="1" applyBorder="1" applyAlignment="1">
      <alignment vertical="center"/>
    </xf>
    <xf numFmtId="3" fontId="14" fillId="0" borderId="49" xfId="3" applyNumberFormat="1" applyFont="1" applyBorder="1" applyAlignment="1">
      <alignment vertical="center"/>
    </xf>
    <xf numFmtId="0" fontId="2" fillId="0" borderId="37" xfId="3" applyBorder="1" applyAlignment="1">
      <alignment vertical="center"/>
    </xf>
    <xf numFmtId="0" fontId="2" fillId="0" borderId="38" xfId="3" applyBorder="1" applyAlignment="1">
      <alignment vertical="center"/>
    </xf>
    <xf numFmtId="0" fontId="11" fillId="0" borderId="45" xfId="3" applyFont="1" applyBorder="1" applyAlignment="1">
      <alignment horizontal="center" vertical="center"/>
    </xf>
    <xf numFmtId="165" fontId="12" fillId="0" borderId="45" xfId="3" applyNumberFormat="1" applyFont="1" applyBorder="1" applyAlignment="1">
      <alignment horizontal="center" vertical="center"/>
    </xf>
    <xf numFmtId="0" fontId="11" fillId="0" borderId="70" xfId="3" applyFont="1" applyBorder="1" applyAlignment="1">
      <alignment vertical="center"/>
    </xf>
    <xf numFmtId="0" fontId="2" fillId="0" borderId="45" xfId="3" applyBorder="1" applyAlignment="1">
      <alignment horizontal="center" vertical="center"/>
    </xf>
    <xf numFmtId="2" fontId="12" fillId="0" borderId="44" xfId="3" quotePrefix="1" applyNumberFormat="1" applyFont="1" applyFill="1" applyBorder="1" applyAlignment="1">
      <alignment horizontal="center" vertical="center"/>
    </xf>
    <xf numFmtId="3" fontId="14" fillId="16" borderId="45" xfId="3" applyNumberFormat="1" applyFont="1" applyFill="1" applyBorder="1" applyAlignment="1">
      <alignment vertical="center"/>
    </xf>
    <xf numFmtId="9" fontId="14" fillId="0" borderId="45" xfId="3" applyNumberFormat="1" applyFont="1" applyBorder="1" applyAlignment="1">
      <alignment vertical="center"/>
    </xf>
    <xf numFmtId="3" fontId="14" fillId="0" borderId="45" xfId="3" applyNumberFormat="1" applyFont="1" applyBorder="1" applyAlignment="1">
      <alignment vertical="center"/>
    </xf>
    <xf numFmtId="0" fontId="2" fillId="0" borderId="70" xfId="3" applyBorder="1" applyAlignment="1">
      <alignment vertical="center"/>
    </xf>
    <xf numFmtId="0" fontId="17" fillId="0" borderId="45" xfId="3" applyFont="1" applyFill="1" applyBorder="1" applyAlignment="1">
      <alignment horizontal="center" vertical="center"/>
    </xf>
    <xf numFmtId="2" fontId="11" fillId="0" borderId="45" xfId="3" applyNumberFormat="1" applyFont="1" applyBorder="1" applyAlignment="1">
      <alignment horizontal="center" vertical="center"/>
    </xf>
    <xf numFmtId="3" fontId="14" fillId="0" borderId="45" xfId="3" applyNumberFormat="1" applyFont="1" applyBorder="1" applyAlignment="1">
      <alignment horizontal="center" vertical="center"/>
    </xf>
    <xf numFmtId="0" fontId="14" fillId="0" borderId="45" xfId="3" applyFont="1" applyBorder="1" applyAlignment="1">
      <alignment horizontal="center" vertical="center"/>
    </xf>
    <xf numFmtId="0" fontId="17" fillId="0" borderId="71" xfId="3" applyFont="1" applyFill="1" applyBorder="1" applyAlignment="1">
      <alignment horizontal="center" vertical="center"/>
    </xf>
    <xf numFmtId="165" fontId="11" fillId="0" borderId="45" xfId="3" applyNumberFormat="1" applyFont="1" applyBorder="1" applyAlignment="1">
      <alignment horizontal="center" vertical="center"/>
    </xf>
    <xf numFmtId="0" fontId="19" fillId="0" borderId="0" xfId="3" applyFont="1" applyAlignment="1">
      <alignment vertical="center"/>
    </xf>
    <xf numFmtId="2" fontId="12" fillId="0" borderId="72" xfId="3" quotePrefix="1" applyNumberFormat="1" applyFont="1" applyFill="1" applyBorder="1" applyAlignment="1">
      <alignment horizontal="center" vertical="center"/>
    </xf>
    <xf numFmtId="3" fontId="14" fillId="16" borderId="13" xfId="3" applyNumberFormat="1" applyFont="1" applyFill="1" applyBorder="1" applyAlignment="1">
      <alignment vertical="center"/>
    </xf>
    <xf numFmtId="0" fontId="2" fillId="0" borderId="40" xfId="3" applyBorder="1" applyAlignment="1">
      <alignment vertical="center"/>
    </xf>
    <xf numFmtId="0" fontId="2" fillId="0" borderId="41" xfId="3" applyBorder="1" applyAlignment="1">
      <alignment vertical="center"/>
    </xf>
    <xf numFmtId="172" fontId="19" fillId="0" borderId="0" xfId="3" applyNumberFormat="1" applyFont="1" applyAlignment="1">
      <alignment vertical="center"/>
    </xf>
    <xf numFmtId="9" fontId="19" fillId="0" borderId="0" xfId="3" applyNumberFormat="1" applyFont="1" applyAlignment="1">
      <alignment vertical="center"/>
    </xf>
    <xf numFmtId="3" fontId="19" fillId="0" borderId="0" xfId="3" applyNumberFormat="1" applyFont="1" applyAlignment="1">
      <alignment vertical="center"/>
    </xf>
    <xf numFmtId="0" fontId="19" fillId="0" borderId="0" xfId="3" applyFont="1" applyAlignment="1">
      <alignment horizontal="right" vertical="center"/>
    </xf>
    <xf numFmtId="167" fontId="19" fillId="0" borderId="0" xfId="3" applyNumberFormat="1" applyFont="1" applyAlignment="1">
      <alignment vertical="center"/>
    </xf>
    <xf numFmtId="9" fontId="5" fillId="0" borderId="0" xfId="1" applyFont="1" applyAlignment="1">
      <alignment vertical="center"/>
    </xf>
    <xf numFmtId="167" fontId="5" fillId="0" borderId="0" xfId="0" applyNumberFormat="1" applyFont="1" applyAlignment="1">
      <alignment vertical="center"/>
    </xf>
    <xf numFmtId="1" fontId="5" fillId="0" borderId="0" xfId="0" applyNumberFormat="1" applyFont="1" applyAlignment="1">
      <alignment horizontal="right" vertical="center"/>
    </xf>
    <xf numFmtId="9" fontId="5" fillId="8" borderId="0" xfId="1" applyFont="1" applyFill="1" applyAlignment="1">
      <alignment vertical="center"/>
    </xf>
    <xf numFmtId="2" fontId="5" fillId="8" borderId="0" xfId="0" applyNumberFormat="1" applyFont="1" applyFill="1" applyAlignment="1">
      <alignment vertical="center"/>
    </xf>
    <xf numFmtId="165" fontId="5" fillId="8" borderId="0" xfId="0" applyNumberFormat="1" applyFont="1" applyFill="1" applyAlignment="1">
      <alignment vertical="center"/>
    </xf>
    <xf numFmtId="0" fontId="5" fillId="8" borderId="0" xfId="0" applyFont="1" applyFill="1" applyAlignment="1">
      <alignment vertical="center"/>
    </xf>
    <xf numFmtId="167" fontId="5" fillId="8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10" borderId="0" xfId="0" applyFont="1" applyFill="1" applyBorder="1" applyAlignment="1">
      <alignment vertical="center"/>
    </xf>
    <xf numFmtId="9" fontId="5" fillId="10" borderId="0" xfId="0" applyNumberFormat="1" applyFont="1" applyFill="1" applyAlignment="1">
      <alignment vertical="center"/>
    </xf>
    <xf numFmtId="1" fontId="5" fillId="0" borderId="0" xfId="1" applyNumberFormat="1" applyFont="1" applyAlignment="1">
      <alignment vertical="center"/>
    </xf>
    <xf numFmtId="1" fontId="5" fillId="8" borderId="0" xfId="1" applyNumberFormat="1" applyFont="1" applyFill="1" applyAlignment="1">
      <alignment vertical="center"/>
    </xf>
    <xf numFmtId="9" fontId="5" fillId="10" borderId="0" xfId="1" applyFont="1" applyFill="1" applyAlignment="1">
      <alignment vertical="center"/>
    </xf>
    <xf numFmtId="1" fontId="5" fillId="10" borderId="0" xfId="1" applyNumberFormat="1" applyFont="1" applyFill="1" applyAlignment="1">
      <alignment vertical="center"/>
    </xf>
    <xf numFmtId="165" fontId="5" fillId="10" borderId="0" xfId="0" applyNumberFormat="1" applyFont="1" applyFill="1" applyAlignment="1">
      <alignment vertical="center"/>
    </xf>
    <xf numFmtId="167" fontId="5" fillId="10" borderId="0" xfId="0" applyNumberFormat="1" applyFont="1" applyFill="1" applyAlignment="1">
      <alignment vertical="center"/>
    </xf>
    <xf numFmtId="0" fontId="20" fillId="3" borderId="1" xfId="0" applyFont="1" applyFill="1" applyBorder="1" applyAlignment="1">
      <alignment horizontal="right" vertical="center"/>
    </xf>
    <xf numFmtId="0" fontId="20" fillId="4" borderId="1" xfId="0" applyFont="1" applyFill="1" applyBorder="1" applyAlignment="1">
      <alignment horizontal="right" vertical="center"/>
    </xf>
    <xf numFmtId="0" fontId="20" fillId="5" borderId="1" xfId="0" applyFont="1" applyFill="1" applyBorder="1" applyAlignment="1">
      <alignment horizontal="right" vertical="center"/>
    </xf>
    <xf numFmtId="0" fontId="20" fillId="6" borderId="1" xfId="0" applyFont="1" applyFill="1" applyBorder="1" applyAlignment="1">
      <alignment horizontal="right" vertical="center"/>
    </xf>
    <xf numFmtId="165" fontId="5" fillId="0" borderId="1" xfId="0" applyNumberFormat="1" applyFont="1" applyBorder="1" applyAlignment="1">
      <alignment vertical="center"/>
    </xf>
    <xf numFmtId="165" fontId="5" fillId="0" borderId="1" xfId="0" applyNumberFormat="1" applyFont="1" applyFill="1" applyBorder="1" applyAlignment="1">
      <alignment vertical="center"/>
    </xf>
    <xf numFmtId="165" fontId="5" fillId="2" borderId="1" xfId="0" applyNumberFormat="1" applyFont="1" applyFill="1" applyBorder="1" applyAlignment="1">
      <alignment vertical="center"/>
    </xf>
    <xf numFmtId="165" fontId="5" fillId="9" borderId="1" xfId="0" applyNumberFormat="1" applyFont="1" applyFill="1" applyBorder="1" applyAlignment="1">
      <alignment vertical="center"/>
    </xf>
    <xf numFmtId="165" fontId="5" fillId="7" borderId="1" xfId="0" applyNumberFormat="1" applyFont="1" applyFill="1" applyBorder="1" applyAlignment="1">
      <alignment vertical="center"/>
    </xf>
    <xf numFmtId="165" fontId="5" fillId="10" borderId="1" xfId="0" applyNumberFormat="1" applyFont="1" applyFill="1" applyBorder="1" applyAlignment="1">
      <alignment vertical="center"/>
    </xf>
    <xf numFmtId="0" fontId="1" fillId="0" borderId="0" xfId="5" applyAlignment="1">
      <alignment vertical="center"/>
    </xf>
    <xf numFmtId="0" fontId="1" fillId="0" borderId="1" xfId="3" applyFont="1" applyBorder="1" applyAlignment="1">
      <alignment horizontal="center" vertical="center"/>
    </xf>
    <xf numFmtId="0" fontId="1" fillId="0" borderId="73" xfId="3" applyFont="1" applyBorder="1" applyAlignment="1">
      <alignment horizontal="center" vertical="center"/>
    </xf>
    <xf numFmtId="0" fontId="1" fillId="0" borderId="24" xfId="3" applyFont="1" applyBorder="1" applyAlignment="1">
      <alignment horizontal="center" vertical="center"/>
    </xf>
    <xf numFmtId="0" fontId="1" fillId="0" borderId="23" xfId="3" applyFont="1" applyBorder="1" applyAlignment="1">
      <alignment horizontal="center" vertical="center"/>
    </xf>
    <xf numFmtId="0" fontId="1" fillId="0" borderId="74" xfId="3" applyFont="1" applyFill="1" applyBorder="1" applyAlignment="1">
      <alignment horizontal="center" vertical="center"/>
    </xf>
    <xf numFmtId="0" fontId="1" fillId="0" borderId="24" xfId="3" applyFont="1" applyFill="1" applyBorder="1" applyAlignment="1">
      <alignment horizontal="center" vertical="center"/>
    </xf>
    <xf numFmtId="0" fontId="1" fillId="0" borderId="1" xfId="3" applyFont="1" applyFill="1" applyBorder="1" applyAlignment="1">
      <alignment horizontal="center" vertical="center"/>
    </xf>
    <xf numFmtId="0" fontId="1" fillId="0" borderId="23" xfId="3" applyFont="1" applyFill="1" applyBorder="1" applyAlignment="1">
      <alignment horizontal="center" vertical="center"/>
    </xf>
    <xf numFmtId="0" fontId="1" fillId="0" borderId="75" xfId="3" applyFont="1" applyBorder="1" applyAlignment="1">
      <alignment horizontal="center" vertical="center"/>
    </xf>
    <xf numFmtId="0" fontId="16" fillId="0" borderId="1" xfId="3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1" fillId="0" borderId="0" xfId="5" applyFont="1" applyAlignment="1">
      <alignment vertical="center"/>
    </xf>
    <xf numFmtId="165" fontId="1" fillId="0" borderId="8" xfId="0" applyNumberFormat="1" applyFont="1" applyBorder="1" applyAlignment="1">
      <alignment vertical="center"/>
    </xf>
    <xf numFmtId="165" fontId="1" fillId="0" borderId="0" xfId="0" applyNumberFormat="1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167" fontId="1" fillId="0" borderId="1" xfId="5" applyNumberFormat="1" applyFont="1" applyBorder="1" applyAlignment="1">
      <alignment vertical="center"/>
    </xf>
    <xf numFmtId="165" fontId="21" fillId="3" borderId="1" xfId="0" applyNumberFormat="1" applyFont="1" applyFill="1" applyBorder="1" applyAlignment="1">
      <alignment horizontal="center" vertical="center"/>
    </xf>
    <xf numFmtId="165" fontId="21" fillId="17" borderId="1" xfId="0" applyNumberFormat="1" applyFont="1" applyFill="1" applyBorder="1" applyAlignment="1">
      <alignment horizontal="center" vertical="center"/>
    </xf>
    <xf numFmtId="165" fontId="21" fillId="18" borderId="1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1" fillId="0" borderId="0" xfId="5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1" fillId="3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1" fillId="0" borderId="7" xfId="5" applyFont="1" applyBorder="1" applyAlignment="1">
      <alignment vertical="center"/>
    </xf>
    <xf numFmtId="9" fontId="1" fillId="0" borderId="8" xfId="1" applyFont="1" applyBorder="1" applyAlignment="1">
      <alignment vertical="center"/>
    </xf>
    <xf numFmtId="165" fontId="1" fillId="0" borderId="9" xfId="0" applyNumberFormat="1" applyFont="1" applyBorder="1" applyAlignment="1">
      <alignment vertical="center"/>
    </xf>
    <xf numFmtId="0" fontId="1" fillId="0" borderId="68" xfId="5" applyFont="1" applyBorder="1" applyAlignment="1">
      <alignment vertical="center"/>
    </xf>
    <xf numFmtId="9" fontId="1" fillId="0" borderId="0" xfId="1" applyFont="1" applyBorder="1" applyAlignment="1">
      <alignment vertical="center"/>
    </xf>
    <xf numFmtId="165" fontId="1" fillId="0" borderId="14" xfId="0" applyNumberFormat="1" applyFont="1" applyBorder="1" applyAlignment="1">
      <alignment vertical="center"/>
    </xf>
    <xf numFmtId="9" fontId="1" fillId="8" borderId="0" xfId="1" applyFont="1" applyFill="1" applyBorder="1" applyAlignment="1">
      <alignment vertical="center"/>
    </xf>
    <xf numFmtId="165" fontId="1" fillId="10" borderId="0" xfId="0" applyNumberFormat="1" applyFont="1" applyFill="1" applyBorder="1" applyAlignment="1">
      <alignment vertical="center"/>
    </xf>
    <xf numFmtId="165" fontId="1" fillId="10" borderId="14" xfId="0" applyNumberFormat="1" applyFont="1" applyFill="1" applyBorder="1" applyAlignment="1">
      <alignment vertical="center"/>
    </xf>
    <xf numFmtId="0" fontId="1" fillId="0" borderId="10" xfId="5" applyFont="1" applyBorder="1" applyAlignment="1">
      <alignment vertical="center"/>
    </xf>
    <xf numFmtId="9" fontId="1" fillId="0" borderId="11" xfId="1" applyFont="1" applyBorder="1" applyAlignment="1">
      <alignment vertical="center"/>
    </xf>
    <xf numFmtId="165" fontId="1" fillId="0" borderId="12" xfId="0" applyNumberFormat="1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9" fontId="1" fillId="0" borderId="1" xfId="1" applyFont="1" applyBorder="1" applyAlignment="1">
      <alignment vertical="center"/>
    </xf>
    <xf numFmtId="9" fontId="1" fillId="0" borderId="1" xfId="1" applyFont="1" applyBorder="1" applyAlignment="1">
      <alignment horizontal="right" vertical="center"/>
    </xf>
    <xf numFmtId="0" fontId="1" fillId="0" borderId="18" xfId="3" applyFont="1" applyBorder="1" applyAlignment="1">
      <alignment horizontal="center" vertical="center"/>
    </xf>
    <xf numFmtId="0" fontId="1" fillId="0" borderId="13" xfId="3" applyFont="1" applyBorder="1" applyAlignment="1">
      <alignment horizontal="center" vertical="center"/>
    </xf>
    <xf numFmtId="0" fontId="1" fillId="0" borderId="25" xfId="3" applyFont="1" applyBorder="1" applyAlignment="1">
      <alignment horizontal="center" vertical="center"/>
    </xf>
    <xf numFmtId="0" fontId="1" fillId="0" borderId="30" xfId="3" applyFont="1" applyFill="1" applyBorder="1" applyAlignment="1">
      <alignment horizontal="center" vertical="center"/>
    </xf>
    <xf numFmtId="0" fontId="1" fillId="0" borderId="13" xfId="3" applyFont="1" applyFill="1" applyBorder="1" applyAlignment="1">
      <alignment horizontal="center" vertical="center"/>
    </xf>
    <xf numFmtId="0" fontId="1" fillId="0" borderId="25" xfId="3" applyFont="1" applyFill="1" applyBorder="1" applyAlignment="1">
      <alignment horizontal="center" vertical="center"/>
    </xf>
    <xf numFmtId="0" fontId="1" fillId="0" borderId="42" xfId="3" applyFont="1" applyBorder="1" applyAlignment="1">
      <alignment horizontal="center" vertical="center"/>
    </xf>
    <xf numFmtId="165" fontId="1" fillId="0" borderId="36" xfId="0" applyNumberFormat="1" applyFont="1" applyBorder="1" applyAlignment="1">
      <alignment horizontal="center" vertical="center"/>
    </xf>
    <xf numFmtId="165" fontId="1" fillId="10" borderId="36" xfId="0" applyNumberFormat="1" applyFont="1" applyFill="1" applyBorder="1" applyAlignment="1">
      <alignment horizontal="center" vertical="center"/>
    </xf>
    <xf numFmtId="10" fontId="16" fillId="0" borderId="9" xfId="4" applyNumberFormat="1" applyFont="1" applyFill="1" applyBorder="1" applyAlignment="1">
      <alignment vertical="center"/>
    </xf>
    <xf numFmtId="10" fontId="16" fillId="0" borderId="67" xfId="4" applyNumberFormat="1" applyFont="1" applyFill="1" applyBorder="1" applyAlignment="1">
      <alignment vertical="center"/>
    </xf>
    <xf numFmtId="10" fontId="16" fillId="0" borderId="77" xfId="4" applyNumberFormat="1" applyFont="1" applyFill="1" applyBorder="1" applyAlignment="1">
      <alignment vertical="center"/>
    </xf>
    <xf numFmtId="10" fontId="16" fillId="0" borderId="78" xfId="4" applyNumberFormat="1" applyFont="1" applyFill="1" applyBorder="1" applyAlignment="1">
      <alignment vertical="center"/>
    </xf>
    <xf numFmtId="167" fontId="1" fillId="0" borderId="51" xfId="5" applyNumberFormat="1" applyFont="1" applyBorder="1" applyAlignment="1">
      <alignment vertical="center"/>
    </xf>
    <xf numFmtId="167" fontId="1" fillId="0" borderId="52" xfId="5" applyNumberFormat="1" applyFont="1" applyBorder="1" applyAlignment="1">
      <alignment vertical="center"/>
    </xf>
    <xf numFmtId="167" fontId="1" fillId="0" borderId="53" xfId="5" applyNumberFormat="1" applyFont="1" applyBorder="1" applyAlignment="1">
      <alignment vertical="center"/>
    </xf>
    <xf numFmtId="167" fontId="1" fillId="0" borderId="37" xfId="5" applyNumberFormat="1" applyFont="1" applyBorder="1" applyAlignment="1">
      <alignment vertical="center"/>
    </xf>
    <xf numFmtId="167" fontId="1" fillId="0" borderId="38" xfId="5" applyNumberFormat="1" applyFont="1" applyBorder="1" applyAlignment="1">
      <alignment vertical="center"/>
    </xf>
    <xf numFmtId="167" fontId="1" fillId="0" borderId="40" xfId="5" applyNumberFormat="1" applyFont="1" applyBorder="1" applyAlignment="1">
      <alignment vertical="center"/>
    </xf>
    <xf numFmtId="167" fontId="1" fillId="0" borderId="25" xfId="5" applyNumberFormat="1" applyFont="1" applyBorder="1" applyAlignment="1">
      <alignment vertical="center"/>
    </xf>
    <xf numFmtId="167" fontId="1" fillId="0" borderId="41" xfId="5" applyNumberFormat="1" applyFont="1" applyBorder="1" applyAlignment="1">
      <alignment vertical="center"/>
    </xf>
    <xf numFmtId="0" fontId="1" fillId="0" borderId="1" xfId="3" applyFont="1" applyBorder="1" applyAlignment="1">
      <alignment horizontal="right" vertical="center"/>
    </xf>
    <xf numFmtId="10" fontId="16" fillId="0" borderId="18" xfId="3" applyNumberFormat="1" applyFont="1" applyFill="1" applyBorder="1" applyAlignment="1">
      <alignment horizontal="center" vertical="center"/>
    </xf>
    <xf numFmtId="10" fontId="16" fillId="0" borderId="13" xfId="4" applyNumberFormat="1" applyFont="1" applyFill="1" applyBorder="1" applyAlignment="1">
      <alignment horizontal="center" vertical="center"/>
    </xf>
    <xf numFmtId="10" fontId="16" fillId="0" borderId="1" xfId="4" applyNumberFormat="1" applyFont="1" applyFill="1" applyBorder="1" applyAlignment="1">
      <alignment horizontal="center" vertical="center"/>
    </xf>
    <xf numFmtId="10" fontId="16" fillId="0" borderId="25" xfId="4" applyNumberFormat="1" applyFont="1" applyFill="1" applyBorder="1" applyAlignment="1">
      <alignment horizontal="center" vertical="center"/>
    </xf>
    <xf numFmtId="10" fontId="16" fillId="0" borderId="30" xfId="4" applyNumberFormat="1" applyFont="1" applyFill="1" applyBorder="1" applyAlignment="1">
      <alignment horizontal="center" vertical="center"/>
    </xf>
    <xf numFmtId="10" fontId="16" fillId="0" borderId="42" xfId="4" applyNumberFormat="1" applyFont="1" applyFill="1" applyBorder="1" applyAlignment="1">
      <alignment horizontal="center" vertical="center"/>
    </xf>
    <xf numFmtId="10" fontId="16" fillId="0" borderId="76" xfId="3" applyNumberFormat="1" applyFont="1" applyFill="1" applyBorder="1" applyAlignment="1">
      <alignment vertical="center"/>
    </xf>
    <xf numFmtId="10" fontId="16" fillId="0" borderId="79" xfId="4" applyNumberFormat="1" applyFont="1" applyFill="1" applyBorder="1" applyAlignment="1">
      <alignment vertical="center"/>
    </xf>
    <xf numFmtId="10" fontId="1" fillId="0" borderId="1" xfId="1" applyNumberFormat="1" applyFont="1" applyBorder="1" applyAlignment="1">
      <alignment horizontal="center" vertical="center"/>
    </xf>
  </cellXfs>
  <cellStyles count="6">
    <cellStyle name="Normal" xfId="0" builtinId="0" customBuiltin="1"/>
    <cellStyle name="Normal 2" xfId="2"/>
    <cellStyle name="Normal 3" xfId="3"/>
    <cellStyle name="Normal 4" xfId="5"/>
    <cellStyle name="Percent" xfId="1" builtinId="5"/>
    <cellStyle name="Percent 2" xfId="4"/>
  </cellStyles>
  <dxfs count="7">
    <dxf>
      <fill>
        <patternFill>
          <bgColor rgb="FFDDDDDD"/>
        </patternFill>
      </fill>
    </dxf>
    <dxf>
      <fill>
        <patternFill>
          <bgColor rgb="FFDDDDDD"/>
        </patternFill>
      </fill>
    </dxf>
    <dxf>
      <fill>
        <patternFill>
          <bgColor theme="0" tint="-0.14996795556505021"/>
        </patternFill>
      </fill>
    </dxf>
    <dxf>
      <fill>
        <patternFill>
          <bgColor rgb="FFDDDDDD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7700D0"/>
      <color rgb="FF0000FF"/>
      <color rgb="FFAA72D4"/>
      <color rgb="FF008000"/>
      <color rgb="FFFFFFFF"/>
      <color rgb="FFFFD966"/>
      <color rgb="FFFF00FF"/>
      <color rgb="FF000000"/>
      <color rgb="FF660066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'Lugar 5 year distributions'!$AE$6</c:f>
              <c:strCache>
                <c:ptCount val="1"/>
                <c:pt idx="0">
                  <c:v>N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'Lugar 5 year distributions'!$AC$7:$AC$19</c:f>
              <c:numCache>
                <c:formatCode>General</c:formatCode>
                <c:ptCount val="13"/>
                <c:pt idx="0">
                  <c:v>0</c:v>
                </c:pt>
                <c:pt idx="1">
                  <c:v>0.1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</c:numCache>
            </c:numRef>
          </c:xVal>
          <c:yVal>
            <c:numRef>
              <c:f>'Lugar 5 year distributions'!$AG$7:$AG$19</c:f>
              <c:numCache>
                <c:formatCode>0%</c:formatCode>
                <c:ptCount val="13"/>
                <c:pt idx="0">
                  <c:v>1</c:v>
                </c:pt>
                <c:pt idx="1">
                  <c:v>0.95121951219512191</c:v>
                </c:pt>
                <c:pt idx="2">
                  <c:v>0.92682926829268297</c:v>
                </c:pt>
                <c:pt idx="3">
                  <c:v>0.6097560975609756</c:v>
                </c:pt>
                <c:pt idx="4">
                  <c:v>0.59756097560975607</c:v>
                </c:pt>
                <c:pt idx="5">
                  <c:v>0.31707317073170732</c:v>
                </c:pt>
                <c:pt idx="6">
                  <c:v>0.1951219512195122</c:v>
                </c:pt>
                <c:pt idx="7">
                  <c:v>0.12195121951219512</c:v>
                </c:pt>
                <c:pt idx="8">
                  <c:v>0.10975609756097561</c:v>
                </c:pt>
                <c:pt idx="9">
                  <c:v>4.878048780487805E-2</c:v>
                </c:pt>
                <c:pt idx="10">
                  <c:v>3.6585365853658534E-2</c:v>
                </c:pt>
                <c:pt idx="11">
                  <c:v>2.4390243902439025E-2</c:v>
                </c:pt>
                <c:pt idx="12">
                  <c:v>2.4390243902439025E-2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'Lugar 5 year distributions'!$AN$6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'Lugar 5 year distributions'!$AL$7:$AL$19</c:f>
              <c:numCache>
                <c:formatCode>General</c:formatCode>
                <c:ptCount val="13"/>
                <c:pt idx="0">
                  <c:v>0</c:v>
                </c:pt>
                <c:pt idx="1">
                  <c:v>0.1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31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</c:numCache>
            </c:numRef>
          </c:xVal>
          <c:yVal>
            <c:numRef>
              <c:f>'Lugar 5 year distributions'!$AP$7:$AP$19</c:f>
              <c:numCache>
                <c:formatCode>0.0%</c:formatCode>
                <c:ptCount val="13"/>
                <c:pt idx="0" formatCode="0%">
                  <c:v>1.0121951219512195</c:v>
                </c:pt>
                <c:pt idx="1">
                  <c:v>0.96341463414634143</c:v>
                </c:pt>
                <c:pt idx="2">
                  <c:v>0.65853658536585369</c:v>
                </c:pt>
                <c:pt idx="3">
                  <c:v>0.45121951219512196</c:v>
                </c:pt>
                <c:pt idx="4">
                  <c:v>0.29268292682926828</c:v>
                </c:pt>
                <c:pt idx="5">
                  <c:v>0.15853658536585366</c:v>
                </c:pt>
                <c:pt idx="6">
                  <c:v>0.15853658536585366</c:v>
                </c:pt>
                <c:pt idx="7">
                  <c:v>0.10975609756097561</c:v>
                </c:pt>
                <c:pt idx="8">
                  <c:v>6.097560975609756E-2</c:v>
                </c:pt>
                <c:pt idx="9">
                  <c:v>4.878048780487805E-2</c:v>
                </c:pt>
                <c:pt idx="10">
                  <c:v>4.878048780487805E-2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'Lugar 5 year distributions'!$AW$6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'Lugar 5 year distributions'!$AU$7:$AU$20</c:f>
              <c:numCache>
                <c:formatCode>General</c:formatCode>
                <c:ptCount val="14"/>
                <c:pt idx="0">
                  <c:v>0</c:v>
                </c:pt>
                <c:pt idx="1">
                  <c:v>0.1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31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xVal>
          <c:yVal>
            <c:numRef>
              <c:f>'Lugar 5 year distributions'!$AY$7:$AY$20</c:f>
              <c:numCache>
                <c:formatCode>0%</c:formatCode>
                <c:ptCount val="14"/>
                <c:pt idx="0">
                  <c:v>1</c:v>
                </c:pt>
                <c:pt idx="1">
                  <c:v>0.96385542168674698</c:v>
                </c:pt>
                <c:pt idx="2">
                  <c:v>0.6987951807228916</c:v>
                </c:pt>
                <c:pt idx="3">
                  <c:v>0.43373493975903615</c:v>
                </c:pt>
                <c:pt idx="4">
                  <c:v>0.25301204819277107</c:v>
                </c:pt>
                <c:pt idx="5">
                  <c:v>0.18072289156626506</c:v>
                </c:pt>
                <c:pt idx="6">
                  <c:v>0.16867469879518071</c:v>
                </c:pt>
                <c:pt idx="7">
                  <c:v>0.13253012048192772</c:v>
                </c:pt>
                <c:pt idx="8">
                  <c:v>4.8192771084337352E-2</c:v>
                </c:pt>
                <c:pt idx="9">
                  <c:v>3.614457831325301E-2</c:v>
                </c:pt>
                <c:pt idx="10">
                  <c:v>3.614457831325301E-2</c:v>
                </c:pt>
                <c:pt idx="11">
                  <c:v>2.4096385542168676E-2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'Lugar 5 year distributions'!$BF$6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'Lugar 5 year distributions'!$BD$7:$BD$19</c:f>
              <c:numCache>
                <c:formatCode>General</c:formatCode>
                <c:ptCount val="13"/>
                <c:pt idx="0">
                  <c:v>0</c:v>
                </c:pt>
                <c:pt idx="1">
                  <c:v>0.1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'Lugar 5 year distributions'!$BH$7:$BH$19</c:f>
              <c:numCache>
                <c:formatCode>0.0%</c:formatCode>
                <c:ptCount val="13"/>
                <c:pt idx="0" formatCode="0%">
                  <c:v>1</c:v>
                </c:pt>
                <c:pt idx="1">
                  <c:v>0.97590361445783136</c:v>
                </c:pt>
                <c:pt idx="2">
                  <c:v>0.81927710843373491</c:v>
                </c:pt>
                <c:pt idx="3">
                  <c:v>0.60240963855421692</c:v>
                </c:pt>
                <c:pt idx="4">
                  <c:v>0.46987951807228917</c:v>
                </c:pt>
                <c:pt idx="5">
                  <c:v>0.27710843373493976</c:v>
                </c:pt>
                <c:pt idx="6">
                  <c:v>0.2289156626506024</c:v>
                </c:pt>
                <c:pt idx="7">
                  <c:v>8.4337349397590355E-2</c:v>
                </c:pt>
                <c:pt idx="8">
                  <c:v>7.2289156626506021E-2</c:v>
                </c:pt>
                <c:pt idx="9">
                  <c:v>2.4096385542168676E-2</c:v>
                </c:pt>
                <c:pt idx="10">
                  <c:v>2.4096385542168676E-2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535904"/>
        <c:axId val="850536464"/>
      </c:scatterChart>
      <c:valAx>
        <c:axId val="850535904"/>
        <c:scaling>
          <c:logBase val="10"/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850536464"/>
        <c:crosses val="autoZero"/>
        <c:crossBetween val="midCat"/>
      </c:valAx>
      <c:valAx>
        <c:axId val="85053646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85053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w Cen MT" panose="020B06020201040206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'Lugar 10 year distributions'!$AE$6</c:f>
              <c:strCache>
                <c:ptCount val="1"/>
                <c:pt idx="0">
                  <c:v>N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'Lugar 10 year distributions'!$AC$7:$AC$19</c:f>
              <c:numCache>
                <c:formatCode>General</c:formatCode>
                <c:ptCount val="13"/>
                <c:pt idx="0">
                  <c:v>0</c:v>
                </c:pt>
                <c:pt idx="1">
                  <c:v>0.1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51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</c:numCache>
            </c:numRef>
          </c:xVal>
          <c:yVal>
            <c:numRef>
              <c:f>'Lugar 10 year distributions'!$AG$7:$AG$19</c:f>
              <c:numCache>
                <c:formatCode>0%</c:formatCode>
                <c:ptCount val="13"/>
                <c:pt idx="0">
                  <c:v>1</c:v>
                </c:pt>
                <c:pt idx="1">
                  <c:v>0.98734177215189878</c:v>
                </c:pt>
                <c:pt idx="2">
                  <c:v>0.759493670886076</c:v>
                </c:pt>
                <c:pt idx="3">
                  <c:v>0.55696202531645567</c:v>
                </c:pt>
                <c:pt idx="4">
                  <c:v>0.4050632911392405</c:v>
                </c:pt>
                <c:pt idx="5">
                  <c:v>0.30379746835443039</c:v>
                </c:pt>
                <c:pt idx="6">
                  <c:v>0.29113924050632911</c:v>
                </c:pt>
                <c:pt idx="7">
                  <c:v>0.13924050632911392</c:v>
                </c:pt>
                <c:pt idx="8">
                  <c:v>0.12658227848101267</c:v>
                </c:pt>
                <c:pt idx="9">
                  <c:v>0.11392405063291139</c:v>
                </c:pt>
                <c:pt idx="10">
                  <c:v>8.8607594936708861E-2</c:v>
                </c:pt>
                <c:pt idx="11">
                  <c:v>8.8607594936708861E-2</c:v>
                </c:pt>
                <c:pt idx="12">
                  <c:v>5.0632911392405063E-2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'Lugar 10 year distributions'!$AN$6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'Lugar 10 year distributions'!$AL$7:$AL$19</c:f>
              <c:numCache>
                <c:formatCode>General</c:formatCode>
                <c:ptCount val="13"/>
                <c:pt idx="0">
                  <c:v>0</c:v>
                </c:pt>
                <c:pt idx="1">
                  <c:v>0.1</c:v>
                </c:pt>
                <c:pt idx="2">
                  <c:v>6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</c:numCache>
            </c:numRef>
          </c:xVal>
          <c:yVal>
            <c:numRef>
              <c:f>'Lugar 10 year distributions'!$AP$7:$AP$19</c:f>
              <c:numCache>
                <c:formatCode>0%</c:formatCode>
                <c:ptCount val="13"/>
                <c:pt idx="0">
                  <c:v>1</c:v>
                </c:pt>
                <c:pt idx="1">
                  <c:v>0.96250000000000002</c:v>
                </c:pt>
                <c:pt idx="2">
                  <c:v>0.82499999999999996</c:v>
                </c:pt>
                <c:pt idx="3">
                  <c:v>0.78749999999999998</c:v>
                </c:pt>
                <c:pt idx="4">
                  <c:v>0.5625</c:v>
                </c:pt>
                <c:pt idx="5">
                  <c:v>0.46250000000000002</c:v>
                </c:pt>
                <c:pt idx="6">
                  <c:v>0.36249999999999999</c:v>
                </c:pt>
                <c:pt idx="7">
                  <c:v>0.3125</c:v>
                </c:pt>
                <c:pt idx="8">
                  <c:v>0.17499999999999999</c:v>
                </c:pt>
                <c:pt idx="9">
                  <c:v>0.1</c:v>
                </c:pt>
                <c:pt idx="10">
                  <c:v>0.1</c:v>
                </c:pt>
                <c:pt idx="11">
                  <c:v>0.05</c:v>
                </c:pt>
                <c:pt idx="12">
                  <c:v>3.7499999999999999E-2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'Lugar 10 year distributions'!$AW$6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'Lugar 10 year distributions'!$AU$7:$AU$20</c:f>
              <c:numCache>
                <c:formatCode>General</c:formatCode>
                <c:ptCount val="14"/>
                <c:pt idx="0">
                  <c:v>0</c:v>
                </c:pt>
                <c:pt idx="1">
                  <c:v>0.1</c:v>
                </c:pt>
                <c:pt idx="2">
                  <c:v>4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97</c:v>
                </c:pt>
                <c:pt idx="12">
                  <c:v>100</c:v>
                </c:pt>
              </c:numCache>
            </c:numRef>
          </c:xVal>
          <c:yVal>
            <c:numRef>
              <c:f>'Lugar 10 year distributions'!$AY$7:$AY$20</c:f>
              <c:numCache>
                <c:formatCode>0%</c:formatCode>
                <c:ptCount val="14"/>
                <c:pt idx="0">
                  <c:v>1</c:v>
                </c:pt>
                <c:pt idx="1">
                  <c:v>0.98734177215189878</c:v>
                </c:pt>
                <c:pt idx="2">
                  <c:v>0.96202531645569622</c:v>
                </c:pt>
                <c:pt idx="3">
                  <c:v>0.79746835443037978</c:v>
                </c:pt>
                <c:pt idx="4">
                  <c:v>0.620253164556962</c:v>
                </c:pt>
                <c:pt idx="5">
                  <c:v>0.45569620253164556</c:v>
                </c:pt>
                <c:pt idx="6">
                  <c:v>0.4050632911392405</c:v>
                </c:pt>
                <c:pt idx="7">
                  <c:v>0.31645569620253167</c:v>
                </c:pt>
                <c:pt idx="8">
                  <c:v>0.17721518987341772</c:v>
                </c:pt>
                <c:pt idx="9">
                  <c:v>0.13924050632911392</c:v>
                </c:pt>
                <c:pt idx="10">
                  <c:v>6.3291139240506333E-2</c:v>
                </c:pt>
                <c:pt idx="11">
                  <c:v>5.0632911392405063E-2</c:v>
                </c:pt>
                <c:pt idx="12">
                  <c:v>2.5316455696202531E-2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'Lugar 10 year distributions'!$BF$6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'Lugar 10 year distributions'!$BD$7:$BD$19</c:f>
              <c:numCache>
                <c:formatCode>General</c:formatCode>
                <c:ptCount val="13"/>
                <c:pt idx="0">
                  <c:v>0</c:v>
                </c:pt>
                <c:pt idx="1">
                  <c:v>0.1</c:v>
                </c:pt>
                <c:pt idx="2">
                  <c:v>4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</c:numCache>
            </c:numRef>
          </c:xVal>
          <c:yVal>
            <c:numRef>
              <c:f>'Lugar 10 year distributions'!$BH$7:$BH$19</c:f>
              <c:numCache>
                <c:formatCode>0%</c:formatCode>
                <c:ptCount val="13"/>
                <c:pt idx="0">
                  <c:v>1</c:v>
                </c:pt>
                <c:pt idx="1">
                  <c:v>0.97560975609756095</c:v>
                </c:pt>
                <c:pt idx="2">
                  <c:v>0.8902439024390244</c:v>
                </c:pt>
                <c:pt idx="3">
                  <c:v>0.86585365853658536</c:v>
                </c:pt>
                <c:pt idx="4">
                  <c:v>0.71951219512195119</c:v>
                </c:pt>
                <c:pt idx="5">
                  <c:v>0.59756097560975607</c:v>
                </c:pt>
                <c:pt idx="6">
                  <c:v>0.54878048780487809</c:v>
                </c:pt>
                <c:pt idx="7">
                  <c:v>0.48780487804878048</c:v>
                </c:pt>
                <c:pt idx="8">
                  <c:v>0.28048780487804881</c:v>
                </c:pt>
                <c:pt idx="9">
                  <c:v>0.15853658536585366</c:v>
                </c:pt>
                <c:pt idx="10">
                  <c:v>0.10975609756097561</c:v>
                </c:pt>
                <c:pt idx="11">
                  <c:v>6.097560975609756E-2</c:v>
                </c:pt>
                <c:pt idx="12">
                  <c:v>3.6585365853658534E-2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540944"/>
        <c:axId val="850541504"/>
      </c:scatterChart>
      <c:valAx>
        <c:axId val="850540944"/>
        <c:scaling>
          <c:logBase val="10"/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850541504"/>
        <c:crosses val="autoZero"/>
        <c:crossBetween val="midCat"/>
      </c:valAx>
      <c:valAx>
        <c:axId val="8505415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85054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w Cen MT" panose="020B06020201040206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'Numbers for report'!#REF!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'Numbers for report'!#REF!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'Numbers for report'!#REF!</c:f>
              <c:numCache>
                <c:formatCode>General</c:formatCode>
                <c:ptCount val="12"/>
                <c:pt idx="0">
                  <c:v>3.7499999999999999E-2</c:v>
                </c:pt>
                <c:pt idx="1">
                  <c:v>0.17499999999999999</c:v>
                </c:pt>
                <c:pt idx="2">
                  <c:v>0.22500000000000001</c:v>
                </c:pt>
                <c:pt idx="3">
                  <c:v>0.1</c:v>
                </c:pt>
                <c:pt idx="4">
                  <c:v>0.1</c:v>
                </c:pt>
                <c:pt idx="5">
                  <c:v>0.05</c:v>
                </c:pt>
                <c:pt idx="6">
                  <c:v>0.13750000000000001</c:v>
                </c:pt>
                <c:pt idx="7">
                  <c:v>7.4999999999999997E-2</c:v>
                </c:pt>
                <c:pt idx="8">
                  <c:v>0</c:v>
                </c:pt>
                <c:pt idx="9">
                  <c:v>0.05</c:v>
                </c:pt>
                <c:pt idx="10">
                  <c:v>1.2500000000000001E-2</c:v>
                </c:pt>
                <c:pt idx="11">
                  <c:v>3.7499999999999999E-2</c:v>
                </c:pt>
              </c:numCache>
            </c:numRef>
          </c:yVal>
          <c:smooth val="0"/>
        </c:ser>
        <c:ser>
          <c:idx val="1"/>
          <c:order val="1"/>
          <c:tx>
            <c:v>'Numbers for report'!#REF!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'Numbers for report'!#REF!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'Numbers for report'!#REF!</c:f>
              <c:numCache>
                <c:formatCode>General</c:formatCode>
                <c:ptCount val="12"/>
                <c:pt idx="0">
                  <c:v>1.2658227848101266E-2</c:v>
                </c:pt>
                <c:pt idx="1">
                  <c:v>0.189873417721519</c:v>
                </c:pt>
                <c:pt idx="2">
                  <c:v>0.17721518987341772</c:v>
                </c:pt>
                <c:pt idx="3">
                  <c:v>0.16455696202531644</c:v>
                </c:pt>
                <c:pt idx="4">
                  <c:v>5.0632911392405063E-2</c:v>
                </c:pt>
                <c:pt idx="5">
                  <c:v>8.8607594936708861E-2</c:v>
                </c:pt>
                <c:pt idx="6">
                  <c:v>0.13924050632911392</c:v>
                </c:pt>
                <c:pt idx="7">
                  <c:v>3.7974683544303799E-2</c:v>
                </c:pt>
                <c:pt idx="8">
                  <c:v>7.5949367088607597E-2</c:v>
                </c:pt>
                <c:pt idx="9">
                  <c:v>1.2658227848101266E-2</c:v>
                </c:pt>
                <c:pt idx="10">
                  <c:v>2.5316455696202531E-2</c:v>
                </c:pt>
                <c:pt idx="11">
                  <c:v>2.5316455696202531E-2</c:v>
                </c:pt>
              </c:numCache>
            </c:numRef>
          </c:yVal>
          <c:smooth val="0"/>
        </c:ser>
        <c:ser>
          <c:idx val="2"/>
          <c:order val="2"/>
          <c:tx>
            <c:v>'Numbers for report'!#REF!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'Numbers for report'!#REF!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'Numbers for report'!#REF!</c:f>
              <c:numCache>
                <c:formatCode>General</c:formatCode>
                <c:ptCount val="12"/>
                <c:pt idx="0">
                  <c:v>2.5974025974025976E-2</c:v>
                </c:pt>
                <c:pt idx="1">
                  <c:v>0.11688311688311688</c:v>
                </c:pt>
                <c:pt idx="2">
                  <c:v>0.15584415584415584</c:v>
                </c:pt>
                <c:pt idx="3">
                  <c:v>0.12987012987012986</c:v>
                </c:pt>
                <c:pt idx="4">
                  <c:v>5.1948051948051951E-2</c:v>
                </c:pt>
                <c:pt idx="5">
                  <c:v>6.4935064935064929E-2</c:v>
                </c:pt>
                <c:pt idx="6">
                  <c:v>0.15584415584415584</c:v>
                </c:pt>
                <c:pt idx="7">
                  <c:v>0.12987012987012986</c:v>
                </c:pt>
                <c:pt idx="8">
                  <c:v>5.1948051948051951E-2</c:v>
                </c:pt>
                <c:pt idx="9">
                  <c:v>5.1948051948051951E-2</c:v>
                </c:pt>
                <c:pt idx="10">
                  <c:v>2.5974025974025976E-2</c:v>
                </c:pt>
                <c:pt idx="11">
                  <c:v>3.896103896103896E-2</c:v>
                </c:pt>
              </c:numCache>
            </c:numRef>
          </c:yVal>
          <c:smooth val="0"/>
        </c:ser>
        <c:ser>
          <c:idx val="3"/>
          <c:order val="3"/>
          <c:tx>
            <c:v>'Numbers for report'!#REF!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'Numbers for report'!#REF!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'Numbers for report'!#REF!</c:f>
              <c:numCache>
                <c:formatCode>General</c:formatCode>
                <c:ptCount val="12"/>
                <c:pt idx="0">
                  <c:v>1.2658227848101266E-2</c:v>
                </c:pt>
                <c:pt idx="1">
                  <c:v>0.22784810126582278</c:v>
                </c:pt>
                <c:pt idx="2">
                  <c:v>0.20253164556962025</c:v>
                </c:pt>
                <c:pt idx="3">
                  <c:v>0.15189873417721519</c:v>
                </c:pt>
                <c:pt idx="4">
                  <c:v>0.10126582278481013</c:v>
                </c:pt>
                <c:pt idx="5">
                  <c:v>1.2658227848101266E-2</c:v>
                </c:pt>
                <c:pt idx="6">
                  <c:v>0.16455696202531644</c:v>
                </c:pt>
                <c:pt idx="7">
                  <c:v>1.2658227848101266E-2</c:v>
                </c:pt>
                <c:pt idx="8">
                  <c:v>2.5316455696202531E-2</c:v>
                </c:pt>
                <c:pt idx="9">
                  <c:v>0</c:v>
                </c:pt>
                <c:pt idx="10">
                  <c:v>3.7974683544303799E-2</c:v>
                </c:pt>
                <c:pt idx="11">
                  <c:v>5.0632911392405063E-2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545984"/>
        <c:axId val="900572288"/>
      </c:scatterChart>
      <c:valAx>
        <c:axId val="8505459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00572288"/>
        <c:crosses val="autoZero"/>
        <c:crossBetween val="midCat"/>
      </c:valAx>
      <c:valAx>
        <c:axId val="9005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5054598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all" spc="0" baseline="0">
                <a:solidFill>
                  <a:srgbClr val="000000"/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r>
              <a:rPr lang="en-US" sz="1200"/>
              <a:t>Probability of $100b+ event compared with overall relative large scale attack risk over time, Terrorism Risk Insurance Program budget estimates, President's Budget 2008-20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Relative risk of large scale attack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'Net - President''s estimate'!$V$24:$V$37</c:f>
              <c:numCache>
                <c:formatCode>General</c:formatCode>
                <c:ptCount val="1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</c:numCache>
            </c:numRef>
          </c:xVal>
          <c:yVal>
            <c:numRef>
              <c:f>'Net - President''s estimate'!$AH$24:$AH$37</c:f>
              <c:numCache>
                <c:formatCode>0.000</c:formatCode>
                <c:ptCount val="14"/>
                <c:pt idx="0">
                  <c:v>1.0336318949270435</c:v>
                </c:pt>
                <c:pt idx="1">
                  <c:v>1</c:v>
                </c:pt>
                <c:pt idx="2">
                  <c:v>0.40291826147778276</c:v>
                </c:pt>
                <c:pt idx="3">
                  <c:v>0.39814742854922386</c:v>
                </c:pt>
                <c:pt idx="4">
                  <c:v>0.4161825564903146</c:v>
                </c:pt>
                <c:pt idx="5">
                  <c:v>0.42796634867590205</c:v>
                </c:pt>
                <c:pt idx="6">
                  <c:v>0.4783364743826381</c:v>
                </c:pt>
                <c:pt idx="7">
                  <c:v>0.42977558037056962</c:v>
                </c:pt>
                <c:pt idx="8">
                  <c:v>0.48205064590741964</c:v>
                </c:pt>
                <c:pt idx="9">
                  <c:v>0.28739265964253768</c:v>
                </c:pt>
                <c:pt idx="10">
                  <c:v>0.2672978716740198</c:v>
                </c:pt>
                <c:pt idx="11">
                  <c:v>0.20130637572017859</c:v>
                </c:pt>
                <c:pt idx="12">
                  <c:v>0.19197705363272458</c:v>
                </c:pt>
                <c:pt idx="13">
                  <c:v>0.17268484348278296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575088"/>
        <c:axId val="900575648"/>
      </c:scatterChart>
      <c:valAx>
        <c:axId val="900575088"/>
        <c:scaling>
          <c:orientation val="minMax"/>
          <c:max val="2021"/>
          <c:min val="2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w Cen MT"/>
                <a:ea typeface="Tw Cen MT"/>
                <a:cs typeface="Tw Cen MT"/>
              </a:defRPr>
            </a:pPr>
            <a:endParaRPr lang="en-US"/>
          </a:p>
        </c:txPr>
        <c:crossAx val="900575648"/>
        <c:crosses val="autoZero"/>
        <c:crossBetween val="midCat"/>
        <c:majorUnit val="3"/>
      </c:valAx>
      <c:valAx>
        <c:axId val="900575648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rgbClr val="000000"/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900575088"/>
        <c:crosses val="autoZero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b"/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all" baseline="0">
              <a:solidFill>
                <a:srgbClr val="000000"/>
              </a:solidFill>
              <a:latin typeface="Tw Cen MT" panose="020B06020201040206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cap="all" baseline="0">
          <a:solidFill>
            <a:srgbClr val="000000"/>
          </a:solidFill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cap="all" spc="0" baseline="0">
                <a:solidFill>
                  <a:srgbClr val="000000"/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r>
              <a:rPr lang="en-US" sz="1100"/>
              <a:t>Upper</a:t>
            </a:r>
            <a:r>
              <a:rPr lang="en-US" sz="1100" baseline="0"/>
              <a:t> limit on annual </a:t>
            </a:r>
            <a:r>
              <a:rPr lang="en-US" sz="1100"/>
              <a:t>Probability of a $100b+ event from President's Budget 2008-21, projections for terrorism risk insurance program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in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'Net - President''s estimate'!$V$24:$V$37</c:f>
              <c:numCache>
                <c:formatCode>General</c:formatCode>
                <c:ptCount val="1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</c:numCache>
            </c:numRef>
          </c:xVal>
          <c:yVal>
            <c:numRef>
              <c:f>'Net - President''s estimate'!$AF$24:$AF$37</c:f>
              <c:numCache>
                <c:formatCode>0.00%</c:formatCode>
                <c:ptCount val="14"/>
                <c:pt idx="0" formatCode="0.0%">
                  <c:v>1.2981744421906694E-2</c:v>
                </c:pt>
                <c:pt idx="1">
                  <c:v>1.2559349692690142E-2</c:v>
                </c:pt>
                <c:pt idx="2">
                  <c:v>5.0603913434702375E-3</c:v>
                </c:pt>
                <c:pt idx="3">
                  <c:v>5.0004727843950651E-3</c:v>
                </c:pt>
                <c:pt idx="4">
                  <c:v>5.2269822629596304E-3</c:v>
                </c:pt>
                <c:pt idx="5">
                  <c:v>5.3749790297244124E-3</c:v>
                </c:pt>
                <c:pt idx="6">
                  <c:v>6.0075950525400722E-3</c:v>
                </c:pt>
                <c:pt idx="7">
                  <c:v>5.3977018032528414E-3</c:v>
                </c:pt>
                <c:pt idx="8">
                  <c:v>6.0542426315384357E-3</c:v>
                </c:pt>
                <c:pt idx="9" formatCode="0.000%">
                  <c:v>3.6094649115629087E-3</c:v>
                </c:pt>
                <c:pt idx="10" formatCode="0.000%">
                  <c:v>3.35708744246583E-3</c:v>
                </c:pt>
                <c:pt idx="11" formatCode="0.000%">
                  <c:v>2.5282771680377914E-3</c:v>
                </c:pt>
                <c:pt idx="12" formatCode="0.000%">
                  <c:v>2.4111069495457182E-3</c:v>
                </c:pt>
                <c:pt idx="13" formatCode="0.000%">
                  <c:v>2.1688093359277356E-3</c:v>
                </c:pt>
              </c:numCache>
            </c:numRef>
          </c:yVal>
          <c:smooth val="0"/>
        </c:ser>
        <c:ser>
          <c:idx val="1"/>
          <c:order val="1"/>
          <c:tx>
            <c:v>Presumed (presumed flat through period)</c:v>
          </c:tx>
          <c:spPr>
            <a:ln w="19050" cap="rnd" cmpd="sng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'Net - President''s estimate'!$H$24:$H$37</c:f>
              <c:numCache>
                <c:formatCode>General</c:formatCode>
                <c:ptCount val="14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</c:numCache>
            </c:numRef>
          </c:xVal>
          <c:yVal>
            <c:numRef>
              <c:f>'Net - President''s estimate'!$AG$24:$AG$37</c:f>
              <c:numCache>
                <c:formatCode>0.00%</c:formatCode>
                <c:ptCount val="14"/>
                <c:pt idx="0" formatCode="0.0%">
                  <c:v>1.2981744421906694E-2</c:v>
                </c:pt>
                <c:pt idx="1">
                  <c:v>1.2559349692690142E-2</c:v>
                </c:pt>
                <c:pt idx="2">
                  <c:v>6.0542426315384357E-3</c:v>
                </c:pt>
                <c:pt idx="3">
                  <c:v>6.0542426315384357E-3</c:v>
                </c:pt>
                <c:pt idx="4">
                  <c:v>6.0542426315384357E-3</c:v>
                </c:pt>
                <c:pt idx="5">
                  <c:v>6.0542426315384357E-3</c:v>
                </c:pt>
                <c:pt idx="6">
                  <c:v>6.0542426315384357E-3</c:v>
                </c:pt>
                <c:pt idx="7">
                  <c:v>6.0542426315384357E-3</c:v>
                </c:pt>
                <c:pt idx="8">
                  <c:v>6.0542426315384357E-3</c:v>
                </c:pt>
                <c:pt idx="9" formatCode="0.000%">
                  <c:v>3.6094649115629087E-3</c:v>
                </c:pt>
                <c:pt idx="10" formatCode="0.000%">
                  <c:v>3.35708744246583E-3</c:v>
                </c:pt>
                <c:pt idx="11" formatCode="0.000%">
                  <c:v>2.5282771680377914E-3</c:v>
                </c:pt>
                <c:pt idx="12" formatCode="0.000%">
                  <c:v>2.4111069495457182E-3</c:v>
                </c:pt>
                <c:pt idx="13" formatCode="0.000%">
                  <c:v>2.1688093359277356E-3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578448"/>
        <c:axId val="900579008"/>
      </c:scatterChart>
      <c:valAx>
        <c:axId val="900578448"/>
        <c:scaling>
          <c:orientation val="minMax"/>
          <c:max val="2021"/>
          <c:min val="200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w Cen MT"/>
                <a:ea typeface="Tw Cen MT"/>
                <a:cs typeface="Tw Cen MT"/>
              </a:defRPr>
            </a:pPr>
            <a:endParaRPr lang="en-US"/>
          </a:p>
        </c:txPr>
        <c:crossAx val="900579008"/>
        <c:crosses val="autoZero"/>
        <c:crossBetween val="midCat"/>
        <c:majorUnit val="3"/>
      </c:valAx>
      <c:valAx>
        <c:axId val="900579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rgbClr val="000000"/>
                </a:solidFill>
                <a:latin typeface="Tw Cen MT" panose="020B0602020104020603" pitchFamily="34" charset="0"/>
                <a:ea typeface="+mn-ea"/>
                <a:cs typeface="+mn-cs"/>
              </a:defRPr>
            </a:pPr>
            <a:endParaRPr lang="en-US"/>
          </a:p>
        </c:txPr>
        <c:crossAx val="900578448"/>
        <c:crosses val="autoZero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b"/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all" baseline="0">
              <a:solidFill>
                <a:srgbClr val="000000"/>
              </a:solidFill>
              <a:latin typeface="Tw Cen MT" panose="020B06020201040206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cap="all" baseline="0">
          <a:solidFill>
            <a:srgbClr val="000000"/>
          </a:solidFill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419100</xdr:colOff>
      <xdr:row>0</xdr:row>
      <xdr:rowOff>35107</xdr:rowOff>
    </xdr:from>
    <xdr:to>
      <xdr:col>72</xdr:col>
      <xdr:colOff>550333</xdr:colOff>
      <xdr:row>26</xdr:row>
      <xdr:rowOff>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419100</xdr:colOff>
      <xdr:row>0</xdr:row>
      <xdr:rowOff>35107</xdr:rowOff>
    </xdr:from>
    <xdr:to>
      <xdr:col>73</xdr:col>
      <xdr:colOff>359833</xdr:colOff>
      <xdr:row>24</xdr:row>
      <xdr:rowOff>116418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11</xdr:col>
      <xdr:colOff>0</xdr:colOff>
      <xdr:row>8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53</xdr:row>
      <xdr:rowOff>114300</xdr:rowOff>
    </xdr:from>
    <xdr:to>
      <xdr:col>0</xdr:col>
      <xdr:colOff>3467100</xdr:colOff>
      <xdr:row>103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323850</xdr:colOff>
      <xdr:row>0</xdr:row>
      <xdr:rowOff>28575</xdr:rowOff>
    </xdr:from>
    <xdr:to>
      <xdr:col>0</xdr:col>
      <xdr:colOff>3390900</xdr:colOff>
      <xdr:row>52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wo column Times Roman 9">
  <a:themeElements>
    <a:clrScheme name="Bright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FF"/>
      </a:accent1>
      <a:accent2>
        <a:srgbClr val="7030A0"/>
      </a:accent2>
      <a:accent3>
        <a:srgbClr val="FF0000"/>
      </a:accent3>
      <a:accent4>
        <a:srgbClr val="FFC000"/>
      </a:accent4>
      <a:accent5>
        <a:srgbClr val="79810D"/>
      </a:accent5>
      <a:accent6>
        <a:srgbClr val="009900"/>
      </a:accent6>
      <a:hlink>
        <a:srgbClr val="0000FF"/>
      </a:hlink>
      <a:folHlink>
        <a:srgbClr val="800080"/>
      </a:folHlink>
    </a:clrScheme>
    <a:fontScheme name="Times New Roman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700D0"/>
  </sheetPr>
  <dimension ref="A1:AG98"/>
  <sheetViews>
    <sheetView tabSelected="1" workbookViewId="0">
      <selection activeCell="A67" sqref="A67"/>
    </sheetView>
  </sheetViews>
  <sheetFormatPr defaultColWidth="7.85546875" defaultRowHeight="10.5" x14ac:dyDescent="0.25"/>
  <cols>
    <col min="1" max="14" width="7.85546875" style="537"/>
    <col min="15" max="28" width="6.28515625" style="537" customWidth="1"/>
    <col min="29" max="16384" width="7.85546875" style="537"/>
  </cols>
  <sheetData>
    <row r="1" spans="1:33" x14ac:dyDescent="0.25">
      <c r="A1" s="549"/>
      <c r="B1" s="549"/>
      <c r="C1" s="549"/>
      <c r="D1" s="549"/>
      <c r="E1" s="549"/>
      <c r="F1" s="549"/>
      <c r="G1" s="549" t="s">
        <v>295</v>
      </c>
      <c r="H1" s="549"/>
      <c r="I1" s="549"/>
      <c r="J1" s="549"/>
      <c r="K1" s="549"/>
      <c r="L1" s="549"/>
      <c r="N1" s="537" t="s">
        <v>297</v>
      </c>
      <c r="AF1" s="549"/>
      <c r="AG1" s="549"/>
    </row>
    <row r="2" spans="1:33" x14ac:dyDescent="0.25">
      <c r="A2" s="575" t="s">
        <v>284</v>
      </c>
      <c r="B2" s="560" t="s">
        <v>0</v>
      </c>
      <c r="C2" s="561" t="s">
        <v>1</v>
      </c>
      <c r="D2" s="562" t="s">
        <v>2</v>
      </c>
      <c r="E2" s="548" t="s">
        <v>3</v>
      </c>
      <c r="F2" s="549"/>
      <c r="AF2" s="549"/>
      <c r="AG2" s="549"/>
    </row>
    <row r="3" spans="1:33" x14ac:dyDescent="0.25">
      <c r="A3" s="576">
        <v>0.05</v>
      </c>
      <c r="B3" s="608">
        <f t="array" ref="B3">PERCENTILE($O$27:$AB$44,$A3)</f>
        <v>8.7423171886472258E-4</v>
      </c>
      <c r="C3" s="608">
        <f t="array" ref="C3">PERCENTILE($O$49:$AB$66,$A3)</f>
        <v>1.3043182386079217E-3</v>
      </c>
      <c r="D3" s="608">
        <f t="array" ref="D3">PERCENTILE($O$71:$AB$88,$A3)</f>
        <v>1.2398885383576544E-3</v>
      </c>
      <c r="E3" s="608">
        <f t="array" ref="E3">PERCENTILE($O$5:$AB$22,$A3)</f>
        <v>5.432316567126036E-4</v>
      </c>
      <c r="F3" s="549"/>
      <c r="G3" s="549"/>
      <c r="H3" s="549"/>
      <c r="I3" s="557" t="s">
        <v>289</v>
      </c>
      <c r="J3" s="557" t="s">
        <v>289</v>
      </c>
      <c r="K3" s="557" t="s">
        <v>289</v>
      </c>
      <c r="L3" s="557" t="s">
        <v>289</v>
      </c>
      <c r="M3" s="549"/>
      <c r="N3" s="599" t="s">
        <v>94</v>
      </c>
      <c r="O3" s="539">
        <v>2008</v>
      </c>
      <c r="P3" s="540">
        <v>2009</v>
      </c>
      <c r="Q3" s="538">
        <v>2010</v>
      </c>
      <c r="R3" s="538">
        <v>2011</v>
      </c>
      <c r="S3" s="538">
        <v>2012</v>
      </c>
      <c r="T3" s="538">
        <v>2013</v>
      </c>
      <c r="U3" s="541">
        <v>2014</v>
      </c>
      <c r="V3" s="540">
        <v>2015</v>
      </c>
      <c r="W3" s="542">
        <v>2016</v>
      </c>
      <c r="X3" s="543">
        <v>2017</v>
      </c>
      <c r="Y3" s="544">
        <v>2018</v>
      </c>
      <c r="Z3" s="545">
        <v>2019</v>
      </c>
      <c r="AA3" s="546">
        <v>2020</v>
      </c>
      <c r="AB3" s="540">
        <v>2021</v>
      </c>
      <c r="AC3" s="549"/>
      <c r="AD3" s="549"/>
      <c r="AE3" s="549"/>
      <c r="AF3" s="549"/>
      <c r="AG3" s="549"/>
    </row>
    <row r="4" spans="1:33" ht="11.25" thickBot="1" x14ac:dyDescent="0.3">
      <c r="A4" s="576">
        <f>A3+0.05</f>
        <v>0.1</v>
      </c>
      <c r="B4" s="608">
        <f t="array" ref="B4">PERCENTILE($O$27:$AB$44,$A4)</f>
        <v>1.2616687208499104E-3</v>
      </c>
      <c r="C4" s="608">
        <f t="array" ref="C4">PERCENTILE($O$49:$AB$66,$A4)</f>
        <v>1.8725123039532059E-3</v>
      </c>
      <c r="D4" s="608">
        <f t="array" ref="D4">PERCENTILE($O$71:$AB$88,$A4)</f>
        <v>2.5348076354929274E-3</v>
      </c>
      <c r="E4" s="608">
        <f t="array" ref="E4">PERCENTILE($O$5:$AB$22,$A4)</f>
        <v>8.2052561098797908E-4</v>
      </c>
      <c r="F4" s="549"/>
      <c r="G4" s="558" t="s">
        <v>32</v>
      </c>
      <c r="H4" s="559" t="s">
        <v>284</v>
      </c>
      <c r="I4" s="560" t="s">
        <v>0</v>
      </c>
      <c r="J4" s="561" t="s">
        <v>1</v>
      </c>
      <c r="K4" s="562" t="s">
        <v>2</v>
      </c>
      <c r="L4" s="548" t="s">
        <v>3</v>
      </c>
      <c r="M4" s="549"/>
      <c r="N4" s="548" t="s">
        <v>3</v>
      </c>
      <c r="O4" s="606">
        <v>1.2981744421906694E-2</v>
      </c>
      <c r="P4" s="587">
        <v>1.2559349692690142E-2</v>
      </c>
      <c r="Q4" s="588">
        <v>5.0603913434702375E-3</v>
      </c>
      <c r="R4" s="588">
        <v>5.0004727843950651E-3</v>
      </c>
      <c r="S4" s="588">
        <v>5.2269822629596304E-3</v>
      </c>
      <c r="T4" s="588">
        <v>5.3749790297244124E-3</v>
      </c>
      <c r="U4" s="589">
        <v>6.0075950525400722E-3</v>
      </c>
      <c r="V4" s="587">
        <v>5.3977018032528414E-3</v>
      </c>
      <c r="W4" s="590">
        <v>6.0542426315384357E-3</v>
      </c>
      <c r="X4" s="587">
        <v>3.6094649115629087E-3</v>
      </c>
      <c r="Y4" s="588">
        <v>3.35708744246583E-3</v>
      </c>
      <c r="Z4" s="589">
        <v>2.5282771680377914E-3</v>
      </c>
      <c r="AA4" s="607">
        <v>2.4111069495457182E-3</v>
      </c>
      <c r="AB4" s="587">
        <v>2.1688093359277356E-3</v>
      </c>
      <c r="AC4" s="549"/>
      <c r="AD4" s="549"/>
      <c r="AE4" s="549"/>
      <c r="AF4" s="549"/>
      <c r="AG4" s="549"/>
    </row>
    <row r="5" spans="1:33" x14ac:dyDescent="0.25">
      <c r="A5" s="576">
        <f t="shared" ref="A5:A21" si="0">A4+0.05</f>
        <v>0.15000000000000002</v>
      </c>
      <c r="B5" s="608">
        <f t="array" ref="B5">PERCENTILE($O$27:$AB$44,$A5)</f>
        <v>1.9963554389041561E-3</v>
      </c>
      <c r="C5" s="608">
        <f t="array" ref="C5">PERCENTILE($O$49:$AB$66,$A5)</f>
        <v>2.2666065980002392E-3</v>
      </c>
      <c r="D5" s="608">
        <f t="array" ref="D5">PERCENTILE($O$71:$AB$88,$A5)</f>
        <v>3.2776920214222793E-3</v>
      </c>
      <c r="E5" s="608">
        <f t="array" ref="E5">PERCENTILE($O$5:$AB$22,$A5)</f>
        <v>1.0851398178766387E-3</v>
      </c>
      <c r="F5" s="549"/>
      <c r="G5" s="563">
        <v>5</v>
      </c>
      <c r="H5" s="564">
        <v>0.1</v>
      </c>
      <c r="I5" s="550">
        <v>0.21497679291941987</v>
      </c>
      <c r="J5" s="550">
        <v>0.2470133203369474</v>
      </c>
      <c r="K5" s="565">
        <v>0.48103714643160306</v>
      </c>
      <c r="L5" s="550">
        <v>0.10544059255519897</v>
      </c>
      <c r="M5" s="549"/>
      <c r="N5" s="585">
        <v>0.10544059255519897</v>
      </c>
      <c r="O5" s="591">
        <f>$N5*O$4</f>
        <v>1.3688028242459906E-3</v>
      </c>
      <c r="P5" s="592">
        <f t="shared" ref="P5:AB20" si="1">$N5*P$4</f>
        <v>1.3242652737052046E-3</v>
      </c>
      <c r="Q5" s="592">
        <f t="shared" si="1"/>
        <v>5.3357066181670119E-4</v>
      </c>
      <c r="R5" s="592">
        <f t="shared" si="1"/>
        <v>5.2725281344276136E-4</v>
      </c>
      <c r="S5" s="592">
        <f t="shared" si="1"/>
        <v>5.511361070819783E-4</v>
      </c>
      <c r="T5" s="592">
        <f t="shared" si="1"/>
        <v>5.6674097386591048E-4</v>
      </c>
      <c r="U5" s="592">
        <f t="shared" si="1"/>
        <v>6.3344438217150694E-4</v>
      </c>
      <c r="V5" s="592">
        <f t="shared" si="1"/>
        <v>5.6913687657124564E-4</v>
      </c>
      <c r="W5" s="592">
        <f t="shared" si="1"/>
        <v>6.3836293054235981E-4</v>
      </c>
      <c r="X5" s="592">
        <f t="shared" si="1"/>
        <v>3.8058411908239195E-4</v>
      </c>
      <c r="Y5" s="592">
        <f t="shared" si="1"/>
        <v>3.5397328919321456E-4</v>
      </c>
      <c r="Z5" s="592">
        <f t="shared" si="1"/>
        <v>2.6658304274168506E-4</v>
      </c>
      <c r="AA5" s="592">
        <f t="shared" si="1"/>
        <v>2.5422854547405878E-4</v>
      </c>
      <c r="AB5" s="593">
        <f t="shared" si="1"/>
        <v>2.2868054151946801E-4</v>
      </c>
      <c r="AC5" s="549"/>
      <c r="AD5" s="549"/>
      <c r="AE5" s="549"/>
      <c r="AF5" s="549"/>
      <c r="AG5" s="549"/>
    </row>
    <row r="6" spans="1:33" x14ac:dyDescent="0.25">
      <c r="A6" s="576">
        <f t="shared" si="0"/>
        <v>0.2</v>
      </c>
      <c r="B6" s="608">
        <f t="array" ref="B6">PERCENTILE($O$27:$AB$44,$A6)</f>
        <v>2.6545746244418769E-3</v>
      </c>
      <c r="C6" s="608">
        <f t="array" ref="C6">PERCENTILE($O$49:$AB$66,$A6)</f>
        <v>3.0593552427366139E-3</v>
      </c>
      <c r="D6" s="608">
        <f t="array" ref="D6">PERCENTILE($O$71:$AB$88,$A6)</f>
        <v>4.2591983945951418E-3</v>
      </c>
      <c r="E6" s="608">
        <f t="array" ref="E6">PERCENTILE($O$5:$AB$22,$A6)</f>
        <v>1.4571578967216023E-3</v>
      </c>
      <c r="F6" s="549"/>
      <c r="G6" s="566">
        <v>5</v>
      </c>
      <c r="H6" s="567">
        <v>0.2</v>
      </c>
      <c r="I6" s="551">
        <v>0.52966360438481275</v>
      </c>
      <c r="J6" s="551">
        <v>0.60692181512263088</v>
      </c>
      <c r="K6" s="568">
        <v>1.0383220909407014</v>
      </c>
      <c r="L6" s="551">
        <v>0.20353771034879481</v>
      </c>
      <c r="M6" s="549"/>
      <c r="N6" s="585">
        <v>0.18070312349355305</v>
      </c>
      <c r="O6" s="594">
        <f t="shared" ref="O6:AB22" si="2">$N6*O$4</f>
        <v>2.3458417654335486E-3</v>
      </c>
      <c r="P6" s="553">
        <f t="shared" si="1"/>
        <v>2.2695137185169043E-3</v>
      </c>
      <c r="Q6" s="553">
        <f t="shared" si="1"/>
        <v>9.1442852186480919E-4</v>
      </c>
      <c r="R6" s="553">
        <f t="shared" si="1"/>
        <v>9.0360105108469254E-4</v>
      </c>
      <c r="S6" s="553">
        <f t="shared" si="1"/>
        <v>9.445320213622055E-4</v>
      </c>
      <c r="T6" s="553">
        <f t="shared" si="1"/>
        <v>9.7127549938354847E-4</v>
      </c>
      <c r="U6" s="553">
        <f t="shared" si="1"/>
        <v>1.085591190678407E-3</v>
      </c>
      <c r="V6" s="553">
        <f t="shared" si="1"/>
        <v>9.7538157553457225E-4</v>
      </c>
      <c r="W6" s="553">
        <f t="shared" si="1"/>
        <v>1.0940205539068236E-3</v>
      </c>
      <c r="X6" s="553">
        <f t="shared" si="1"/>
        <v>6.5224158365979879E-4</v>
      </c>
      <c r="Y6" s="553">
        <f t="shared" si="1"/>
        <v>6.0663618669455903E-4</v>
      </c>
      <c r="Z6" s="553">
        <f t="shared" si="1"/>
        <v>4.568675813218636E-4</v>
      </c>
      <c r="AA6" s="553">
        <f t="shared" si="1"/>
        <v>4.3569455685992393E-4</v>
      </c>
      <c r="AB6" s="595">
        <f t="shared" si="1"/>
        <v>3.9191062126412037E-4</v>
      </c>
      <c r="AC6" s="549"/>
      <c r="AD6" s="549"/>
      <c r="AE6" s="549"/>
      <c r="AF6" s="549"/>
      <c r="AG6" s="549"/>
    </row>
    <row r="7" spans="1:33" x14ac:dyDescent="0.25">
      <c r="A7" s="576">
        <f t="shared" si="0"/>
        <v>0.25</v>
      </c>
      <c r="B7" s="608">
        <f t="array" ref="B7">PERCENTILE($O$27:$AB$44,$A7)</f>
        <v>3.0028051296416159E-3</v>
      </c>
      <c r="C7" s="608">
        <f t="array" ref="C7">PERCENTILE($O$49:$AB$66,$A7)</f>
        <v>3.4215329035148399E-3</v>
      </c>
      <c r="D7" s="608">
        <f t="array" ref="D7">PERCENTILE($O$71:$AB$88,$A7)</f>
        <v>5.2777283200167464E-3</v>
      </c>
      <c r="E7" s="608">
        <f t="array" ref="E7">PERCENTILE($O$5:$AB$22,$A7)</f>
        <v>1.8699127661475001E-3</v>
      </c>
      <c r="F7" s="549"/>
      <c r="G7" s="566">
        <v>5</v>
      </c>
      <c r="H7" s="567">
        <v>0.3</v>
      </c>
      <c r="I7" s="551">
        <v>0.83429603213770664</v>
      </c>
      <c r="J7" s="551">
        <v>0.95363567136860561</v>
      </c>
      <c r="K7" s="568">
        <v>1.4450652271075553</v>
      </c>
      <c r="L7" s="551">
        <v>0.30040506852646498</v>
      </c>
      <c r="M7" s="549"/>
      <c r="N7" s="585">
        <v>0.20353771034879481</v>
      </c>
      <c r="O7" s="594">
        <f t="shared" si="2"/>
        <v>2.6422745359681271E-3</v>
      </c>
      <c r="P7" s="553">
        <f t="shared" si="1"/>
        <v>2.5563012799199912E-3</v>
      </c>
      <c r="Q7" s="553">
        <f t="shared" si="1"/>
        <v>1.0299804675187939E-3</v>
      </c>
      <c r="R7" s="553">
        <f t="shared" si="1"/>
        <v>1.0177847811972342E-3</v>
      </c>
      <c r="S7" s="553">
        <f t="shared" si="1"/>
        <v>1.0638880018365652E-3</v>
      </c>
      <c r="T7" s="553">
        <f t="shared" si="1"/>
        <v>1.0940109248828937E-3</v>
      </c>
      <c r="U7" s="553">
        <f t="shared" si="1"/>
        <v>1.2227721416967539E-3</v>
      </c>
      <c r="V7" s="553">
        <f t="shared" si="1"/>
        <v>1.0986358661796442E-3</v>
      </c>
      <c r="W7" s="553">
        <f t="shared" si="1"/>
        <v>1.2322666831193953E-3</v>
      </c>
      <c r="X7" s="553">
        <f t="shared" si="1"/>
        <v>7.3466222368382956E-4</v>
      </c>
      <c r="Y7" s="553">
        <f t="shared" si="1"/>
        <v>6.832938914801864E-4</v>
      </c>
      <c r="Z7" s="553">
        <f t="shared" si="1"/>
        <v>5.1459974590954715E-4</v>
      </c>
      <c r="AA7" s="553">
        <f t="shared" si="1"/>
        <v>4.9075118791660263E-4</v>
      </c>
      <c r="AB7" s="595">
        <f t="shared" si="1"/>
        <v>4.4143448641782148E-4</v>
      </c>
      <c r="AC7" s="549"/>
      <c r="AD7" s="549"/>
      <c r="AE7" s="549"/>
      <c r="AF7" s="549"/>
      <c r="AG7" s="549"/>
    </row>
    <row r="8" spans="1:33" x14ac:dyDescent="0.25">
      <c r="A8" s="576">
        <f t="shared" si="0"/>
        <v>0.3</v>
      </c>
      <c r="B8" s="608">
        <f t="array" ref="B8">PERCENTILE($O$27:$AB$44,$A8)</f>
        <v>3.9296995845546001E-3</v>
      </c>
      <c r="C8" s="608">
        <f t="array" ref="C8">PERCENTILE($O$49:$AB$66,$A8)</f>
        <v>4.3171415599339595E-3</v>
      </c>
      <c r="D8" s="608">
        <f t="array" ref="D8">PERCENTILE($O$71:$AB$88,$A8)</f>
        <v>6.0467565408962405E-3</v>
      </c>
      <c r="E8" s="608">
        <f t="array" ref="E8">PERCENTILE($O$5:$AB$22,$A8)</f>
        <v>2.2760997045001416E-3</v>
      </c>
      <c r="F8" s="549"/>
      <c r="G8" s="566">
        <v>5</v>
      </c>
      <c r="H8" s="567">
        <v>0.4</v>
      </c>
      <c r="I8" s="551">
        <v>1.2112619520927839</v>
      </c>
      <c r="J8" s="551">
        <v>1.290909270186344</v>
      </c>
      <c r="K8" s="568">
        <v>1.839296469736835</v>
      </c>
      <c r="L8" s="551">
        <v>0.68257590676416213</v>
      </c>
      <c r="M8" s="549"/>
      <c r="N8" s="585">
        <v>0.30040506852646498</v>
      </c>
      <c r="O8" s="594">
        <f t="shared" si="2"/>
        <v>3.8997818226559349E-3</v>
      </c>
      <c r="P8" s="553">
        <f t="shared" si="1"/>
        <v>3.7728923050804192E-3</v>
      </c>
      <c r="Q8" s="553">
        <f t="shared" si="1"/>
        <v>1.5201672083059068E-3</v>
      </c>
      <c r="R8" s="553">
        <f t="shared" si="1"/>
        <v>1.5021673694609226E-3</v>
      </c>
      <c r="S8" s="553">
        <f t="shared" si="1"/>
        <v>1.5702119648910047E-3</v>
      </c>
      <c r="T8" s="553">
        <f t="shared" si="1"/>
        <v>1.6146709437526744E-3</v>
      </c>
      <c r="U8" s="553">
        <f t="shared" si="1"/>
        <v>1.8047120034375523E-3</v>
      </c>
      <c r="V8" s="553">
        <f t="shared" si="1"/>
        <v>1.6214969800915934E-3</v>
      </c>
      <c r="W8" s="553">
        <f t="shared" si="1"/>
        <v>1.8187251726031494E-3</v>
      </c>
      <c r="X8" s="553">
        <f t="shared" si="1"/>
        <v>1.0843015541019264E-3</v>
      </c>
      <c r="Y8" s="553">
        <f t="shared" si="1"/>
        <v>1.0084860832032826E-3</v>
      </c>
      <c r="Z8" s="553">
        <f t="shared" si="1"/>
        <v>7.595072759182895E-4</v>
      </c>
      <c r="AA8" s="553">
        <f t="shared" si="1"/>
        <v>7.2430874840291744E-4</v>
      </c>
      <c r="AB8" s="595">
        <f t="shared" si="1"/>
        <v>6.5152131718020838E-4</v>
      </c>
      <c r="AC8" s="549"/>
      <c r="AD8" s="549"/>
      <c r="AE8" s="549"/>
      <c r="AF8" s="549"/>
      <c r="AG8" s="549"/>
    </row>
    <row r="9" spans="1:33" x14ac:dyDescent="0.25">
      <c r="A9" s="576">
        <f t="shared" si="0"/>
        <v>0.35</v>
      </c>
      <c r="B9" s="608">
        <f t="array" ref="B9">PERCENTILE($O$27:$AB$44,$A9)</f>
        <v>4.4718174217299195E-3</v>
      </c>
      <c r="C9" s="608">
        <f t="array" ref="C9">PERCENTILE($O$49:$AB$66,$A9)</f>
        <v>4.8242614239466016E-3</v>
      </c>
      <c r="D9" s="608">
        <f t="array" ref="D9">PERCENTILE($O$71:$AB$88,$A9)</f>
        <v>6.4399699099050361E-3</v>
      </c>
      <c r="E9" s="608">
        <f t="array" ref="E9">PERCENTILE($O$5:$AB$22,$A9)</f>
        <v>2.780056151494798E-3</v>
      </c>
      <c r="F9" s="549"/>
      <c r="G9" s="566">
        <v>5</v>
      </c>
      <c r="H9" s="569">
        <v>0.5</v>
      </c>
      <c r="I9" s="570">
        <v>1.6281504428482245</v>
      </c>
      <c r="J9" s="570">
        <v>1.61573537283993</v>
      </c>
      <c r="K9" s="571">
        <v>2.4370664119188827</v>
      </c>
      <c r="L9" s="570">
        <v>1</v>
      </c>
      <c r="M9" s="549"/>
      <c r="N9" s="585">
        <v>0.37415001492773198</v>
      </c>
      <c r="O9" s="594">
        <f t="shared" si="2"/>
        <v>4.8571198692443909E-3</v>
      </c>
      <c r="P9" s="553">
        <f t="shared" si="1"/>
        <v>4.6990808750026229E-3</v>
      </c>
      <c r="Q9" s="553">
        <f t="shared" si="1"/>
        <v>1.893345496699555E-3</v>
      </c>
      <c r="R9" s="553">
        <f t="shared" si="1"/>
        <v>1.870926966927131E-3</v>
      </c>
      <c r="S9" s="553">
        <f t="shared" si="1"/>
        <v>1.9556754917133359E-3</v>
      </c>
      <c r="T9" s="553">
        <f t="shared" si="1"/>
        <v>2.0110484842076354E-3</v>
      </c>
      <c r="U9" s="553">
        <f t="shared" si="1"/>
        <v>2.2477417785876368E-3</v>
      </c>
      <c r="V9" s="553">
        <f t="shared" si="1"/>
        <v>2.0195502102624964E-3</v>
      </c>
      <c r="W9" s="553">
        <f t="shared" si="1"/>
        <v>2.265194970966217E-3</v>
      </c>
      <c r="X9" s="553">
        <f t="shared" si="1"/>
        <v>1.3504813505423869E-3</v>
      </c>
      <c r="Y9" s="553">
        <f t="shared" si="1"/>
        <v>1.2560543167122917E-3</v>
      </c>
      <c r="Z9" s="553">
        <f t="shared" si="1"/>
        <v>9.4595494016278361E-4</v>
      </c>
      <c r="AA9" s="553">
        <f t="shared" si="1"/>
        <v>9.0211570116488873E-4</v>
      </c>
      <c r="AB9" s="595">
        <f t="shared" si="1"/>
        <v>8.1146004541276671E-4</v>
      </c>
      <c r="AC9" s="549"/>
      <c r="AD9" s="549"/>
      <c r="AE9" s="549"/>
      <c r="AF9" s="549"/>
      <c r="AG9" s="549"/>
    </row>
    <row r="10" spans="1:33" x14ac:dyDescent="0.25">
      <c r="A10" s="576">
        <f t="shared" si="0"/>
        <v>0.39999999999999997</v>
      </c>
      <c r="B10" s="608">
        <f t="array" ref="B10">PERCENTILE($O$27:$AB$44,$A10)</f>
        <v>5.1307156363138446E-3</v>
      </c>
      <c r="C10" s="608">
        <f t="array" ref="C10">PERCENTILE($O$49:$AB$66,$A10)</f>
        <v>5.546121734801168E-3</v>
      </c>
      <c r="D10" s="608">
        <f t="array" ref="D10">PERCENTILE($O$71:$AB$88,$A10)</f>
        <v>7.449147101055438E-3</v>
      </c>
      <c r="E10" s="608">
        <f t="array" ref="E10">PERCENTILE($O$5:$AB$22,$A10)</f>
        <v>3.3795333635026881E-3</v>
      </c>
      <c r="F10" s="549"/>
      <c r="G10" s="566">
        <v>5</v>
      </c>
      <c r="H10" s="567">
        <v>0.6</v>
      </c>
      <c r="I10" s="551">
        <v>2.0862850949081966</v>
      </c>
      <c r="J10" s="551">
        <v>1.9767126203867478</v>
      </c>
      <c r="K10" s="568">
        <v>2.8738856667095392</v>
      </c>
      <c r="L10" s="551">
        <v>1.242737589609928</v>
      </c>
      <c r="M10" s="549"/>
      <c r="N10" s="585">
        <v>0.57404826475613102</v>
      </c>
      <c r="O10" s="594">
        <f t="shared" si="2"/>
        <v>7.4521478589031206E-3</v>
      </c>
      <c r="P10" s="553">
        <f t="shared" si="1"/>
        <v>7.209672897554224E-3</v>
      </c>
      <c r="Q10" s="553">
        <f t="shared" si="1"/>
        <v>2.9049088697060367E-3</v>
      </c>
      <c r="R10" s="553">
        <f t="shared" si="1"/>
        <v>2.8705127248422461E-3</v>
      </c>
      <c r="S10" s="553">
        <f t="shared" si="1"/>
        <v>3.0005400979630508E-3</v>
      </c>
      <c r="T10" s="553">
        <f t="shared" si="1"/>
        <v>3.0854973851138917E-3</v>
      </c>
      <c r="U10" s="553">
        <f t="shared" si="1"/>
        <v>3.4486495152681461E-3</v>
      </c>
      <c r="V10" s="553">
        <f t="shared" si="1"/>
        <v>3.0985413538283327E-3</v>
      </c>
      <c r="W10" s="553">
        <f t="shared" si="1"/>
        <v>3.4754274770472313E-3</v>
      </c>
      <c r="X10" s="553">
        <f t="shared" si="1"/>
        <v>2.0720070691808297E-3</v>
      </c>
      <c r="Y10" s="553">
        <f t="shared" si="1"/>
        <v>1.9271302209821076E-3</v>
      </c>
      <c r="Z10" s="553">
        <f t="shared" si="1"/>
        <v>1.4513531211346393E-3</v>
      </c>
      <c r="AA10" s="553">
        <f t="shared" si="1"/>
        <v>1.3840917605281678E-3</v>
      </c>
      <c r="AB10" s="595">
        <f t="shared" si="1"/>
        <v>1.2450012358762134E-3</v>
      </c>
      <c r="AC10" s="549"/>
      <c r="AD10" s="549"/>
      <c r="AE10" s="549"/>
      <c r="AF10" s="549"/>
      <c r="AG10" s="549"/>
    </row>
    <row r="11" spans="1:33" x14ac:dyDescent="0.25">
      <c r="A11" s="576">
        <f t="shared" si="0"/>
        <v>0.44999999999999996</v>
      </c>
      <c r="B11" s="608">
        <f t="array" ref="B11">PERCENTILE($O$27:$AB$44,$A11)</f>
        <v>6.0543009236402696E-3</v>
      </c>
      <c r="C11" s="608">
        <f t="array" ref="C11">PERCENTILE($O$49:$AB$66,$A11)</f>
        <v>6.1682145598131012E-3</v>
      </c>
      <c r="D11" s="608">
        <f t="array" ref="D11">PERCENTILE($O$71:$AB$88,$A11)</f>
        <v>8.3120487834599972E-3</v>
      </c>
      <c r="E11" s="608">
        <f t="array" ref="E11">PERCENTILE($O$5:$AB$22,$A11)</f>
        <v>3.8583066976386779E-3</v>
      </c>
      <c r="F11" s="549"/>
      <c r="G11" s="566">
        <v>5</v>
      </c>
      <c r="H11" s="567">
        <v>0.7</v>
      </c>
      <c r="I11" s="551">
        <v>2.5739645734020375</v>
      </c>
      <c r="J11" s="551">
        <v>2.4120640191898044</v>
      </c>
      <c r="K11" s="568">
        <v>3.2373733391298392</v>
      </c>
      <c r="L11" s="551">
        <v>1.5278396849906257</v>
      </c>
      <c r="M11" s="549"/>
      <c r="N11" s="585">
        <v>0.68257590676416213</v>
      </c>
      <c r="O11" s="594">
        <f t="shared" si="2"/>
        <v>8.8610259701635656E-3</v>
      </c>
      <c r="P11" s="553">
        <f t="shared" si="1"/>
        <v>8.5727095048561755E-3</v>
      </c>
      <c r="Q11" s="553">
        <f t="shared" si="1"/>
        <v>3.4541012098507138E-3</v>
      </c>
      <c r="R11" s="553">
        <f t="shared" si="1"/>
        <v>3.4132022450579762E-3</v>
      </c>
      <c r="S11" s="553">
        <f t="shared" si="1"/>
        <v>3.5678121577798617E-3</v>
      </c>
      <c r="T11" s="553">
        <f t="shared" si="1"/>
        <v>3.6688311850524972E-3</v>
      </c>
      <c r="U11" s="553">
        <f t="shared" si="1"/>
        <v>4.1006396404594343E-3</v>
      </c>
      <c r="V11" s="553">
        <f t="shared" si="1"/>
        <v>3.6843412027978612E-3</v>
      </c>
      <c r="W11" s="553">
        <f t="shared" si="1"/>
        <v>4.1324801539925947E-3</v>
      </c>
      <c r="X11" s="553">
        <f t="shared" si="1"/>
        <v>2.4637337849434788E-3</v>
      </c>
      <c r="Y11" s="553">
        <f t="shared" si="1"/>
        <v>2.2914670051276957E-3</v>
      </c>
      <c r="Z11" s="553">
        <f t="shared" si="1"/>
        <v>1.7257410805245233E-3</v>
      </c>
      <c r="AA11" s="553">
        <f t="shared" si="1"/>
        <v>1.6457635123915415E-3</v>
      </c>
      <c r="AB11" s="595">
        <f t="shared" si="1"/>
        <v>1.4803769990694544E-3</v>
      </c>
      <c r="AC11" s="549"/>
      <c r="AD11" s="549"/>
      <c r="AE11" s="549"/>
      <c r="AF11" s="549"/>
      <c r="AG11" s="549"/>
    </row>
    <row r="12" spans="1:33" x14ac:dyDescent="0.25">
      <c r="A12" s="576">
        <f t="shared" si="0"/>
        <v>0.49999999999999994</v>
      </c>
      <c r="B12" s="608">
        <f t="array" ref="B12">PERCENTILE($O$27:$AB$44,$A12)</f>
        <v>6.5242692075122722E-3</v>
      </c>
      <c r="C12" s="608">
        <f t="array" ref="C12">PERCENTILE($O$49:$AB$66,$A12)</f>
        <v>6.9184553766767735E-3</v>
      </c>
      <c r="D12" s="608">
        <f t="array" ref="D12">PERCENTILE($O$71:$AB$88,$A12)</f>
        <v>9.3365669170859446E-3</v>
      </c>
      <c r="E12" s="608">
        <f t="array" ref="E12">PERCENTILE($O$5:$AB$22,$A12)</f>
        <v>4.179533979398675E-3</v>
      </c>
      <c r="F12" s="549"/>
      <c r="G12" s="566">
        <v>5</v>
      </c>
      <c r="H12" s="567">
        <v>0.8</v>
      </c>
      <c r="I12" s="551">
        <v>2.6597900199300133</v>
      </c>
      <c r="J12" s="551">
        <v>2.6629306151569549</v>
      </c>
      <c r="K12" s="568">
        <v>4.0808230714498244</v>
      </c>
      <c r="L12" s="551">
        <v>2.0319151506224</v>
      </c>
      <c r="M12" s="549"/>
      <c r="N12" s="585">
        <v>0.77427928452545347</v>
      </c>
      <c r="O12" s="594">
        <f t="shared" si="2"/>
        <v>1.0051495782886211E-2</v>
      </c>
      <c r="P12" s="553">
        <f t="shared" si="1"/>
        <v>9.724444294161097E-3</v>
      </c>
      <c r="Q12" s="553">
        <f t="shared" si="1"/>
        <v>3.9181561888409341E-3</v>
      </c>
      <c r="R12" s="553">
        <f t="shared" si="1"/>
        <v>3.871762489790413E-3</v>
      </c>
      <c r="S12" s="553">
        <f t="shared" si="1"/>
        <v>4.0471440867916181E-3</v>
      </c>
      <c r="T12" s="553">
        <f t="shared" si="1"/>
        <v>4.1617349174743338E-3</v>
      </c>
      <c r="U12" s="553">
        <f t="shared" si="1"/>
        <v>4.6515563989993815E-3</v>
      </c>
      <c r="V12" s="553">
        <f t="shared" si="1"/>
        <v>4.1793286903043601E-3</v>
      </c>
      <c r="W12" s="553">
        <f t="shared" si="1"/>
        <v>4.6876746530910788E-3</v>
      </c>
      <c r="X12" s="553">
        <f t="shared" si="1"/>
        <v>2.7947339092446581E-3</v>
      </c>
      <c r="Y12" s="553">
        <f t="shared" si="1"/>
        <v>2.5993232630418272E-3</v>
      </c>
      <c r="Z12" s="553">
        <f t="shared" si="1"/>
        <v>1.957592636750341E-3</v>
      </c>
      <c r="AA12" s="553">
        <f t="shared" si="1"/>
        <v>1.8668701638086074E-3</v>
      </c>
      <c r="AB12" s="595">
        <f t="shared" si="1"/>
        <v>1.6792641408942509E-3</v>
      </c>
      <c r="AC12" s="549"/>
      <c r="AD12" s="549"/>
      <c r="AE12" s="549"/>
      <c r="AF12" s="549"/>
      <c r="AG12" s="549"/>
    </row>
    <row r="13" spans="1:33" x14ac:dyDescent="0.25">
      <c r="A13" s="576">
        <f t="shared" si="0"/>
        <v>0.54999999999999993</v>
      </c>
      <c r="B13" s="608">
        <f t="array" ref="B13">PERCENTILE($O$27:$AB$44,$A13)</f>
        <v>7.3390734005525518E-3</v>
      </c>
      <c r="C13" s="608">
        <f t="array" ref="C13">PERCENTILE($O$49:$AB$66,$A13)</f>
        <v>7.7119933485510469E-3</v>
      </c>
      <c r="D13" s="608">
        <f t="array" ref="D13">PERCENTILE($O$71:$AB$88,$A13)</f>
        <v>1.0519436631762011E-2</v>
      </c>
      <c r="E13" s="608">
        <f t="array" ref="E13">PERCENTILE($O$5:$AB$22,$A13)</f>
        <v>5.0034687123488228E-3</v>
      </c>
      <c r="F13" s="549"/>
      <c r="G13" s="572">
        <v>5</v>
      </c>
      <c r="H13" s="573">
        <v>0.9</v>
      </c>
      <c r="I13" s="552">
        <v>4.0808230714498244</v>
      </c>
      <c r="J13" s="552">
        <v>4.1909173128465795</v>
      </c>
      <c r="K13" s="574">
        <v>4.4806848066537661</v>
      </c>
      <c r="L13" s="552">
        <v>3.1967912318290552</v>
      </c>
      <c r="M13" s="549"/>
      <c r="N13" s="586">
        <v>1</v>
      </c>
      <c r="O13" s="594">
        <f t="shared" si="2"/>
        <v>1.2981744421906694E-2</v>
      </c>
      <c r="P13" s="553">
        <f t="shared" si="1"/>
        <v>1.2559349692690142E-2</v>
      </c>
      <c r="Q13" s="553">
        <f t="shared" si="1"/>
        <v>5.0603913434702375E-3</v>
      </c>
      <c r="R13" s="553">
        <f t="shared" si="1"/>
        <v>5.0004727843950651E-3</v>
      </c>
      <c r="S13" s="553">
        <f t="shared" si="1"/>
        <v>5.2269822629596304E-3</v>
      </c>
      <c r="T13" s="553">
        <f t="shared" si="1"/>
        <v>5.3749790297244124E-3</v>
      </c>
      <c r="U13" s="553">
        <f t="shared" si="1"/>
        <v>6.0075950525400722E-3</v>
      </c>
      <c r="V13" s="553">
        <f t="shared" si="1"/>
        <v>5.3977018032528414E-3</v>
      </c>
      <c r="W13" s="553">
        <f t="shared" si="1"/>
        <v>6.0542426315384357E-3</v>
      </c>
      <c r="X13" s="553">
        <f t="shared" si="1"/>
        <v>3.6094649115629087E-3</v>
      </c>
      <c r="Y13" s="553">
        <f t="shared" si="1"/>
        <v>3.35708744246583E-3</v>
      </c>
      <c r="Z13" s="553">
        <f t="shared" si="1"/>
        <v>2.5282771680377914E-3</v>
      </c>
      <c r="AA13" s="553">
        <f t="shared" si="1"/>
        <v>2.4111069495457182E-3</v>
      </c>
      <c r="AB13" s="595">
        <f t="shared" si="1"/>
        <v>2.1688093359277356E-3</v>
      </c>
      <c r="AC13" s="549"/>
      <c r="AD13" s="549"/>
      <c r="AE13" s="549"/>
      <c r="AF13" s="549"/>
      <c r="AG13" s="549"/>
    </row>
    <row r="14" spans="1:33" x14ac:dyDescent="0.25">
      <c r="A14" s="576">
        <f t="shared" si="0"/>
        <v>0.6</v>
      </c>
      <c r="B14" s="608">
        <f t="array" ref="B14">PERCENTILE($O$27:$AB$44,$A14)</f>
        <v>8.6430240038333685E-3</v>
      </c>
      <c r="C14" s="608">
        <f t="array" ref="C14">PERCENTILE($O$49:$AB$66,$A14)</f>
        <v>8.6826566599260482E-3</v>
      </c>
      <c r="D14" s="608">
        <f t="array" ref="D14">PERCENTILE($O$71:$AB$88,$A14)</f>
        <v>1.2161629561612241E-2</v>
      </c>
      <c r="E14" s="608">
        <f t="array" ref="E14">PERCENTILE($O$5:$AB$22,$A14)</f>
        <v>5.5358288610403931E-3</v>
      </c>
      <c r="F14" s="549"/>
      <c r="G14" s="563">
        <v>10</v>
      </c>
      <c r="H14" s="564">
        <v>0.1</v>
      </c>
      <c r="I14" s="550">
        <v>0.16468897084293688</v>
      </c>
      <c r="J14" s="550">
        <v>0.36434905877026119</v>
      </c>
      <c r="K14" s="565">
        <v>0.20961365703518389</v>
      </c>
      <c r="L14" s="550">
        <v>0.18070312349355305</v>
      </c>
      <c r="M14" s="549"/>
      <c r="N14" s="586">
        <v>1</v>
      </c>
      <c r="O14" s="594">
        <f t="shared" si="2"/>
        <v>1.2981744421906694E-2</v>
      </c>
      <c r="P14" s="553">
        <f t="shared" si="1"/>
        <v>1.2559349692690142E-2</v>
      </c>
      <c r="Q14" s="553">
        <f t="shared" si="1"/>
        <v>5.0603913434702375E-3</v>
      </c>
      <c r="R14" s="553">
        <f t="shared" si="1"/>
        <v>5.0004727843950651E-3</v>
      </c>
      <c r="S14" s="553">
        <f t="shared" si="1"/>
        <v>5.2269822629596304E-3</v>
      </c>
      <c r="T14" s="553">
        <f t="shared" si="1"/>
        <v>5.3749790297244124E-3</v>
      </c>
      <c r="U14" s="553">
        <f t="shared" si="1"/>
        <v>6.0075950525400722E-3</v>
      </c>
      <c r="V14" s="553">
        <f t="shared" si="1"/>
        <v>5.3977018032528414E-3</v>
      </c>
      <c r="W14" s="553">
        <f t="shared" si="1"/>
        <v>6.0542426315384357E-3</v>
      </c>
      <c r="X14" s="553">
        <f t="shared" si="1"/>
        <v>3.6094649115629087E-3</v>
      </c>
      <c r="Y14" s="553">
        <f t="shared" si="1"/>
        <v>3.35708744246583E-3</v>
      </c>
      <c r="Z14" s="553">
        <f t="shared" si="1"/>
        <v>2.5282771680377914E-3</v>
      </c>
      <c r="AA14" s="553">
        <f t="shared" si="1"/>
        <v>2.4111069495457182E-3</v>
      </c>
      <c r="AB14" s="595">
        <f t="shared" si="1"/>
        <v>2.1688093359277356E-3</v>
      </c>
      <c r="AC14" s="549"/>
      <c r="AD14" s="549"/>
      <c r="AE14" s="549"/>
      <c r="AF14" s="549"/>
      <c r="AG14" s="549"/>
    </row>
    <row r="15" spans="1:33" x14ac:dyDescent="0.25">
      <c r="A15" s="576">
        <f t="shared" si="0"/>
        <v>0.65</v>
      </c>
      <c r="B15" s="608">
        <f t="array" ref="B15">PERCENTILE($O$27:$AB$44,$A15)</f>
        <v>9.7772791058506805E-3</v>
      </c>
      <c r="C15" s="608">
        <f t="array" ref="C15">PERCENTILE($O$49:$AB$66,$A15)</f>
        <v>1.0004117801481898E-2</v>
      </c>
      <c r="D15" s="608">
        <f t="array" ref="D15">PERCENTILE($O$71:$AB$88,$A15)</f>
        <v>1.3483404755298769E-2</v>
      </c>
      <c r="E15" s="608">
        <f t="array" ref="E15">PERCENTILE($O$5:$AB$22,$A15)</f>
        <v>6.3620155381311711E-3</v>
      </c>
      <c r="F15" s="549"/>
      <c r="G15" s="566">
        <v>10</v>
      </c>
      <c r="H15" s="567">
        <v>0.2</v>
      </c>
      <c r="I15" s="551">
        <v>0.49834601269194517</v>
      </c>
      <c r="J15" s="551">
        <v>0.56623701900805956</v>
      </c>
      <c r="K15" s="568">
        <v>0.8102601092272026</v>
      </c>
      <c r="L15" s="551">
        <v>0.37415001492773198</v>
      </c>
      <c r="M15" s="549"/>
      <c r="N15" s="585">
        <v>1.242737589609928</v>
      </c>
      <c r="O15" s="594">
        <f t="shared" si="2"/>
        <v>1.6132901771812452E-2</v>
      </c>
      <c r="P15" s="553">
        <f t="shared" si="1"/>
        <v>1.5607975964161937E-2</v>
      </c>
      <c r="Q15" s="553">
        <f t="shared" si="1"/>
        <v>6.2887385406671485E-3</v>
      </c>
      <c r="R15" s="553">
        <f t="shared" si="1"/>
        <v>6.2142754949891686E-3</v>
      </c>
      <c r="S15" s="553">
        <f t="shared" si="1"/>
        <v>6.495767338404298E-3</v>
      </c>
      <c r="T15" s="553">
        <f t="shared" si="1"/>
        <v>6.6796884836036255E-3</v>
      </c>
      <c r="U15" s="553">
        <f t="shared" si="1"/>
        <v>7.4658641949461781E-3</v>
      </c>
      <c r="V15" s="553">
        <f t="shared" si="1"/>
        <v>6.7079269284075977E-3</v>
      </c>
      <c r="W15" s="553">
        <f t="shared" si="1"/>
        <v>7.5238348948317426E-3</v>
      </c>
      <c r="X15" s="553">
        <f t="shared" si="1"/>
        <v>4.4856177239773008E-3</v>
      </c>
      <c r="Y15" s="553">
        <f t="shared" si="1"/>
        <v>4.1719787563597429E-3</v>
      </c>
      <c r="Z15" s="553">
        <f t="shared" si="1"/>
        <v>3.1419850736730997E-3</v>
      </c>
      <c r="AA15" s="553">
        <f t="shared" si="1"/>
        <v>2.9963732387701921E-3</v>
      </c>
      <c r="AB15" s="595">
        <f t="shared" si="1"/>
        <v>2.6952608864543428E-3</v>
      </c>
      <c r="AC15" s="549"/>
      <c r="AD15" s="549"/>
      <c r="AE15" s="549"/>
      <c r="AF15" s="549"/>
      <c r="AG15" s="549"/>
    </row>
    <row r="16" spans="1:33" x14ac:dyDescent="0.25">
      <c r="A16" s="576">
        <f t="shared" si="0"/>
        <v>0.70000000000000007</v>
      </c>
      <c r="B16" s="608">
        <f t="array" ref="B16">PERCENTILE($O$27:$AB$44,$A16)</f>
        <v>1.0947378562167334E-2</v>
      </c>
      <c r="C16" s="608">
        <f t="array" ref="C16">PERCENTILE($O$49:$AB$66,$A16)</f>
        <v>1.1080105808249804E-2</v>
      </c>
      <c r="D16" s="608">
        <f t="array" ref="D16">PERCENTILE($O$71:$AB$88,$A16)</f>
        <v>1.4627342370412714E-2</v>
      </c>
      <c r="E16" s="608">
        <f t="array" ref="E16">PERCENTILE($O$5:$AB$22,$A16)</f>
        <v>7.4617492941332613E-3</v>
      </c>
      <c r="F16" s="549"/>
      <c r="G16" s="566">
        <v>10</v>
      </c>
      <c r="H16" s="567">
        <v>0.3</v>
      </c>
      <c r="I16" s="551">
        <v>0.77843004027701268</v>
      </c>
      <c r="J16" s="551">
        <v>0.86192791874103203</v>
      </c>
      <c r="K16" s="568">
        <v>1.1661550573838497</v>
      </c>
      <c r="L16" s="551">
        <v>0.57404826475613102</v>
      </c>
      <c r="M16" s="549"/>
      <c r="N16" s="585">
        <v>1.2434851446997464</v>
      </c>
      <c r="O16" s="594">
        <f t="shared" si="2"/>
        <v>1.6142606340929771E-2</v>
      </c>
      <c r="P16" s="553">
        <f t="shared" si="1"/>
        <v>1.5617364769949517E-2</v>
      </c>
      <c r="Q16" s="553">
        <f t="shared" si="1"/>
        <v>6.2925214619724322E-3</v>
      </c>
      <c r="R16" s="553">
        <f t="shared" si="1"/>
        <v>6.2180136238706414E-3</v>
      </c>
      <c r="S16" s="553">
        <f t="shared" si="1"/>
        <v>6.4996747955993637E-3</v>
      </c>
      <c r="T16" s="553">
        <f t="shared" si="1"/>
        <v>6.6837065765349632E-3</v>
      </c>
      <c r="U16" s="553">
        <f t="shared" si="1"/>
        <v>7.4703552032052718E-3</v>
      </c>
      <c r="V16" s="553">
        <f t="shared" si="1"/>
        <v>6.7119620078639414E-3</v>
      </c>
      <c r="W16" s="553">
        <f t="shared" si="1"/>
        <v>7.5283607747259453E-3</v>
      </c>
      <c r="X16" s="553">
        <f t="shared" si="1"/>
        <v>4.4883159978434603E-3</v>
      </c>
      <c r="Y16" s="553">
        <f t="shared" si="1"/>
        <v>4.1744883641643242E-3</v>
      </c>
      <c r="Z16" s="553">
        <f t="shared" si="1"/>
        <v>3.1438751001385381E-3</v>
      </c>
      <c r="AA16" s="553">
        <f t="shared" si="1"/>
        <v>2.9981756740424213E-3</v>
      </c>
      <c r="AB16" s="595">
        <f t="shared" si="1"/>
        <v>2.6968821909122611E-3</v>
      </c>
      <c r="AC16" s="549"/>
      <c r="AD16" s="549"/>
      <c r="AE16" s="549"/>
      <c r="AF16" s="549"/>
      <c r="AG16" s="549"/>
    </row>
    <row r="17" spans="1:33" x14ac:dyDescent="0.25">
      <c r="A17" s="576">
        <f t="shared" si="0"/>
        <v>0.75000000000000011</v>
      </c>
      <c r="B17" s="608">
        <f t="array" ref="B17">PERCENTILE($O$27:$AB$44,$A17)</f>
        <v>1.287143267942357E-2</v>
      </c>
      <c r="C17" s="608">
        <f t="array" ref="C17">PERCENTILE($O$49:$AB$66,$A17)</f>
        <v>1.2579105453801073E-2</v>
      </c>
      <c r="D17" s="608">
        <f t="array" ref="D17">PERCENTILE($O$71:$AB$88,$A17)</f>
        <v>1.5556488616121926E-2</v>
      </c>
      <c r="E17" s="608">
        <f t="array" ref="E17">PERCENTILE($O$5:$AB$22,$A17)</f>
        <v>8.3784280631667898E-3</v>
      </c>
      <c r="F17" s="549"/>
      <c r="G17" s="566">
        <v>10</v>
      </c>
      <c r="H17" s="567">
        <v>0.4</v>
      </c>
      <c r="I17" s="551">
        <v>1.0055451203750263</v>
      </c>
      <c r="J17" s="551">
        <v>1.1482632295444801</v>
      </c>
      <c r="K17" s="568">
        <v>1.5469439318226283</v>
      </c>
      <c r="L17" s="551">
        <v>0.77427928452545347</v>
      </c>
      <c r="M17" s="549"/>
      <c r="N17" s="585">
        <v>1.5278396849906257</v>
      </c>
      <c r="O17" s="594">
        <f t="shared" si="2"/>
        <v>1.9834024308194736E-2</v>
      </c>
      <c r="P17" s="553">
        <f t="shared" si="1"/>
        <v>1.9188672878166817E-2</v>
      </c>
      <c r="Q17" s="553">
        <f t="shared" si="1"/>
        <v>7.7314667161368566E-3</v>
      </c>
      <c r="R17" s="553">
        <f t="shared" si="1"/>
        <v>7.6399207637143536E-3</v>
      </c>
      <c r="S17" s="553">
        <f t="shared" si="1"/>
        <v>7.98599093409183E-3</v>
      </c>
      <c r="T17" s="553">
        <f t="shared" si="1"/>
        <v>8.2121062676053652E-3</v>
      </c>
      <c r="U17" s="553">
        <f t="shared" si="1"/>
        <v>9.1786421326240653E-3</v>
      </c>
      <c r="V17" s="553">
        <f t="shared" si="1"/>
        <v>8.246823022755154E-3</v>
      </c>
      <c r="W17" s="553">
        <f t="shared" si="1"/>
        <v>9.2499121550265011E-3</v>
      </c>
      <c r="X17" s="553">
        <f t="shared" si="1"/>
        <v>5.5146837334669914E-3</v>
      </c>
      <c r="Y17" s="553">
        <f t="shared" si="1"/>
        <v>5.1290914205829787E-3</v>
      </c>
      <c r="Z17" s="553">
        <f t="shared" si="1"/>
        <v>3.8628021919838505E-3</v>
      </c>
      <c r="AA17" s="553">
        <f t="shared" si="1"/>
        <v>3.6837848822726385E-3</v>
      </c>
      <c r="AB17" s="595">
        <f t="shared" si="1"/>
        <v>3.3135929726085598E-3</v>
      </c>
      <c r="AC17" s="549"/>
      <c r="AD17" s="549"/>
      <c r="AE17" s="549"/>
      <c r="AF17" s="549"/>
      <c r="AG17" s="549"/>
    </row>
    <row r="18" spans="1:33" x14ac:dyDescent="0.25">
      <c r="A18" s="576">
        <f t="shared" si="0"/>
        <v>0.80000000000000016</v>
      </c>
      <c r="B18" s="608">
        <f t="array" ref="B18">PERCENTILE($O$27:$AB$44,$A18)</f>
        <v>1.3883003783401838E-2</v>
      </c>
      <c r="C18" s="608">
        <f t="array" ref="C18">PERCENTILE($O$49:$AB$66,$A18)</f>
        <v>1.4226413722136205E-2</v>
      </c>
      <c r="D18" s="608">
        <f t="array" ref="D18">PERCENTILE($O$71:$AB$88,$A18)</f>
        <v>1.7400491271681459E-2</v>
      </c>
      <c r="E18" s="608">
        <f t="array" ref="E18">PERCENTILE($O$5:$AB$22,$A18)</f>
        <v>9.7995406487525125E-3</v>
      </c>
      <c r="F18" s="549"/>
      <c r="G18" s="566">
        <v>10</v>
      </c>
      <c r="H18" s="569">
        <v>0.5</v>
      </c>
      <c r="I18" s="570">
        <v>1.3859155080911361</v>
      </c>
      <c r="J18" s="570">
        <v>1.4344918415959156</v>
      </c>
      <c r="K18" s="571">
        <v>2.2884120475376108</v>
      </c>
      <c r="L18" s="570">
        <v>1</v>
      </c>
      <c r="M18" s="549"/>
      <c r="N18" s="585">
        <v>1.6531966199484791</v>
      </c>
      <c r="O18" s="594">
        <f t="shared" si="2"/>
        <v>2.1461375999331168E-2</v>
      </c>
      <c r="P18" s="553">
        <f t="shared" si="1"/>
        <v>2.0763074460706313E-2</v>
      </c>
      <c r="Q18" s="553">
        <f t="shared" si="1"/>
        <v>8.3658218646415396E-3</v>
      </c>
      <c r="R18" s="553">
        <f t="shared" si="1"/>
        <v>8.2667647053062815E-3</v>
      </c>
      <c r="S18" s="553">
        <f t="shared" si="1"/>
        <v>8.6412294096555129E-3</v>
      </c>
      <c r="T18" s="553">
        <f t="shared" si="1"/>
        <v>8.8858971642343538E-3</v>
      </c>
      <c r="U18" s="553">
        <f t="shared" si="1"/>
        <v>9.9317358348784534E-3</v>
      </c>
      <c r="V18" s="553">
        <f t="shared" si="1"/>
        <v>8.9234623766274081E-3</v>
      </c>
      <c r="W18" s="553">
        <f t="shared" si="1"/>
        <v>1.0008853454807327E-2</v>
      </c>
      <c r="X18" s="553">
        <f t="shared" si="1"/>
        <v>5.9671551916184364E-3</v>
      </c>
      <c r="Y18" s="553">
        <f t="shared" si="1"/>
        <v>5.5499256127559942E-3</v>
      </c>
      <c r="Z18" s="553">
        <f t="shared" si="1"/>
        <v>4.17973926849299E-3</v>
      </c>
      <c r="AA18" s="553">
        <f t="shared" si="1"/>
        <v>3.9860338593232696E-3</v>
      </c>
      <c r="AB18" s="595">
        <f t="shared" si="1"/>
        <v>3.5854682634684381E-3</v>
      </c>
      <c r="AC18" s="549"/>
      <c r="AD18" s="549"/>
      <c r="AE18" s="549"/>
      <c r="AF18" s="549"/>
      <c r="AG18" s="549"/>
    </row>
    <row r="19" spans="1:33" x14ac:dyDescent="0.25">
      <c r="A19" s="576">
        <f t="shared" si="0"/>
        <v>0.8500000000000002</v>
      </c>
      <c r="B19" s="608">
        <f t="array" ref="B19">PERCENTILE($O$27:$AB$44,$A19)</f>
        <v>1.5788628399330994E-2</v>
      </c>
      <c r="C19" s="608">
        <f t="array" ref="C19">PERCENTILE($O$49:$AB$66,$A19)</f>
        <v>1.5963301340140221E-2</v>
      </c>
      <c r="D19" s="608">
        <f t="array" ref="D19">PERCENTILE($O$71:$AB$88,$A19)</f>
        <v>2.0116239331987602E-2</v>
      </c>
      <c r="E19" s="608">
        <f t="array" ref="E19">PERCENTILE($O$5:$AB$22,$A19)</f>
        <v>1.1315278353655433E-2</v>
      </c>
      <c r="F19" s="549"/>
      <c r="G19" s="566">
        <v>10</v>
      </c>
      <c r="H19" s="567">
        <v>0.6</v>
      </c>
      <c r="I19" s="551">
        <v>1.8252813882304422</v>
      </c>
      <c r="J19" s="551">
        <v>2.0019697448669809</v>
      </c>
      <c r="K19" s="568">
        <v>2.5129493947346591</v>
      </c>
      <c r="L19" s="551">
        <v>1.2434851446997464</v>
      </c>
      <c r="M19" s="549"/>
      <c r="N19" s="585">
        <v>1.8783906742857432</v>
      </c>
      <c r="O19" s="594">
        <f t="shared" si="2"/>
        <v>2.4384787658070499E-2</v>
      </c>
      <c r="P19" s="553">
        <f t="shared" si="1"/>
        <v>2.3591365337842677E-2</v>
      </c>
      <c r="Q19" s="553">
        <f t="shared" si="1"/>
        <v>9.5053919078107972E-3</v>
      </c>
      <c r="R19" s="553">
        <f t="shared" si="1"/>
        <v>9.392841445227354E-3</v>
      </c>
      <c r="S19" s="553">
        <f t="shared" si="1"/>
        <v>9.8183147374003611E-3</v>
      </c>
      <c r="T19" s="553">
        <f t="shared" si="1"/>
        <v>1.0096310483915769E-2</v>
      </c>
      <c r="U19" s="553">
        <f t="shared" si="1"/>
        <v>1.1284610521576442E-2</v>
      </c>
      <c r="V19" s="553">
        <f t="shared" si="1"/>
        <v>1.0138992729805478E-2</v>
      </c>
      <c r="W19" s="553">
        <f t="shared" si="1"/>
        <v>1.1372232898944975E-2</v>
      </c>
      <c r="X19" s="553">
        <f t="shared" si="1"/>
        <v>6.7799852290413827E-3</v>
      </c>
      <c r="Y19" s="553">
        <f t="shared" si="1"/>
        <v>6.305921744689592E-3</v>
      </c>
      <c r="Z19" s="553">
        <f t="shared" si="1"/>
        <v>4.7490922544517564E-3</v>
      </c>
      <c r="AA19" s="553">
        <f t="shared" si="1"/>
        <v>4.5290008087322227E-3</v>
      </c>
      <c r="AB19" s="595">
        <f t="shared" si="1"/>
        <v>4.0738712309105144E-3</v>
      </c>
      <c r="AC19" s="549"/>
      <c r="AD19" s="549"/>
      <c r="AE19" s="549"/>
      <c r="AF19" s="549"/>
      <c r="AG19" s="549"/>
    </row>
    <row r="20" spans="1:33" x14ac:dyDescent="0.25">
      <c r="A20" s="576">
        <f t="shared" si="0"/>
        <v>0.90000000000000024</v>
      </c>
      <c r="B20" s="608">
        <f t="array" ref="B20">PERCENTILE($O$27:$AB$44,$A20)</f>
        <v>1.9997684771717476E-2</v>
      </c>
      <c r="C20" s="608">
        <f t="array" ref="C20">PERCENTILE($O$49:$AB$66,$A20)</f>
        <v>1.9189638243641855E-2</v>
      </c>
      <c r="D20" s="608">
        <f t="array" ref="D20">PERCENTILE($O$71:$AB$88,$A20)</f>
        <v>2.4062955855735795E-2</v>
      </c>
      <c r="E20" s="608">
        <f t="array" ref="E20">PERCENTILE($O$5:$AB$22,$A20)</f>
        <v>1.3526387530282171E-2</v>
      </c>
      <c r="F20" s="549"/>
      <c r="G20" s="566">
        <v>10</v>
      </c>
      <c r="H20" s="567">
        <v>0.7</v>
      </c>
      <c r="I20" s="551">
        <v>2.3949137763375523</v>
      </c>
      <c r="J20" s="551">
        <v>2.4047403819085367</v>
      </c>
      <c r="K20" s="568">
        <v>2.6772935994337965</v>
      </c>
      <c r="L20" s="551">
        <v>1.6531966199484791</v>
      </c>
      <c r="M20" s="549"/>
      <c r="N20" s="585">
        <v>2.0319151506224</v>
      </c>
      <c r="O20" s="594">
        <f t="shared" si="2"/>
        <v>2.6377803172380039E-2</v>
      </c>
      <c r="P20" s="553">
        <f t="shared" si="1"/>
        <v>2.5519532922541884E-2</v>
      </c>
      <c r="Q20" s="553">
        <f t="shared" si="1"/>
        <v>1.0282285838875617E-2</v>
      </c>
      <c r="R20" s="553">
        <f t="shared" si="1"/>
        <v>1.0160536410887312E-2</v>
      </c>
      <c r="S20" s="553">
        <f t="shared" si="1"/>
        <v>1.0620784452142231E-2</v>
      </c>
      <c r="T20" s="553">
        <f t="shared" si="1"/>
        <v>1.0921501324774721E-2</v>
      </c>
      <c r="U20" s="553">
        <f t="shared" si="1"/>
        <v>1.2206923406060347E-2</v>
      </c>
      <c r="V20" s="553">
        <f t="shared" si="1"/>
        <v>1.0967672072571297E-2</v>
      </c>
      <c r="W20" s="553">
        <f t="shared" si="1"/>
        <v>1.2301707328566976E-2</v>
      </c>
      <c r="X20" s="553">
        <f t="shared" si="1"/>
        <v>7.3341264394446151E-3</v>
      </c>
      <c r="Y20" s="553">
        <f t="shared" si="1"/>
        <v>6.8213168363105243E-3</v>
      </c>
      <c r="Z20" s="553">
        <f t="shared" si="1"/>
        <v>5.1372446827086839E-3</v>
      </c>
      <c r="AA20" s="553">
        <f t="shared" si="1"/>
        <v>4.8991647405529038E-3</v>
      </c>
      <c r="AB20" s="595">
        <f t="shared" si="1"/>
        <v>4.4068365484828719E-3</v>
      </c>
      <c r="AC20" s="549"/>
      <c r="AD20" s="549"/>
      <c r="AE20" s="549"/>
      <c r="AF20" s="549"/>
      <c r="AG20" s="549"/>
    </row>
    <row r="21" spans="1:33" x14ac:dyDescent="0.25">
      <c r="A21" s="576">
        <f t="shared" si="0"/>
        <v>0.95000000000000029</v>
      </c>
      <c r="B21" s="608">
        <f t="array" ref="B21">PERCENTILE($O$27:$AB$44,$A21)</f>
        <v>2.659894018807887E-2</v>
      </c>
      <c r="C21" s="608">
        <f t="array" ref="C21">PERCENTILE($O$49:$AB$66,$A21)</f>
        <v>2.5808724724093852E-2</v>
      </c>
      <c r="D21" s="608">
        <f t="array" ref="D21">PERCENTILE($O$71:$AB$88,$A21)</f>
        <v>3.4133960162524943E-2</v>
      </c>
      <c r="E21" s="608">
        <f t="array" ref="E21">PERCENTILE($O$5:$AB$22,$A21)</f>
        <v>1.9196032317744624E-2</v>
      </c>
      <c r="F21" s="549"/>
      <c r="G21" s="566">
        <v>10</v>
      </c>
      <c r="H21" s="567">
        <v>0.8</v>
      </c>
      <c r="I21" s="551">
        <v>2.6479994274416465</v>
      </c>
      <c r="J21" s="551">
        <v>2.6540937374706761</v>
      </c>
      <c r="K21" s="568">
        <v>2.9188617929678444</v>
      </c>
      <c r="L21" s="551">
        <v>1.8783906742857432</v>
      </c>
      <c r="M21" s="549"/>
      <c r="N21" s="585">
        <v>2.5070084717723868</v>
      </c>
      <c r="O21" s="594">
        <f t="shared" si="2"/>
        <v>3.2545343244104005E-2</v>
      </c>
      <c r="P21" s="553">
        <f t="shared" si="2"/>
        <v>3.1486396079526108E-2</v>
      </c>
      <c r="Q21" s="553">
        <f t="shared" si="2"/>
        <v>1.2686443968563535E-2</v>
      </c>
      <c r="R21" s="553">
        <f t="shared" si="2"/>
        <v>1.2536227633345684E-2</v>
      </c>
      <c r="S21" s="553">
        <f t="shared" si="2"/>
        <v>1.3104088815043796E-2</v>
      </c>
      <c r="T21" s="553">
        <f t="shared" si="2"/>
        <v>1.3475117963118026E-2</v>
      </c>
      <c r="U21" s="553">
        <f t="shared" si="2"/>
        <v>1.5061091691695838E-2</v>
      </c>
      <c r="V21" s="553">
        <f t="shared" si="2"/>
        <v>1.3532084148855962E-2</v>
      </c>
      <c r="W21" s="553">
        <f t="shared" si="2"/>
        <v>1.5178037567432407E-2</v>
      </c>
      <c r="X21" s="553">
        <f t="shared" si="2"/>
        <v>9.0489591118533812E-3</v>
      </c>
      <c r="Y21" s="553">
        <f t="shared" si="2"/>
        <v>8.4162466587425315E-3</v>
      </c>
      <c r="Z21" s="553">
        <f t="shared" si="2"/>
        <v>6.3384122792594418E-3</v>
      </c>
      <c r="AA21" s="553">
        <f t="shared" si="2"/>
        <v>6.0446655488603923E-3</v>
      </c>
      <c r="AB21" s="595">
        <f t="shared" si="2"/>
        <v>5.4372233788298778E-3</v>
      </c>
      <c r="AC21" s="549"/>
      <c r="AD21" s="549"/>
      <c r="AE21" s="549"/>
      <c r="AF21" s="549"/>
      <c r="AG21" s="549"/>
    </row>
    <row r="22" spans="1:33" ht="11.25" thickBot="1" x14ac:dyDescent="0.3">
      <c r="A22" s="567"/>
      <c r="B22" s="549"/>
      <c r="C22" s="549"/>
      <c r="D22" s="549"/>
      <c r="E22" s="549"/>
      <c r="F22" s="549"/>
      <c r="G22" s="572">
        <v>10</v>
      </c>
      <c r="H22" s="573">
        <v>0.9</v>
      </c>
      <c r="I22" s="552">
        <v>3.3056330853857734</v>
      </c>
      <c r="J22" s="552">
        <v>3.1720623561623782</v>
      </c>
      <c r="K22" s="574">
        <v>3.3590429055965432</v>
      </c>
      <c r="L22" s="552">
        <v>2.5070084717723868</v>
      </c>
      <c r="M22" s="549"/>
      <c r="N22" s="585">
        <v>3.1967912318290552</v>
      </c>
      <c r="O22" s="596">
        <f t="shared" si="2"/>
        <v>4.1499926741797068E-2</v>
      </c>
      <c r="P22" s="597">
        <f t="shared" si="2"/>
        <v>4.0149618975066789E-2</v>
      </c>
      <c r="Q22" s="597">
        <f t="shared" si="2"/>
        <v>1.6177014676429308E-2</v>
      </c>
      <c r="R22" s="597">
        <f t="shared" si="2"/>
        <v>1.5985467552153965E-2</v>
      </c>
      <c r="S22" s="597">
        <f t="shared" si="2"/>
        <v>1.670957106715534E-2</v>
      </c>
      <c r="T22" s="597">
        <f t="shared" si="2"/>
        <v>1.7182685833488046E-2</v>
      </c>
      <c r="U22" s="597">
        <f t="shared" si="2"/>
        <v>1.9205027188339715E-2</v>
      </c>
      <c r="V22" s="597">
        <f t="shared" si="2"/>
        <v>1.7255325796666564E-2</v>
      </c>
      <c r="W22" s="597">
        <f t="shared" si="2"/>
        <v>1.9354149759867736E-2</v>
      </c>
      <c r="X22" s="597">
        <f t="shared" si="2"/>
        <v>1.1538705780878943E-2</v>
      </c>
      <c r="Y22" s="597">
        <f t="shared" si="2"/>
        <v>1.0731907700558194E-2</v>
      </c>
      <c r="Z22" s="597">
        <f t="shared" si="2"/>
        <v>8.0823742824168068E-3</v>
      </c>
      <c r="AA22" s="597">
        <f t="shared" si="2"/>
        <v>7.7078055553098518E-3</v>
      </c>
      <c r="AB22" s="598">
        <f t="shared" si="2"/>
        <v>6.9332306686027811E-3</v>
      </c>
      <c r="AC22" s="549"/>
      <c r="AD22" s="549"/>
      <c r="AE22" s="549"/>
      <c r="AF22" s="549"/>
      <c r="AG22" s="549"/>
    </row>
    <row r="23" spans="1:33" x14ac:dyDescent="0.25">
      <c r="A23" s="567"/>
      <c r="B23" s="549"/>
      <c r="C23" s="549"/>
      <c r="D23" s="549"/>
      <c r="E23" s="549"/>
      <c r="F23" s="549"/>
      <c r="M23" s="549"/>
      <c r="N23" s="549"/>
      <c r="O23" s="549"/>
      <c r="P23" s="549"/>
      <c r="Q23" s="549"/>
      <c r="R23" s="549"/>
      <c r="S23" s="549"/>
      <c r="T23" s="549"/>
      <c r="U23" s="549"/>
      <c r="V23" s="549"/>
      <c r="W23" s="549"/>
      <c r="X23" s="549"/>
      <c r="Y23" s="549"/>
      <c r="Z23" s="549"/>
      <c r="AA23" s="549"/>
      <c r="AB23" s="549"/>
      <c r="AC23" s="549"/>
      <c r="AD23" s="549"/>
      <c r="AE23" s="549"/>
      <c r="AF23" s="549"/>
      <c r="AG23" s="549"/>
    </row>
    <row r="24" spans="1:33" x14ac:dyDescent="0.25">
      <c r="F24" s="549"/>
      <c r="G24" s="549"/>
      <c r="H24" s="549"/>
      <c r="I24" s="549"/>
      <c r="J24" s="549"/>
      <c r="K24" s="549"/>
      <c r="L24" s="549"/>
      <c r="M24" s="549"/>
      <c r="N24" s="549"/>
      <c r="O24" s="549"/>
      <c r="P24" s="549"/>
      <c r="Q24" s="549"/>
      <c r="R24" s="549"/>
      <c r="S24" s="549"/>
      <c r="T24" s="549"/>
      <c r="U24" s="549"/>
      <c r="V24" s="549"/>
      <c r="W24" s="549"/>
      <c r="X24" s="549"/>
      <c r="Y24" s="549"/>
      <c r="Z24" s="549"/>
      <c r="AA24" s="549"/>
      <c r="AB24" s="549"/>
      <c r="AC24" s="549"/>
      <c r="AD24" s="549"/>
      <c r="AE24" s="549"/>
      <c r="AF24" s="549"/>
      <c r="AG24" s="549"/>
    </row>
    <row r="25" spans="1:33" x14ac:dyDescent="0.25">
      <c r="A25" s="575" t="s">
        <v>284</v>
      </c>
      <c r="B25" s="560" t="s">
        <v>0</v>
      </c>
      <c r="C25" s="561" t="s">
        <v>1</v>
      </c>
      <c r="D25" s="562" t="s">
        <v>2</v>
      </c>
      <c r="E25" s="548" t="s">
        <v>3</v>
      </c>
      <c r="F25" s="549"/>
      <c r="G25" s="549" t="s">
        <v>294</v>
      </c>
      <c r="H25" s="549"/>
      <c r="I25" s="549"/>
      <c r="J25" s="549"/>
      <c r="K25" s="549"/>
      <c r="L25" s="549"/>
      <c r="M25" s="549"/>
      <c r="N25" s="599" t="s">
        <v>94</v>
      </c>
      <c r="O25" s="539">
        <v>2008</v>
      </c>
      <c r="P25" s="540">
        <v>2009</v>
      </c>
      <c r="Q25" s="538">
        <v>2010</v>
      </c>
      <c r="R25" s="538">
        <v>2011</v>
      </c>
      <c r="S25" s="538">
        <v>2012</v>
      </c>
      <c r="T25" s="538">
        <v>2013</v>
      </c>
      <c r="U25" s="541">
        <v>2014</v>
      </c>
      <c r="V25" s="540">
        <v>2015</v>
      </c>
      <c r="W25" s="542">
        <v>2016</v>
      </c>
      <c r="X25" s="543">
        <v>2017</v>
      </c>
      <c r="Y25" s="544">
        <v>2018</v>
      </c>
      <c r="Z25" s="545">
        <v>2019</v>
      </c>
      <c r="AA25" s="546">
        <v>2020</v>
      </c>
      <c r="AB25" s="540">
        <v>2021</v>
      </c>
      <c r="AC25" s="549"/>
      <c r="AD25" s="549"/>
      <c r="AE25" s="549"/>
      <c r="AF25" s="549"/>
      <c r="AG25" s="549"/>
    </row>
    <row r="26" spans="1:33" ht="11.25" thickBot="1" x14ac:dyDescent="0.3">
      <c r="A26" s="576">
        <v>0.05</v>
      </c>
      <c r="B26" s="608">
        <f>B3</f>
        <v>8.7423171886472258E-4</v>
      </c>
      <c r="C26" s="608">
        <f>C3</f>
        <v>1.3043182386079217E-3</v>
      </c>
      <c r="D26" s="608">
        <f>D3</f>
        <v>1.2398885383576544E-3</v>
      </c>
      <c r="E26" s="608">
        <f>E3</f>
        <v>5.432316567126036E-4</v>
      </c>
      <c r="F26" s="549"/>
      <c r="G26" s="549"/>
      <c r="H26" s="549"/>
      <c r="I26" s="549"/>
      <c r="J26" s="549"/>
      <c r="K26" s="549"/>
      <c r="L26" s="549"/>
      <c r="M26" s="549"/>
      <c r="N26" s="554" t="s">
        <v>0</v>
      </c>
      <c r="O26" s="606">
        <v>1.2981744421906694E-2</v>
      </c>
      <c r="P26" s="587">
        <v>1.2559349692690142E-2</v>
      </c>
      <c r="Q26" s="588">
        <v>5.0603913434702375E-3</v>
      </c>
      <c r="R26" s="588">
        <v>5.0004727843950651E-3</v>
      </c>
      <c r="S26" s="588">
        <v>5.2269822629596304E-3</v>
      </c>
      <c r="T26" s="588">
        <v>5.3749790297244124E-3</v>
      </c>
      <c r="U26" s="589">
        <v>6.0075950525400722E-3</v>
      </c>
      <c r="V26" s="587">
        <v>5.3977018032528414E-3</v>
      </c>
      <c r="W26" s="590">
        <v>6.0542426315384357E-3</v>
      </c>
      <c r="X26" s="587">
        <v>3.6094649115629087E-3</v>
      </c>
      <c r="Y26" s="588">
        <v>3.35708744246583E-3</v>
      </c>
      <c r="Z26" s="589">
        <v>2.5282771680377914E-3</v>
      </c>
      <c r="AA26" s="607">
        <v>2.4111069495457182E-3</v>
      </c>
      <c r="AB26" s="587">
        <v>2.1688093359277356E-3</v>
      </c>
      <c r="AC26" s="549"/>
      <c r="AD26" s="549"/>
      <c r="AE26" s="549"/>
      <c r="AF26" s="549"/>
      <c r="AG26" s="549"/>
    </row>
    <row r="27" spans="1:33" x14ac:dyDescent="0.25">
      <c r="A27" s="577" t="s">
        <v>176</v>
      </c>
      <c r="B27" s="608">
        <f>AVERAGE(O27:AB44)</f>
        <v>9.2008609909434158E-3</v>
      </c>
      <c r="C27" s="608">
        <f>AVERAGE(O49:AB66)</f>
        <v>9.4288345671571828E-3</v>
      </c>
      <c r="D27" s="608">
        <f>AVERAGE(O71:AB88)</f>
        <v>1.2155258836613387E-2</v>
      </c>
      <c r="E27" s="608">
        <f>AVERAGE(O5:AB22)</f>
        <v>6.3166932684131771E-3</v>
      </c>
      <c r="F27" s="549"/>
      <c r="G27" s="599" t="s">
        <v>94</v>
      </c>
      <c r="H27" s="547" t="s">
        <v>296</v>
      </c>
      <c r="I27" s="549"/>
      <c r="J27" s="549"/>
      <c r="K27" s="549"/>
      <c r="L27" s="549"/>
      <c r="M27" s="549"/>
      <c r="N27" s="585">
        <v>0.16468897084293688</v>
      </c>
      <c r="O27" s="591">
        <f>$N27*O$26</f>
        <v>2.1379501285898497E-3</v>
      </c>
      <c r="P27" s="592">
        <f t="shared" ref="P27:AB42" si="3">$N27*P$26</f>
        <v>2.0683863753456952E-3</v>
      </c>
      <c r="Q27" s="592">
        <f t="shared" si="3"/>
        <v>8.3339064241862008E-4</v>
      </c>
      <c r="R27" s="592">
        <f t="shared" si="3"/>
        <v>8.2352271659013828E-4</v>
      </c>
      <c r="S27" s="592">
        <f t="shared" si="3"/>
        <v>8.6082632950110682E-4</v>
      </c>
      <c r="T27" s="592">
        <f t="shared" si="3"/>
        <v>8.8519976470768089E-4</v>
      </c>
      <c r="U27" s="592">
        <f t="shared" si="3"/>
        <v>9.8938464644394378E-4</v>
      </c>
      <c r="V27" s="592">
        <f t="shared" si="3"/>
        <v>8.8894195489477499E-4</v>
      </c>
      <c r="W27" s="592">
        <f t="shared" si="3"/>
        <v>9.9706698822149878E-4</v>
      </c>
      <c r="X27" s="592">
        <f t="shared" si="3"/>
        <v>5.9443906157898756E-4</v>
      </c>
      <c r="Y27" s="592">
        <f t="shared" si="3"/>
        <v>5.5287527592944464E-4</v>
      </c>
      <c r="Z27" s="592">
        <f t="shared" si="3"/>
        <v>4.1637936480983884E-4</v>
      </c>
      <c r="AA27" s="592">
        <f t="shared" si="3"/>
        <v>3.9708272211293725E-4</v>
      </c>
      <c r="AB27" s="593">
        <f t="shared" si="3"/>
        <v>3.5717897748849215E-4</v>
      </c>
      <c r="AC27" s="549"/>
      <c r="AD27" s="549"/>
      <c r="AE27" s="549"/>
      <c r="AF27" s="549"/>
      <c r="AG27" s="549"/>
    </row>
    <row r="28" spans="1:33" ht="11.25" thickBot="1" x14ac:dyDescent="0.3">
      <c r="A28" s="576">
        <v>0.95</v>
      </c>
      <c r="B28" s="608">
        <f>B21</f>
        <v>2.659894018807887E-2</v>
      </c>
      <c r="C28" s="608">
        <f>C21</f>
        <v>2.5808724724093852E-2</v>
      </c>
      <c r="D28" s="608">
        <f>D21</f>
        <v>3.4133960162524943E-2</v>
      </c>
      <c r="E28" s="608">
        <f>E21</f>
        <v>1.9196032317744624E-2</v>
      </c>
      <c r="F28" s="549"/>
      <c r="G28" s="578">
        <v>2008</v>
      </c>
      <c r="H28" s="600">
        <v>1.2981744421906694E-2</v>
      </c>
      <c r="I28" s="549"/>
      <c r="J28" s="549"/>
      <c r="K28" s="549"/>
      <c r="L28" s="549"/>
      <c r="M28" s="549"/>
      <c r="N28" s="585">
        <v>0.21497679291941987</v>
      </c>
      <c r="O28" s="594">
        <f t="shared" ref="O28:AB44" si="4">$N28*O$26</f>
        <v>2.7907737823210693E-3</v>
      </c>
      <c r="P28" s="553">
        <f t="shared" si="3"/>
        <v>2.6999687180880283E-3</v>
      </c>
      <c r="Q28" s="553">
        <f t="shared" si="3"/>
        <v>1.0878667019364261E-3</v>
      </c>
      <c r="R28" s="553">
        <f t="shared" si="3"/>
        <v>1.0749856022700928E-3</v>
      </c>
      <c r="S28" s="553">
        <f t="shared" si="3"/>
        <v>1.1236798835377532E-3</v>
      </c>
      <c r="T28" s="553">
        <f t="shared" si="3"/>
        <v>1.1554957538192894E-3</v>
      </c>
      <c r="U28" s="553">
        <f t="shared" si="3"/>
        <v>1.2914935175536385E-3</v>
      </c>
      <c r="V28" s="553">
        <f t="shared" si="3"/>
        <v>1.1603806227986654E-3</v>
      </c>
      <c r="W28" s="553">
        <f t="shared" si="3"/>
        <v>1.3015216644841618E-3</v>
      </c>
      <c r="X28" s="553">
        <f t="shared" si="3"/>
        <v>7.7595119084297162E-4</v>
      </c>
      <c r="Y28" s="553">
        <f t="shared" si="3"/>
        <v>7.2169589193136162E-4</v>
      </c>
      <c r="Z28" s="553">
        <f t="shared" si="3"/>
        <v>5.4352091719615759E-4</v>
      </c>
      <c r="AA28" s="553">
        <f t="shared" si="3"/>
        <v>5.1833203939906402E-4</v>
      </c>
      <c r="AB28" s="595">
        <f t="shared" si="3"/>
        <v>4.6624367549144135E-4</v>
      </c>
      <c r="AC28" s="549"/>
      <c r="AD28" s="549"/>
      <c r="AE28" s="549"/>
      <c r="AF28" s="549"/>
      <c r="AG28" s="549"/>
    </row>
    <row r="29" spans="1:33" x14ac:dyDescent="0.25">
      <c r="F29" s="549"/>
      <c r="G29" s="579">
        <v>2009</v>
      </c>
      <c r="H29" s="601">
        <v>1.2559349692690142E-2</v>
      </c>
      <c r="I29" s="549"/>
      <c r="J29" s="549"/>
      <c r="K29" s="549"/>
      <c r="L29" s="549"/>
      <c r="M29" s="549"/>
      <c r="N29" s="585">
        <v>0.49834601269194517</v>
      </c>
      <c r="O29" s="594">
        <f t="shared" si="4"/>
        <v>6.4694005704431018E-3</v>
      </c>
      <c r="P29" s="553">
        <f t="shared" si="3"/>
        <v>6.2589018413559397E-3</v>
      </c>
      <c r="Q29" s="553">
        <f t="shared" si="3"/>
        <v>2.5218258486792286E-3</v>
      </c>
      <c r="R29" s="553">
        <f t="shared" si="3"/>
        <v>2.4919656736778696E-3</v>
      </c>
      <c r="S29" s="553">
        <f t="shared" si="3"/>
        <v>2.6048457691574523E-3</v>
      </c>
      <c r="T29" s="553">
        <f t="shared" si="3"/>
        <v>2.6785993677659811E-3</v>
      </c>
      <c r="U29" s="553">
        <f t="shared" si="3"/>
        <v>2.9938610403012021E-3</v>
      </c>
      <c r="V29" s="553">
        <f t="shared" si="3"/>
        <v>2.6899231713511757E-3</v>
      </c>
      <c r="W29" s="553">
        <f t="shared" si="3"/>
        <v>3.0171076752967688E-3</v>
      </c>
      <c r="X29" s="553">
        <f t="shared" si="3"/>
        <v>1.79876244662886E-3</v>
      </c>
      <c r="Y29" s="553">
        <f t="shared" si="3"/>
        <v>1.6729911412110463E-3</v>
      </c>
      <c r="Z29" s="553">
        <f t="shared" si="3"/>
        <v>1.2599568456717165E-3</v>
      </c>
      <c r="AA29" s="553">
        <f t="shared" si="3"/>
        <v>1.2015655344799476E-3</v>
      </c>
      <c r="AB29" s="595">
        <f t="shared" si="3"/>
        <v>1.0808174848486525E-3</v>
      </c>
      <c r="AC29" s="549"/>
      <c r="AD29" s="549"/>
      <c r="AE29" s="549"/>
      <c r="AF29" s="549"/>
      <c r="AG29" s="549"/>
    </row>
    <row r="30" spans="1:33" x14ac:dyDescent="0.25">
      <c r="A30" s="549"/>
      <c r="B30" s="549"/>
      <c r="C30" s="549"/>
      <c r="D30" s="549"/>
      <c r="E30" s="549"/>
      <c r="F30" s="549"/>
      <c r="G30" s="538">
        <v>2010</v>
      </c>
      <c r="H30" s="602">
        <v>5.0603913434702375E-3</v>
      </c>
      <c r="I30" s="549"/>
      <c r="J30" s="549"/>
      <c r="K30" s="549"/>
      <c r="L30" s="549"/>
      <c r="M30" s="549"/>
      <c r="N30" s="585">
        <v>0.52966360438481275</v>
      </c>
      <c r="O30" s="594">
        <f t="shared" si="4"/>
        <v>6.8759575417095369E-3</v>
      </c>
      <c r="P30" s="553">
        <f t="shared" si="3"/>
        <v>6.6522304269595513E-3</v>
      </c>
      <c r="Q30" s="553">
        <f t="shared" si="3"/>
        <v>2.6803051185801509E-3</v>
      </c>
      <c r="R30" s="553">
        <f t="shared" si="3"/>
        <v>2.6485684386108508E-3</v>
      </c>
      <c r="S30" s="553">
        <f t="shared" si="3"/>
        <v>2.7685422654546831E-3</v>
      </c>
      <c r="T30" s="553">
        <f t="shared" si="3"/>
        <v>2.8469307663766159E-3</v>
      </c>
      <c r="U30" s="553">
        <f t="shared" si="3"/>
        <v>3.1820044492127434E-3</v>
      </c>
      <c r="V30" s="553">
        <f t="shared" si="3"/>
        <v>2.8589661925053035E-3</v>
      </c>
      <c r="W30" s="553">
        <f t="shared" si="3"/>
        <v>3.2067119740408416E-3</v>
      </c>
      <c r="X30" s="553">
        <f t="shared" si="3"/>
        <v>1.9118021949589197E-3</v>
      </c>
      <c r="Y30" s="553">
        <f t="shared" si="3"/>
        <v>1.7781270350114443E-3</v>
      </c>
      <c r="Z30" s="553">
        <f t="shared" si="3"/>
        <v>1.3391363977067236E-3</v>
      </c>
      <c r="AA30" s="553">
        <f t="shared" si="3"/>
        <v>1.2770755974536559E-3</v>
      </c>
      <c r="AB30" s="595">
        <f t="shared" si="3"/>
        <v>1.1487393700909166E-3</v>
      </c>
      <c r="AC30" s="549"/>
      <c r="AD30" s="549"/>
      <c r="AE30" s="549"/>
      <c r="AF30" s="549"/>
      <c r="AG30" s="549"/>
    </row>
    <row r="31" spans="1:33" x14ac:dyDescent="0.25">
      <c r="A31" s="549"/>
      <c r="B31" s="549"/>
      <c r="C31" s="549"/>
      <c r="D31" s="549"/>
      <c r="E31" s="549"/>
      <c r="F31" s="549"/>
      <c r="G31" s="538">
        <v>2011</v>
      </c>
      <c r="H31" s="602">
        <v>5.0004727843950651E-3</v>
      </c>
      <c r="I31" s="549"/>
      <c r="J31" s="549"/>
      <c r="K31" s="549"/>
      <c r="L31" s="549"/>
      <c r="M31" s="549"/>
      <c r="N31" s="585">
        <v>0.77843004027701268</v>
      </c>
      <c r="O31" s="594">
        <f t="shared" si="4"/>
        <v>1.0105379833210712E-2</v>
      </c>
      <c r="P31" s="553">
        <f t="shared" si="3"/>
        <v>9.7765750871338739E-3</v>
      </c>
      <c r="Q31" s="553">
        <f t="shared" si="3"/>
        <v>3.9391606373149835E-3</v>
      </c>
      <c r="R31" s="553">
        <f t="shared" si="3"/>
        <v>3.8925182309607564E-3</v>
      </c>
      <c r="S31" s="553">
        <f t="shared" si="3"/>
        <v>4.068840013482896E-3</v>
      </c>
      <c r="T31" s="553">
        <f t="shared" si="3"/>
        <v>4.1840451425964728E-3</v>
      </c>
      <c r="U31" s="553">
        <f t="shared" si="3"/>
        <v>4.6764924587167503E-3</v>
      </c>
      <c r="V31" s="553">
        <f t="shared" si="3"/>
        <v>4.2017332321094133E-3</v>
      </c>
      <c r="W31" s="553">
        <f t="shared" si="3"/>
        <v>4.7128043355152719E-3</v>
      </c>
      <c r="X31" s="553">
        <f t="shared" si="3"/>
        <v>2.8097159164863789E-3</v>
      </c>
      <c r="Y31" s="553">
        <f t="shared" si="3"/>
        <v>2.6132577130521294E-3</v>
      </c>
      <c r="Z31" s="553">
        <f t="shared" si="3"/>
        <v>1.9680868977471097E-3</v>
      </c>
      <c r="AA31" s="553">
        <f t="shared" si="3"/>
        <v>1.8768780798470587E-3</v>
      </c>
      <c r="AB31" s="595">
        <f t="shared" si="3"/>
        <v>1.6882663387193884E-3</v>
      </c>
      <c r="AC31" s="549"/>
      <c r="AD31" s="549"/>
      <c r="AE31" s="549"/>
      <c r="AF31" s="549"/>
      <c r="AG31" s="549"/>
    </row>
    <row r="32" spans="1:33" x14ac:dyDescent="0.25">
      <c r="A32" s="549" t="s">
        <v>33</v>
      </c>
      <c r="B32" s="608">
        <f>B12</f>
        <v>6.5242692075122722E-3</v>
      </c>
      <c r="C32" s="608">
        <f>C12</f>
        <v>6.9184553766767735E-3</v>
      </c>
      <c r="D32" s="608">
        <f>D12</f>
        <v>9.3365669170859446E-3</v>
      </c>
      <c r="E32" s="608">
        <f>E12</f>
        <v>4.179533979398675E-3</v>
      </c>
      <c r="F32" s="549"/>
      <c r="G32" s="538">
        <v>2012</v>
      </c>
      <c r="H32" s="602">
        <v>5.2269822629596304E-3</v>
      </c>
      <c r="I32" s="549"/>
      <c r="J32" s="549"/>
      <c r="K32" s="549"/>
      <c r="L32" s="549"/>
      <c r="M32" s="549"/>
      <c r="N32" s="585">
        <v>0.83429603213770664</v>
      </c>
      <c r="O32" s="594">
        <f t="shared" si="4"/>
        <v>1.0830617861422561E-2</v>
      </c>
      <c r="P32" s="553">
        <f t="shared" si="3"/>
        <v>1.0478215614841311E-2</v>
      </c>
      <c r="Q32" s="553">
        <f t="shared" si="3"/>
        <v>4.2218644189212177E-3</v>
      </c>
      <c r="R32" s="553">
        <f t="shared" si="3"/>
        <v>4.1718746028333925E-3</v>
      </c>
      <c r="S32" s="553">
        <f t="shared" si="3"/>
        <v>4.3608505620413903E-3</v>
      </c>
      <c r="T32" s="553">
        <f t="shared" si="3"/>
        <v>4.4843236773224578E-3</v>
      </c>
      <c r="U32" s="553">
        <f t="shared" si="3"/>
        <v>5.0121127150242993E-3</v>
      </c>
      <c r="V32" s="553">
        <f t="shared" si="3"/>
        <v>4.5032811971163897E-3</v>
      </c>
      <c r="W32" s="553">
        <f t="shared" si="3"/>
        <v>5.0510306050914645E-3</v>
      </c>
      <c r="X32" s="553">
        <f t="shared" si="3"/>
        <v>3.0113622538572131E-3</v>
      </c>
      <c r="Y32" s="553">
        <f t="shared" si="3"/>
        <v>2.8008047327885634E-3</v>
      </c>
      <c r="Z32" s="553">
        <f t="shared" si="3"/>
        <v>2.109331609438287E-3</v>
      </c>
      <c r="AA32" s="553">
        <f t="shared" si="3"/>
        <v>2.0115769610656422E-3</v>
      </c>
      <c r="AB32" s="595">
        <f t="shared" si="3"/>
        <v>1.8094290234277244E-3</v>
      </c>
      <c r="AC32" s="549"/>
      <c r="AD32" s="549"/>
      <c r="AE32" s="549"/>
      <c r="AF32" s="549"/>
      <c r="AG32" s="549"/>
    </row>
    <row r="33" spans="1:33" x14ac:dyDescent="0.25">
      <c r="A33" s="549"/>
      <c r="B33" s="549"/>
      <c r="C33" s="549"/>
      <c r="D33" s="549"/>
      <c r="E33" s="549"/>
      <c r="F33" s="549"/>
      <c r="G33" s="538">
        <v>2013</v>
      </c>
      <c r="H33" s="602">
        <v>5.3749790297244124E-3</v>
      </c>
      <c r="I33" s="549"/>
      <c r="J33" s="549"/>
      <c r="K33" s="549"/>
      <c r="L33" s="549"/>
      <c r="M33" s="549"/>
      <c r="N33" s="585">
        <v>1.0055451203750263</v>
      </c>
      <c r="O33" s="594">
        <f t="shared" si="4"/>
        <v>1.3053729757403992E-2</v>
      </c>
      <c r="P33" s="553">
        <f t="shared" si="3"/>
        <v>1.2628992798568158E-2</v>
      </c>
      <c r="Q33" s="553">
        <f t="shared" si="3"/>
        <v>5.0884518226145207E-3</v>
      </c>
      <c r="R33" s="553">
        <f t="shared" si="3"/>
        <v>5.0282010079165784E-3</v>
      </c>
      <c r="S33" s="553">
        <f t="shared" si="3"/>
        <v>5.2559665088058689E-3</v>
      </c>
      <c r="T33" s="553">
        <f t="shared" si="3"/>
        <v>5.404783935457476E-3</v>
      </c>
      <c r="U33" s="553">
        <f t="shared" si="3"/>
        <v>6.0409078902708196E-3</v>
      </c>
      <c r="V33" s="553">
        <f t="shared" si="3"/>
        <v>5.4276327095003751E-3</v>
      </c>
      <c r="W33" s="553">
        <f t="shared" si="3"/>
        <v>6.0878141357099324E-3</v>
      </c>
      <c r="X33" s="553">
        <f t="shared" si="3"/>
        <v>3.6294798289869586E-3</v>
      </c>
      <c r="Y33" s="553">
        <f t="shared" si="3"/>
        <v>3.375702896443792E-3</v>
      </c>
      <c r="Z33" s="553">
        <f t="shared" si="3"/>
        <v>2.5422967692759913E-3</v>
      </c>
      <c r="AA33" s="553">
        <f t="shared" si="3"/>
        <v>2.4244768278180117E-3</v>
      </c>
      <c r="AB33" s="595">
        <f t="shared" si="3"/>
        <v>2.1808356447659358E-3</v>
      </c>
      <c r="AC33" s="549"/>
      <c r="AD33" s="549"/>
      <c r="AE33" s="549"/>
      <c r="AF33" s="549"/>
      <c r="AG33" s="549"/>
    </row>
    <row r="34" spans="1:33" ht="11.25" thickBot="1" x14ac:dyDescent="0.3">
      <c r="A34" s="549"/>
      <c r="B34" s="549"/>
      <c r="C34" s="549"/>
      <c r="D34" s="549"/>
      <c r="E34" s="549"/>
      <c r="F34" s="549"/>
      <c r="G34" s="580">
        <v>2014</v>
      </c>
      <c r="H34" s="603">
        <v>6.0075950525400722E-3</v>
      </c>
      <c r="I34" s="549"/>
      <c r="J34" s="549"/>
      <c r="K34" s="549"/>
      <c r="L34" s="549"/>
      <c r="M34" s="549"/>
      <c r="N34" s="585">
        <v>1.2112619520927839</v>
      </c>
      <c r="O34" s="594">
        <f t="shared" si="4"/>
        <v>1.5724293090048309E-2</v>
      </c>
      <c r="P34" s="553">
        <f t="shared" si="3"/>
        <v>1.5212662425783768E-2</v>
      </c>
      <c r="Q34" s="553">
        <f t="shared" si="3"/>
        <v>6.1294594970451848E-3</v>
      </c>
      <c r="R34" s="553">
        <f t="shared" si="3"/>
        <v>6.0568824262132049E-3</v>
      </c>
      <c r="S34" s="553">
        <f t="shared" si="3"/>
        <v>6.3312447393868388E-3</v>
      </c>
      <c r="T34" s="553">
        <f t="shared" si="3"/>
        <v>6.5105075920017692E-3</v>
      </c>
      <c r="U34" s="553">
        <f t="shared" si="3"/>
        <v>7.2767713107226382E-3</v>
      </c>
      <c r="V34" s="553">
        <f t="shared" si="3"/>
        <v>6.538030823022776E-3</v>
      </c>
      <c r="W34" s="553">
        <f t="shared" si="3"/>
        <v>7.3332737483205986E-3</v>
      </c>
      <c r="X34" s="553">
        <f t="shared" si="3"/>
        <v>4.3720075147900966E-3</v>
      </c>
      <c r="Y34" s="553">
        <f t="shared" si="3"/>
        <v>4.0663122889073328E-3</v>
      </c>
      <c r="Z34" s="553">
        <f t="shared" si="3"/>
        <v>3.0624059379890703E-3</v>
      </c>
      <c r="AA34" s="553">
        <f t="shared" si="3"/>
        <v>2.9204821104112239E-3</v>
      </c>
      <c r="AB34" s="595">
        <f t="shared" si="3"/>
        <v>2.6269962299528831E-3</v>
      </c>
      <c r="AC34" s="549"/>
      <c r="AD34" s="549"/>
      <c r="AE34" s="549"/>
      <c r="AF34" s="549"/>
      <c r="AG34" s="549"/>
    </row>
    <row r="35" spans="1:33" x14ac:dyDescent="0.25">
      <c r="A35" s="549"/>
      <c r="B35" s="549"/>
      <c r="C35" s="549"/>
      <c r="D35" s="549"/>
      <c r="E35" s="549"/>
      <c r="F35" s="549"/>
      <c r="G35" s="579">
        <v>2015</v>
      </c>
      <c r="H35" s="601">
        <v>5.3977018032528414E-3</v>
      </c>
      <c r="I35" s="549"/>
      <c r="J35" s="549"/>
      <c r="K35" s="549"/>
      <c r="L35" s="549"/>
      <c r="M35" s="549"/>
      <c r="N35" s="585">
        <v>1.3859155080911361</v>
      </c>
      <c r="O35" s="594">
        <f t="shared" si="4"/>
        <v>1.7991600916396087E-2</v>
      </c>
      <c r="P35" s="553">
        <f t="shared" si="3"/>
        <v>1.7406197510638911E-2</v>
      </c>
      <c r="Q35" s="553">
        <f t="shared" si="3"/>
        <v>7.0132748399255405E-3</v>
      </c>
      <c r="R35" s="553">
        <f t="shared" si="3"/>
        <v>6.9302327796807849E-3</v>
      </c>
      <c r="S35" s="553">
        <f t="shared" si="3"/>
        <v>7.244155778753052E-3</v>
      </c>
      <c r="T35" s="553">
        <f t="shared" si="3"/>
        <v>7.4492667929597104E-3</v>
      </c>
      <c r="U35" s="553">
        <f t="shared" si="3"/>
        <v>8.32601914964687E-3</v>
      </c>
      <c r="V35" s="553">
        <f t="shared" si="3"/>
        <v>7.480758637179603E-3</v>
      </c>
      <c r="W35" s="553">
        <f t="shared" si="3"/>
        <v>8.3906687527956075E-3</v>
      </c>
      <c r="X35" s="553">
        <f t="shared" si="3"/>
        <v>5.0024133968458364E-3</v>
      </c>
      <c r="Y35" s="553">
        <f t="shared" si="3"/>
        <v>4.6526395485314035E-3</v>
      </c>
      <c r="Z35" s="553">
        <f t="shared" si="3"/>
        <v>3.503978535936314E-3</v>
      </c>
      <c r="AA35" s="553">
        <f t="shared" si="3"/>
        <v>3.341590513041723E-3</v>
      </c>
      <c r="AB35" s="595">
        <f t="shared" si="3"/>
        <v>3.005786492755087E-3</v>
      </c>
      <c r="AC35" s="549"/>
      <c r="AD35" s="549"/>
      <c r="AE35" s="549"/>
      <c r="AF35" s="549"/>
      <c r="AG35" s="549"/>
    </row>
    <row r="36" spans="1:33" ht="11.25" thickBot="1" x14ac:dyDescent="0.3">
      <c r="A36" s="549"/>
      <c r="B36" s="549"/>
      <c r="C36" s="549"/>
      <c r="D36" s="549"/>
      <c r="E36" s="549"/>
      <c r="F36" s="549"/>
      <c r="G36" s="581">
        <v>2016</v>
      </c>
      <c r="H36" s="604">
        <v>6.0542426315384357E-3</v>
      </c>
      <c r="I36" s="549"/>
      <c r="J36" s="549"/>
      <c r="K36" s="549"/>
      <c r="L36" s="549"/>
      <c r="M36" s="549"/>
      <c r="N36" s="585">
        <v>1.6281504428482245</v>
      </c>
      <c r="O36" s="594">
        <f t="shared" si="4"/>
        <v>2.1136232929469853E-2</v>
      </c>
      <c r="P36" s="553">
        <f t="shared" si="3"/>
        <v>2.0448510764039168E-2</v>
      </c>
      <c r="Q36" s="553">
        <f t="shared" si="3"/>
        <v>8.2390784068563892E-3</v>
      </c>
      <c r="R36" s="553">
        <f t="shared" si="3"/>
        <v>8.1415219783633197E-3</v>
      </c>
      <c r="S36" s="553">
        <f t="shared" si="3"/>
        <v>8.5103134861975373E-3</v>
      </c>
      <c r="T36" s="553">
        <f t="shared" si="3"/>
        <v>8.7512744875457224E-3</v>
      </c>
      <c r="U36" s="553">
        <f t="shared" si="3"/>
        <v>9.7812685452459205E-3</v>
      </c>
      <c r="V36" s="553">
        <f t="shared" si="3"/>
        <v>8.7882705813287741E-3</v>
      </c>
      <c r="W36" s="553">
        <f t="shared" si="3"/>
        <v>9.8572178216499041E-3</v>
      </c>
      <c r="X36" s="553">
        <f t="shared" si="3"/>
        <v>5.8767518942062771E-3</v>
      </c>
      <c r="Y36" s="553">
        <f t="shared" si="3"/>
        <v>5.4658434061309541E-3</v>
      </c>
      <c r="Z36" s="553">
        <f t="shared" si="3"/>
        <v>4.1164155907837847E-3</v>
      </c>
      <c r="AA36" s="553">
        <f t="shared" si="3"/>
        <v>3.9256448476572932E-3</v>
      </c>
      <c r="AB36" s="595">
        <f t="shared" si="3"/>
        <v>3.5311478807441062E-3</v>
      </c>
      <c r="AC36" s="549"/>
      <c r="AD36" s="549"/>
      <c r="AE36" s="549"/>
      <c r="AF36" s="549"/>
      <c r="AG36" s="549"/>
    </row>
    <row r="37" spans="1:33" x14ac:dyDescent="0.25">
      <c r="A37" s="549"/>
      <c r="B37" s="549"/>
      <c r="C37" s="549"/>
      <c r="D37" s="549"/>
      <c r="E37" s="549"/>
      <c r="F37" s="549"/>
      <c r="G37" s="582">
        <v>2017</v>
      </c>
      <c r="H37" s="601">
        <v>3.6094649115629087E-3</v>
      </c>
      <c r="I37" s="549"/>
      <c r="J37" s="549"/>
      <c r="K37" s="549"/>
      <c r="L37" s="549"/>
      <c r="M37" s="549"/>
      <c r="N37" s="585">
        <v>1.8252813882304422</v>
      </c>
      <c r="O37" s="594">
        <f t="shared" si="4"/>
        <v>2.3695336480070647E-2</v>
      </c>
      <c r="P37" s="553">
        <f t="shared" si="3"/>
        <v>2.2924347242345041E-2</v>
      </c>
      <c r="Q37" s="553">
        <f t="shared" si="3"/>
        <v>9.2366381363986668E-3</v>
      </c>
      <c r="R37" s="553">
        <f t="shared" si="3"/>
        <v>9.1272699057091695E-3</v>
      </c>
      <c r="S37" s="553">
        <f t="shared" si="3"/>
        <v>9.5407134411908522E-3</v>
      </c>
      <c r="T37" s="553">
        <f t="shared" si="3"/>
        <v>9.8108491850848901E-3</v>
      </c>
      <c r="U37" s="553">
        <f t="shared" si="3"/>
        <v>1.0965551437426679E-2</v>
      </c>
      <c r="V37" s="553">
        <f t="shared" si="3"/>
        <v>9.8523246406953067E-3</v>
      </c>
      <c r="W37" s="553">
        <f t="shared" si="3"/>
        <v>1.1050696395178401E-2</v>
      </c>
      <c r="X37" s="553">
        <f t="shared" si="3"/>
        <v>6.5882891245466159E-3</v>
      </c>
      <c r="Y37" s="553">
        <f t="shared" si="3"/>
        <v>6.127629227395015E-3</v>
      </c>
      <c r="Z37" s="553">
        <f t="shared" si="3"/>
        <v>4.6148172591073504E-3</v>
      </c>
      <c r="AA37" s="553">
        <f t="shared" si="3"/>
        <v>4.4009486400388752E-3</v>
      </c>
      <c r="AB37" s="595">
        <f t="shared" si="3"/>
        <v>3.9586873154893202E-3</v>
      </c>
      <c r="AC37" s="549"/>
      <c r="AD37" s="549"/>
      <c r="AE37" s="549"/>
      <c r="AF37" s="549"/>
      <c r="AG37" s="549"/>
    </row>
    <row r="38" spans="1:33" x14ac:dyDescent="0.25">
      <c r="A38" s="549"/>
      <c r="B38" s="549"/>
      <c r="C38" s="549"/>
      <c r="D38" s="549"/>
      <c r="E38" s="549"/>
      <c r="F38" s="549"/>
      <c r="G38" s="544">
        <v>2018</v>
      </c>
      <c r="H38" s="602">
        <v>3.35708744246583E-3</v>
      </c>
      <c r="I38" s="549"/>
      <c r="J38" s="549"/>
      <c r="K38" s="549"/>
      <c r="L38" s="549"/>
      <c r="M38" s="549"/>
      <c r="N38" s="585">
        <v>2.0862850949081966</v>
      </c>
      <c r="O38" s="594">
        <f t="shared" si="4"/>
        <v>2.7083619893331558E-2</v>
      </c>
      <c r="P38" s="553">
        <f t="shared" si="3"/>
        <v>2.6202384065599282E-2</v>
      </c>
      <c r="Q38" s="553">
        <f t="shared" si="3"/>
        <v>1.0557419034284421E-2</v>
      </c>
      <c r="R38" s="553">
        <f t="shared" si="3"/>
        <v>1.0432411837577512E-2</v>
      </c>
      <c r="S38" s="553">
        <f t="shared" si="3"/>
        <v>1.0904975186562194E-2</v>
      </c>
      <c r="T38" s="553">
        <f t="shared" si="3"/>
        <v>1.1213738635158161E-2</v>
      </c>
      <c r="U38" s="553">
        <f t="shared" si="3"/>
        <v>1.2533556014358576E-2</v>
      </c>
      <c r="V38" s="553">
        <f t="shared" si="3"/>
        <v>1.1261144818885498E-2</v>
      </c>
      <c r="W38" s="553">
        <f t="shared" si="3"/>
        <v>1.2630876163136415E-2</v>
      </c>
      <c r="X38" s="553">
        <f t="shared" si="3"/>
        <v>7.5303728455878285E-3</v>
      </c>
      <c r="Y38" s="553">
        <f t="shared" si="3"/>
        <v>7.0038414935199387E-3</v>
      </c>
      <c r="Z38" s="553">
        <f t="shared" si="3"/>
        <v>5.2747069714739504E-3</v>
      </c>
      <c r="AA38" s="553">
        <f t="shared" si="3"/>
        <v>5.0302564910668012E-3</v>
      </c>
      <c r="AB38" s="595">
        <f t="shared" si="3"/>
        <v>4.5247545912437785E-3</v>
      </c>
      <c r="AC38" s="549"/>
      <c r="AD38" s="549"/>
      <c r="AE38" s="549"/>
      <c r="AF38" s="549"/>
      <c r="AG38" s="549"/>
    </row>
    <row r="39" spans="1:33" ht="11.25" thickBot="1" x14ac:dyDescent="0.3">
      <c r="A39" s="549"/>
      <c r="B39" s="549"/>
      <c r="C39" s="549"/>
      <c r="D39" s="549"/>
      <c r="E39" s="549"/>
      <c r="F39" s="549"/>
      <c r="G39" s="583">
        <v>2019</v>
      </c>
      <c r="H39" s="603">
        <v>2.5282771680377914E-3</v>
      </c>
      <c r="I39" s="549"/>
      <c r="J39" s="549"/>
      <c r="K39" s="549"/>
      <c r="L39" s="549"/>
      <c r="M39" s="549"/>
      <c r="N39" s="585">
        <v>2.3949137763375523</v>
      </c>
      <c r="O39" s="594">
        <f t="shared" si="4"/>
        <v>3.1090158556917515E-2</v>
      </c>
      <c r="P39" s="553">
        <f t="shared" si="3"/>
        <v>3.0078559600864425E-2</v>
      </c>
      <c r="Q39" s="553">
        <f t="shared" si="3"/>
        <v>1.2119200942136166E-2</v>
      </c>
      <c r="R39" s="553">
        <f t="shared" si="3"/>
        <v>1.1975701159548741E-2</v>
      </c>
      <c r="S39" s="553">
        <f t="shared" si="3"/>
        <v>1.2518171830234053E-2</v>
      </c>
      <c r="T39" s="553">
        <f t="shared" si="3"/>
        <v>1.2872611325812446E-2</v>
      </c>
      <c r="U39" s="553">
        <f t="shared" si="3"/>
        <v>1.438767215398554E-2</v>
      </c>
      <c r="V39" s="553">
        <f t="shared" si="3"/>
        <v>1.2927030409172278E-2</v>
      </c>
      <c r="W39" s="553">
        <f t="shared" si="3"/>
        <v>1.4499389083561515E-2</v>
      </c>
      <c r="X39" s="553">
        <f t="shared" si="3"/>
        <v>8.6443572419090155E-3</v>
      </c>
      <c r="Y39" s="553">
        <f t="shared" si="3"/>
        <v>8.0399349643312159E-3</v>
      </c>
      <c r="Z39" s="553">
        <f t="shared" si="3"/>
        <v>6.0550058201333991E-3</v>
      </c>
      <c r="AA39" s="553">
        <f t="shared" si="3"/>
        <v>5.774393249690252E-3</v>
      </c>
      <c r="AB39" s="595">
        <f t="shared" si="3"/>
        <v>5.1941113568628322E-3</v>
      </c>
      <c r="AC39" s="549"/>
      <c r="AD39" s="549"/>
      <c r="AE39" s="549"/>
      <c r="AF39" s="549"/>
      <c r="AG39" s="549"/>
    </row>
    <row r="40" spans="1:33" ht="11.25" thickBot="1" x14ac:dyDescent="0.3">
      <c r="A40" s="549"/>
      <c r="B40" s="549"/>
      <c r="C40" s="549"/>
      <c r="D40" s="549"/>
      <c r="E40" s="549"/>
      <c r="F40" s="549"/>
      <c r="G40" s="584">
        <v>2020</v>
      </c>
      <c r="H40" s="605">
        <v>2.4111069495457182E-3</v>
      </c>
      <c r="I40" s="549"/>
      <c r="J40" s="549"/>
      <c r="K40" s="549"/>
      <c r="L40" s="549"/>
      <c r="M40" s="549"/>
      <c r="N40" s="585">
        <v>2.5739645734020375</v>
      </c>
      <c r="O40" s="594">
        <f t="shared" si="4"/>
        <v>3.3414550242947344E-2</v>
      </c>
      <c r="P40" s="553">
        <f t="shared" si="3"/>
        <v>3.2327321173952192E-2</v>
      </c>
      <c r="Q40" s="553">
        <f t="shared" si="3"/>
        <v>1.3025268045642734E-2</v>
      </c>
      <c r="R40" s="553">
        <f t="shared" si="3"/>
        <v>1.2871039797293943E-2</v>
      </c>
      <c r="S40" s="553">
        <f t="shared" si="3"/>
        <v>1.3454067170658902E-2</v>
      </c>
      <c r="T40" s="553">
        <f t="shared" si="3"/>
        <v>1.3835005605289495E-2</v>
      </c>
      <c r="U40" s="553">
        <f t="shared" si="3"/>
        <v>1.5463336836583498E-2</v>
      </c>
      <c r="V40" s="553">
        <f t="shared" si="3"/>
        <v>1.3893493219361109E-2</v>
      </c>
      <c r="W40" s="553">
        <f t="shared" si="3"/>
        <v>1.558340605236026E-2</v>
      </c>
      <c r="X40" s="553">
        <f t="shared" si="3"/>
        <v>9.2906348113006455E-3</v>
      </c>
      <c r="Y40" s="553">
        <f t="shared" si="3"/>
        <v>8.6410241467198973E-3</v>
      </c>
      <c r="Z40" s="553">
        <f t="shared" si="3"/>
        <v>6.507695862270505E-3</v>
      </c>
      <c r="AA40" s="553">
        <f t="shared" si="3"/>
        <v>6.2061038708141327E-3</v>
      </c>
      <c r="AB40" s="595">
        <f t="shared" si="3"/>
        <v>5.5824383971415899E-3</v>
      </c>
      <c r="AC40" s="549"/>
      <c r="AD40" s="549"/>
      <c r="AE40" s="549"/>
      <c r="AF40" s="549"/>
      <c r="AG40" s="549"/>
    </row>
    <row r="41" spans="1:33" x14ac:dyDescent="0.25">
      <c r="A41" s="549"/>
      <c r="B41" s="549"/>
      <c r="C41" s="549"/>
      <c r="D41" s="549"/>
      <c r="E41" s="549"/>
      <c r="F41" s="549"/>
      <c r="G41" s="579">
        <v>2021</v>
      </c>
      <c r="H41" s="601">
        <v>2.1688093359277356E-3</v>
      </c>
      <c r="I41" s="549"/>
      <c r="J41" s="549"/>
      <c r="K41" s="549"/>
      <c r="L41" s="549"/>
      <c r="M41" s="549"/>
      <c r="N41" s="585">
        <v>2.6479994274416465</v>
      </c>
      <c r="O41" s="594">
        <f t="shared" si="4"/>
        <v>3.4375651796402715E-2</v>
      </c>
      <c r="P41" s="553">
        <f t="shared" si="3"/>
        <v>3.3257150795282915E-2</v>
      </c>
      <c r="Q41" s="553">
        <f t="shared" si="3"/>
        <v>1.3399913380139853E-2</v>
      </c>
      <c r="R41" s="553">
        <f t="shared" si="3"/>
        <v>1.3241249070015669E-2</v>
      </c>
      <c r="S41" s="553">
        <f t="shared" si="3"/>
        <v>1.3841046039564743E-2</v>
      </c>
      <c r="T41" s="553">
        <f t="shared" si="3"/>
        <v>1.42329413932211E-2</v>
      </c>
      <c r="U41" s="553">
        <f t="shared" si="3"/>
        <v>1.590810825942738E-2</v>
      </c>
      <c r="V41" s="553">
        <f t="shared" si="3"/>
        <v>1.4293111284514267E-2</v>
      </c>
      <c r="W41" s="553">
        <f t="shared" si="3"/>
        <v>1.6031631021906585E-2</v>
      </c>
      <c r="X41" s="553">
        <f t="shared" si="3"/>
        <v>9.5578610191892951E-3</v>
      </c>
      <c r="Y41" s="553">
        <f t="shared" si="3"/>
        <v>8.8895656255210589E-3</v>
      </c>
      <c r="Z41" s="553">
        <f t="shared" si="3"/>
        <v>6.6948764933778592E-3</v>
      </c>
      <c r="AA41" s="553">
        <f t="shared" si="3"/>
        <v>6.384609821897637E-3</v>
      </c>
      <c r="AB41" s="595">
        <f t="shared" si="3"/>
        <v>5.743005879766741E-3</v>
      </c>
      <c r="AC41" s="549"/>
      <c r="AD41" s="549"/>
      <c r="AE41" s="549"/>
      <c r="AF41" s="549"/>
      <c r="AG41" s="549"/>
    </row>
    <row r="42" spans="1:33" x14ac:dyDescent="0.25">
      <c r="A42" s="549"/>
      <c r="B42" s="549"/>
      <c r="C42" s="549"/>
      <c r="D42" s="549"/>
      <c r="E42" s="549"/>
      <c r="F42" s="549"/>
      <c r="G42" s="549"/>
      <c r="H42" s="549"/>
      <c r="I42" s="549"/>
      <c r="J42" s="549"/>
      <c r="K42" s="549"/>
      <c r="L42" s="549"/>
      <c r="M42" s="549"/>
      <c r="N42" s="585">
        <v>2.6597900199300133</v>
      </c>
      <c r="O42" s="594">
        <f t="shared" si="4"/>
        <v>3.4528714254669544E-2</v>
      </c>
      <c r="P42" s="553">
        <f t="shared" si="3"/>
        <v>3.3405232969428322E-2</v>
      </c>
      <c r="Q42" s="553">
        <f t="shared" si="3"/>
        <v>1.3459578392302369E-2</v>
      </c>
      <c r="R42" s="553">
        <f t="shared" si="3"/>
        <v>1.3300207606865639E-2</v>
      </c>
      <c r="S42" s="553">
        <f t="shared" si="3"/>
        <v>1.3902675257371221E-2</v>
      </c>
      <c r="T42" s="553">
        <f t="shared" si="3"/>
        <v>1.4296315580594098E-2</v>
      </c>
      <c r="U42" s="553">
        <f t="shared" si="3"/>
        <v>1.5978941364527009E-2</v>
      </c>
      <c r="V42" s="553">
        <f t="shared" si="3"/>
        <v>1.4356753386850144E-2</v>
      </c>
      <c r="W42" s="553">
        <f t="shared" si="3"/>
        <v>1.6103014129600753E-2</v>
      </c>
      <c r="X42" s="553">
        <f t="shared" si="3"/>
        <v>9.6004187490625927E-3</v>
      </c>
      <c r="Y42" s="553">
        <f t="shared" si="3"/>
        <v>8.929147675502987E-3</v>
      </c>
      <c r="Z42" s="553">
        <f t="shared" si="3"/>
        <v>6.7246863791638346E-3</v>
      </c>
      <c r="AA42" s="553">
        <f t="shared" si="3"/>
        <v>6.4130382013855994E-3</v>
      </c>
      <c r="AB42" s="595">
        <f t="shared" si="3"/>
        <v>5.7685774268316304E-3</v>
      </c>
      <c r="AC42" s="549"/>
      <c r="AD42" s="549"/>
      <c r="AE42" s="549"/>
      <c r="AF42" s="549"/>
      <c r="AG42" s="549"/>
    </row>
    <row r="43" spans="1:33" x14ac:dyDescent="0.25">
      <c r="A43" s="549"/>
      <c r="B43" s="549"/>
      <c r="C43" s="549"/>
      <c r="D43" s="549"/>
      <c r="E43" s="549"/>
      <c r="F43" s="549"/>
      <c r="G43" s="549"/>
      <c r="H43" s="549"/>
      <c r="I43" s="549"/>
      <c r="J43" s="549"/>
      <c r="K43" s="549"/>
      <c r="L43" s="549"/>
      <c r="M43" s="549"/>
      <c r="N43" s="585">
        <v>3.3056330853857734</v>
      </c>
      <c r="O43" s="594">
        <f t="shared" si="4"/>
        <v>4.2912883867076979E-2</v>
      </c>
      <c r="P43" s="553">
        <f t="shared" si="4"/>
        <v>4.1516601875086177E-2</v>
      </c>
      <c r="Q43" s="553">
        <f t="shared" si="4"/>
        <v>1.6727797049974982E-2</v>
      </c>
      <c r="R43" s="553">
        <f t="shared" si="4"/>
        <v>1.6529728278667447E-2</v>
      </c>
      <c r="S43" s="553">
        <f t="shared" si="4"/>
        <v>1.7278485505163955E-2</v>
      </c>
      <c r="T43" s="553">
        <f t="shared" si="4"/>
        <v>1.776770851391174E-2</v>
      </c>
      <c r="U43" s="553">
        <f t="shared" si="4"/>
        <v>1.9858904969276347E-2</v>
      </c>
      <c r="V43" s="553">
        <f t="shared" si="4"/>
        <v>1.7842821665879041E-2</v>
      </c>
      <c r="W43" s="553">
        <f t="shared" si="4"/>
        <v>2.0013104749766482E-2</v>
      </c>
      <c r="X43" s="553">
        <f t="shared" si="4"/>
        <v>1.1931566632201386E-2</v>
      </c>
      <c r="Y43" s="553">
        <f t="shared" si="4"/>
        <v>1.1097299320348156E-2</v>
      </c>
      <c r="Z43" s="553">
        <f t="shared" si="4"/>
        <v>8.3575566556911701E-3</v>
      </c>
      <c r="AA43" s="553">
        <f t="shared" si="4"/>
        <v>7.9702349048218924E-3</v>
      </c>
      <c r="AB43" s="595">
        <f t="shared" si="4"/>
        <v>7.1692878967362711E-3</v>
      </c>
      <c r="AC43" s="549"/>
      <c r="AD43" s="549"/>
      <c r="AE43" s="549"/>
      <c r="AF43" s="549"/>
      <c r="AG43" s="549"/>
    </row>
    <row r="44" spans="1:33" ht="11.25" thickBot="1" x14ac:dyDescent="0.3">
      <c r="A44" s="549"/>
      <c r="B44" s="549"/>
      <c r="C44" s="549"/>
      <c r="D44" s="549"/>
      <c r="E44" s="549"/>
      <c r="F44" s="549"/>
      <c r="G44" s="549"/>
      <c r="H44" s="549"/>
      <c r="I44" s="549"/>
      <c r="J44" s="549"/>
      <c r="K44" s="549"/>
      <c r="L44" s="549"/>
      <c r="M44" s="549"/>
      <c r="N44" s="585">
        <v>4.0808230714498244</v>
      </c>
      <c r="O44" s="596">
        <f t="shared" si="4"/>
        <v>5.2976202144581895E-2</v>
      </c>
      <c r="P44" s="597">
        <f t="shared" si="4"/>
        <v>5.1252483988336192E-2</v>
      </c>
      <c r="Q44" s="597">
        <f t="shared" si="4"/>
        <v>2.0650561744998318E-2</v>
      </c>
      <c r="R44" s="597">
        <f t="shared" si="4"/>
        <v>2.0406044706716326E-2</v>
      </c>
      <c r="S44" s="597">
        <f t="shared" si="4"/>
        <v>2.1330389812744672E-2</v>
      </c>
      <c r="T44" s="597">
        <f t="shared" si="4"/>
        <v>2.1934338433058375E-2</v>
      </c>
      <c r="U44" s="597">
        <f t="shared" si="4"/>
        <v>2.4515932494333346E-2</v>
      </c>
      <c r="V44" s="597">
        <f t="shared" si="4"/>
        <v>2.2027066051520515E-2</v>
      </c>
      <c r="W44" s="597">
        <f t="shared" si="4"/>
        <v>2.4706293010937148E-2</v>
      </c>
      <c r="X44" s="597">
        <f t="shared" si="4"/>
        <v>1.4729587686694518E-2</v>
      </c>
      <c r="Y44" s="597">
        <f t="shared" si="4"/>
        <v>1.3699679888089044E-2</v>
      </c>
      <c r="Z44" s="597">
        <f t="shared" si="4"/>
        <v>1.0317451798348443E-2</v>
      </c>
      <c r="AA44" s="597">
        <f t="shared" si="4"/>
        <v>9.8393008674391748E-3</v>
      </c>
      <c r="AB44" s="598">
        <f t="shared" si="4"/>
        <v>8.8505271756296761E-3</v>
      </c>
      <c r="AC44" s="549"/>
      <c r="AD44" s="549"/>
      <c r="AE44" s="549"/>
      <c r="AF44" s="549"/>
      <c r="AG44" s="549"/>
    </row>
    <row r="45" spans="1:33" x14ac:dyDescent="0.25">
      <c r="A45" s="549"/>
      <c r="B45" s="549"/>
      <c r="C45" s="549"/>
      <c r="D45" s="549"/>
      <c r="E45" s="549"/>
      <c r="F45" s="549"/>
      <c r="G45" s="549"/>
      <c r="H45" s="549"/>
      <c r="I45" s="549"/>
      <c r="J45" s="549"/>
      <c r="K45" s="549"/>
      <c r="L45" s="549"/>
      <c r="M45" s="549"/>
      <c r="N45" s="549"/>
      <c r="O45" s="549"/>
      <c r="P45" s="549"/>
      <c r="Q45" s="549"/>
      <c r="R45" s="549"/>
      <c r="S45" s="549"/>
      <c r="T45" s="549"/>
      <c r="U45" s="549"/>
      <c r="V45" s="549"/>
      <c r="W45" s="549"/>
      <c r="X45" s="549"/>
      <c r="Y45" s="549"/>
      <c r="Z45" s="549"/>
      <c r="AA45" s="549"/>
      <c r="AB45" s="549"/>
      <c r="AC45" s="549"/>
      <c r="AD45" s="549"/>
      <c r="AE45" s="549"/>
      <c r="AF45" s="549"/>
      <c r="AG45" s="549"/>
    </row>
    <row r="46" spans="1:33" x14ac:dyDescent="0.25">
      <c r="A46" s="549"/>
      <c r="B46" s="549"/>
      <c r="C46" s="549"/>
      <c r="D46" s="549"/>
      <c r="E46" s="549"/>
      <c r="F46" s="549"/>
      <c r="G46" s="549"/>
      <c r="H46" s="549"/>
      <c r="I46" s="549"/>
      <c r="J46" s="549"/>
      <c r="K46" s="549"/>
      <c r="L46" s="549"/>
      <c r="M46" s="549"/>
      <c r="N46" s="549"/>
      <c r="O46" s="549"/>
      <c r="P46" s="549"/>
      <c r="Q46" s="549"/>
      <c r="R46" s="549"/>
      <c r="S46" s="549"/>
      <c r="T46" s="549"/>
      <c r="U46" s="549"/>
      <c r="V46" s="549"/>
      <c r="W46" s="549"/>
      <c r="X46" s="549"/>
      <c r="Y46" s="549"/>
      <c r="Z46" s="549"/>
      <c r="AA46" s="549"/>
      <c r="AB46" s="549"/>
      <c r="AC46" s="549"/>
      <c r="AD46" s="549"/>
      <c r="AE46" s="549"/>
      <c r="AF46" s="549"/>
      <c r="AG46" s="549"/>
    </row>
    <row r="47" spans="1:33" x14ac:dyDescent="0.25">
      <c r="A47" s="549"/>
      <c r="B47" s="549"/>
      <c r="C47" s="549"/>
      <c r="D47" s="549"/>
      <c r="E47" s="549"/>
      <c r="F47" s="549"/>
      <c r="G47" s="549"/>
      <c r="H47" s="549"/>
      <c r="I47" s="549"/>
      <c r="J47" s="549"/>
      <c r="K47" s="549"/>
      <c r="L47" s="549"/>
      <c r="M47" s="549"/>
      <c r="N47" s="599" t="s">
        <v>94</v>
      </c>
      <c r="O47" s="539">
        <v>2008</v>
      </c>
      <c r="P47" s="540">
        <v>2009</v>
      </c>
      <c r="Q47" s="538">
        <v>2010</v>
      </c>
      <c r="R47" s="538">
        <v>2011</v>
      </c>
      <c r="S47" s="538">
        <v>2012</v>
      </c>
      <c r="T47" s="538">
        <v>2013</v>
      </c>
      <c r="U47" s="541">
        <v>2014</v>
      </c>
      <c r="V47" s="540">
        <v>2015</v>
      </c>
      <c r="W47" s="542">
        <v>2016</v>
      </c>
      <c r="X47" s="543">
        <v>2017</v>
      </c>
      <c r="Y47" s="544">
        <v>2018</v>
      </c>
      <c r="Z47" s="545">
        <v>2019</v>
      </c>
      <c r="AA47" s="546">
        <v>2020</v>
      </c>
      <c r="AB47" s="540">
        <v>2021</v>
      </c>
      <c r="AC47" s="549"/>
      <c r="AD47" s="549"/>
      <c r="AE47" s="549"/>
      <c r="AF47" s="549"/>
      <c r="AG47" s="549"/>
    </row>
    <row r="48" spans="1:33" ht="11.25" thickBot="1" x14ac:dyDescent="0.3">
      <c r="A48" s="549"/>
      <c r="B48" s="549"/>
      <c r="C48" s="549"/>
      <c r="D48" s="549"/>
      <c r="E48" s="549"/>
      <c r="F48" s="549"/>
      <c r="G48" s="549"/>
      <c r="H48" s="549"/>
      <c r="I48" s="549"/>
      <c r="J48" s="549"/>
      <c r="K48" s="549"/>
      <c r="L48" s="549"/>
      <c r="M48" s="549"/>
      <c r="N48" s="555" t="s">
        <v>1</v>
      </c>
      <c r="O48" s="606">
        <v>1.2981744421906694E-2</v>
      </c>
      <c r="P48" s="587">
        <v>1.2559349692690142E-2</v>
      </c>
      <c r="Q48" s="588">
        <v>5.0603913434702375E-3</v>
      </c>
      <c r="R48" s="588">
        <v>5.0004727843950651E-3</v>
      </c>
      <c r="S48" s="588">
        <v>5.2269822629596304E-3</v>
      </c>
      <c r="T48" s="588">
        <v>5.3749790297244124E-3</v>
      </c>
      <c r="U48" s="589">
        <v>6.0075950525400722E-3</v>
      </c>
      <c r="V48" s="587">
        <v>5.3977018032528414E-3</v>
      </c>
      <c r="W48" s="590">
        <v>6.0542426315384357E-3</v>
      </c>
      <c r="X48" s="587">
        <v>3.6094649115629087E-3</v>
      </c>
      <c r="Y48" s="588">
        <v>3.35708744246583E-3</v>
      </c>
      <c r="Z48" s="589">
        <v>2.5282771680377914E-3</v>
      </c>
      <c r="AA48" s="607">
        <v>2.4111069495457182E-3</v>
      </c>
      <c r="AB48" s="587">
        <v>2.1688093359277356E-3</v>
      </c>
      <c r="AC48" s="549"/>
      <c r="AD48" s="549"/>
      <c r="AE48" s="549"/>
      <c r="AF48" s="549"/>
      <c r="AG48" s="549"/>
    </row>
    <row r="49" spans="1:33" x14ac:dyDescent="0.25">
      <c r="A49" s="549"/>
      <c r="B49" s="549"/>
      <c r="C49" s="549"/>
      <c r="D49" s="549"/>
      <c r="E49" s="549"/>
      <c r="F49" s="549"/>
      <c r="G49" s="549"/>
      <c r="H49" s="549"/>
      <c r="I49" s="549"/>
      <c r="J49" s="549"/>
      <c r="K49" s="549"/>
      <c r="L49" s="549"/>
      <c r="M49" s="549"/>
      <c r="N49" s="585">
        <v>0.2470133203369474</v>
      </c>
      <c r="O49" s="591">
        <f>$N49*O$48</f>
        <v>3.206663793420818E-3</v>
      </c>
      <c r="P49" s="592">
        <f t="shared" ref="P49:AB64" si="5">$N49*P$48</f>
        <v>3.1023266688642121E-3</v>
      </c>
      <c r="Q49" s="592">
        <f t="shared" si="5"/>
        <v>1.2499840679549294E-3</v>
      </c>
      <c r="R49" s="592">
        <f t="shared" si="5"/>
        <v>1.2351833857279656E-3</v>
      </c>
      <c r="S49" s="592">
        <f t="shared" si="5"/>
        <v>1.2911342441159893E-3</v>
      </c>
      <c r="T49" s="592">
        <f t="shared" si="5"/>
        <v>1.3276914168736909E-3</v>
      </c>
      <c r="U49" s="592">
        <f t="shared" si="5"/>
        <v>1.4839560011677413E-3</v>
      </c>
      <c r="V49" s="592">
        <f t="shared" si="5"/>
        <v>1.3333042446102127E-3</v>
      </c>
      <c r="W49" s="592">
        <f t="shared" si="5"/>
        <v>1.4954785745418071E-3</v>
      </c>
      <c r="X49" s="592">
        <f t="shared" si="5"/>
        <v>8.9158591244486031E-4</v>
      </c>
      <c r="Y49" s="592">
        <f t="shared" si="5"/>
        <v>8.2924531582495554E-4</v>
      </c>
      <c r="Z49" s="592">
        <f t="shared" si="5"/>
        <v>6.2451813800910915E-4</v>
      </c>
      <c r="AA49" s="592">
        <f t="shared" si="5"/>
        <v>5.955755332947766E-4</v>
      </c>
      <c r="AB49" s="593">
        <f t="shared" si="5"/>
        <v>5.357247952452799E-4</v>
      </c>
      <c r="AC49" s="549"/>
      <c r="AD49" s="549"/>
      <c r="AE49" s="549"/>
      <c r="AF49" s="549"/>
      <c r="AG49" s="549"/>
    </row>
    <row r="50" spans="1:33" x14ac:dyDescent="0.25">
      <c r="A50" s="549"/>
      <c r="B50" s="549"/>
      <c r="C50" s="549"/>
      <c r="D50" s="549"/>
      <c r="E50" s="549"/>
      <c r="F50" s="549"/>
      <c r="G50" s="549"/>
      <c r="H50" s="549"/>
      <c r="I50" s="549"/>
      <c r="J50" s="549"/>
      <c r="K50" s="549"/>
      <c r="L50" s="549"/>
      <c r="M50" s="549"/>
      <c r="N50" s="585">
        <v>0.36434905877026119</v>
      </c>
      <c r="O50" s="594">
        <f t="shared" ref="O50:AB66" si="6">$N50*O$48</f>
        <v>4.7298863613177925E-3</v>
      </c>
      <c r="P50" s="553">
        <f t="shared" si="5"/>
        <v>4.5759872392982228E-3</v>
      </c>
      <c r="Q50" s="553">
        <f t="shared" si="5"/>
        <v>1.8437488230025586E-3</v>
      </c>
      <c r="R50" s="553">
        <f t="shared" si="5"/>
        <v>1.8219175524006492E-3</v>
      </c>
      <c r="S50" s="553">
        <f t="shared" si="5"/>
        <v>1.9044460677181913E-3</v>
      </c>
      <c r="T50" s="553">
        <f t="shared" si="5"/>
        <v>1.9583685503899812E-3</v>
      </c>
      <c r="U50" s="553">
        <f t="shared" si="5"/>
        <v>2.188861602865853E-3</v>
      </c>
      <c r="V50" s="553">
        <f t="shared" si="5"/>
        <v>1.9666475715377145E-3</v>
      </c>
      <c r="W50" s="553">
        <f t="shared" si="5"/>
        <v>2.2058576043678182E-3</v>
      </c>
      <c r="X50" s="553">
        <f t="shared" si="5"/>
        <v>1.3151051431922298E-3</v>
      </c>
      <c r="Y50" s="553">
        <f t="shared" si="5"/>
        <v>1.2231516498718885E-3</v>
      </c>
      <c r="Z50" s="553">
        <f t="shared" si="5"/>
        <v>9.2117540648491082E-4</v>
      </c>
      <c r="AA50" s="553">
        <f t="shared" si="5"/>
        <v>8.7848454766141807E-4</v>
      </c>
      <c r="AB50" s="595">
        <f t="shared" si="5"/>
        <v>7.9020364019742563E-4</v>
      </c>
      <c r="AC50" s="549"/>
      <c r="AD50" s="549"/>
      <c r="AE50" s="549"/>
      <c r="AF50" s="549"/>
      <c r="AG50" s="549"/>
    </row>
    <row r="51" spans="1:33" x14ac:dyDescent="0.25">
      <c r="A51" s="549"/>
      <c r="B51" s="549"/>
      <c r="C51" s="549"/>
      <c r="D51" s="549"/>
      <c r="E51" s="549"/>
      <c r="F51" s="549"/>
      <c r="G51" s="549"/>
      <c r="H51" s="549"/>
      <c r="I51" s="549"/>
      <c r="J51" s="549"/>
      <c r="K51" s="549"/>
      <c r="L51" s="549"/>
      <c r="M51" s="549"/>
      <c r="N51" s="585">
        <v>0.56623701900805956</v>
      </c>
      <c r="O51" s="594">
        <f t="shared" si="6"/>
        <v>7.3507442629849517E-3</v>
      </c>
      <c r="P51" s="553">
        <f t="shared" si="5"/>
        <v>7.1115687306686553E-3</v>
      </c>
      <c r="Q51" s="553">
        <f t="shared" si="5"/>
        <v>2.865380909340777E-3</v>
      </c>
      <c r="R51" s="553">
        <f t="shared" si="5"/>
        <v>2.8314528030667931E-3</v>
      </c>
      <c r="S51" s="553">
        <f t="shared" si="5"/>
        <v>2.9597108549862623E-3</v>
      </c>
      <c r="T51" s="553">
        <f t="shared" si="5"/>
        <v>3.0435121030219837E-3</v>
      </c>
      <c r="U51" s="553">
        <f t="shared" si="5"/>
        <v>3.4017227139578575E-3</v>
      </c>
      <c r="V51" s="553">
        <f t="shared" si="5"/>
        <v>3.0563785785683163E-3</v>
      </c>
      <c r="W51" s="553">
        <f t="shared" si="5"/>
        <v>3.4281363000338337E-3</v>
      </c>
      <c r="X51" s="553">
        <f t="shared" si="5"/>
        <v>2.0438126517375709E-3</v>
      </c>
      <c r="Y51" s="553">
        <f t="shared" si="5"/>
        <v>1.9009071859712422E-3</v>
      </c>
      <c r="Z51" s="553">
        <f t="shared" si="5"/>
        <v>1.4316041268558578E-3</v>
      </c>
      <c r="AA51" s="553">
        <f t="shared" si="5"/>
        <v>1.3652580116203833E-3</v>
      </c>
      <c r="AB51" s="595">
        <f t="shared" si="5"/>
        <v>1.2280601331725702E-3</v>
      </c>
      <c r="AC51" s="549"/>
      <c r="AD51" s="549"/>
      <c r="AE51" s="549"/>
      <c r="AF51" s="549"/>
      <c r="AG51" s="549"/>
    </row>
    <row r="52" spans="1:33" x14ac:dyDescent="0.25">
      <c r="A52" s="549"/>
      <c r="B52" s="549"/>
      <c r="C52" s="549"/>
      <c r="D52" s="549"/>
      <c r="E52" s="549"/>
      <c r="F52" s="549"/>
      <c r="G52" s="549"/>
      <c r="H52" s="549"/>
      <c r="I52" s="549"/>
      <c r="J52" s="549"/>
      <c r="K52" s="549"/>
      <c r="L52" s="549"/>
      <c r="M52" s="549"/>
      <c r="N52" s="585">
        <v>0.60692181512263088</v>
      </c>
      <c r="O52" s="594">
        <f t="shared" si="6"/>
        <v>7.8789038880016996E-3</v>
      </c>
      <c r="P52" s="553">
        <f t="shared" si="5"/>
        <v>7.6225433122473572E-3</v>
      </c>
      <c r="Q52" s="553">
        <f t="shared" si="5"/>
        <v>3.0712618994098054E-3</v>
      </c>
      <c r="R52" s="553">
        <f t="shared" si="5"/>
        <v>3.0348960187763689E-3</v>
      </c>
      <c r="S52" s="553">
        <f t="shared" si="5"/>
        <v>3.1723695626492557E-3</v>
      </c>
      <c r="T52" s="553">
        <f t="shared" si="5"/>
        <v>3.2621920289664179E-3</v>
      </c>
      <c r="U52" s="553">
        <f t="shared" si="5"/>
        <v>3.6461404938093575E-3</v>
      </c>
      <c r="V52" s="553">
        <f t="shared" si="5"/>
        <v>3.2759829759209124E-3</v>
      </c>
      <c r="W52" s="553">
        <f t="shared" si="5"/>
        <v>3.6744519271261207E-3</v>
      </c>
      <c r="X52" s="553">
        <f t="shared" si="5"/>
        <v>2.1906629957472068E-3</v>
      </c>
      <c r="Y52" s="553">
        <f t="shared" si="5"/>
        <v>2.037489604106752E-3</v>
      </c>
      <c r="Z52" s="553">
        <f t="shared" si="5"/>
        <v>1.5344665679586011E-3</v>
      </c>
      <c r="AA52" s="553">
        <f t="shared" si="5"/>
        <v>1.4633534062730769E-3</v>
      </c>
      <c r="AB52" s="595">
        <f t="shared" si="5"/>
        <v>1.3162976988161689E-3</v>
      </c>
      <c r="AC52" s="549"/>
      <c r="AD52" s="549"/>
      <c r="AE52" s="549"/>
      <c r="AF52" s="549"/>
      <c r="AG52" s="549"/>
    </row>
    <row r="53" spans="1:33" x14ac:dyDescent="0.25">
      <c r="A53" s="549"/>
      <c r="B53" s="549"/>
      <c r="C53" s="549"/>
      <c r="D53" s="549"/>
      <c r="E53" s="549"/>
      <c r="F53" s="549"/>
      <c r="G53" s="549"/>
      <c r="H53" s="549"/>
      <c r="I53" s="549"/>
      <c r="J53" s="549"/>
      <c r="K53" s="549"/>
      <c r="L53" s="549"/>
      <c r="M53" s="549"/>
      <c r="N53" s="585">
        <v>0.86192791874103203</v>
      </c>
      <c r="O53" s="594">
        <f t="shared" si="6"/>
        <v>1.1189327951202038E-2</v>
      </c>
      <c r="P53" s="553">
        <f t="shared" si="5"/>
        <v>1.0825254141361235E-2</v>
      </c>
      <c r="Q53" s="553">
        <f t="shared" si="5"/>
        <v>4.3616925786924372E-3</v>
      </c>
      <c r="R53" s="553">
        <f t="shared" si="5"/>
        <v>4.3100470997748117E-3</v>
      </c>
      <c r="S53" s="553">
        <f t="shared" si="5"/>
        <v>4.5052819432090836E-3</v>
      </c>
      <c r="T53" s="553">
        <f t="shared" si="5"/>
        <v>4.6328444883670548E-3</v>
      </c>
      <c r="U53" s="553">
        <f t="shared" si="5"/>
        <v>5.1781139002747851E-3</v>
      </c>
      <c r="V53" s="553">
        <f t="shared" si="5"/>
        <v>4.6524298812624367E-3</v>
      </c>
      <c r="W53" s="553">
        <f t="shared" si="5"/>
        <v>5.2183207509551525E-3</v>
      </c>
      <c r="X53" s="553">
        <f t="shared" si="5"/>
        <v>3.111098578992201E-3</v>
      </c>
      <c r="Y53" s="553">
        <f t="shared" si="5"/>
        <v>2.8935673923162269E-3</v>
      </c>
      <c r="Z53" s="553">
        <f t="shared" si="5"/>
        <v>2.179192677447284E-3</v>
      </c>
      <c r="AA53" s="553">
        <f t="shared" si="5"/>
        <v>2.0782003948839793E-3</v>
      </c>
      <c r="AB53" s="595">
        <f t="shared" si="5"/>
        <v>1.8693573170623129E-3</v>
      </c>
      <c r="AC53" s="549"/>
      <c r="AD53" s="549"/>
      <c r="AE53" s="549"/>
      <c r="AF53" s="549"/>
      <c r="AG53" s="549"/>
    </row>
    <row r="54" spans="1:33" x14ac:dyDescent="0.25">
      <c r="A54" s="549"/>
      <c r="B54" s="549"/>
      <c r="C54" s="549"/>
      <c r="D54" s="549"/>
      <c r="E54" s="549"/>
      <c r="F54" s="549"/>
      <c r="G54" s="549"/>
      <c r="H54" s="549"/>
      <c r="I54" s="549"/>
      <c r="J54" s="549"/>
      <c r="K54" s="549"/>
      <c r="L54" s="549"/>
      <c r="M54" s="549"/>
      <c r="N54" s="585">
        <v>0.95363567136860561</v>
      </c>
      <c r="O54" s="594">
        <f t="shared" si="6"/>
        <v>1.237985455732064E-2</v>
      </c>
      <c r="P54" s="553">
        <f t="shared" si="5"/>
        <v>1.1977043876141654E-2</v>
      </c>
      <c r="Q54" s="553">
        <f t="shared" si="5"/>
        <v>4.8257696962181202E-3</v>
      </c>
      <c r="R54" s="553">
        <f t="shared" si="5"/>
        <v>4.7686292209070287E-3</v>
      </c>
      <c r="S54" s="553">
        <f t="shared" si="5"/>
        <v>4.9846367395693005E-3</v>
      </c>
      <c r="T54" s="553">
        <f t="shared" si="5"/>
        <v>5.1257717356034162E-3</v>
      </c>
      <c r="U54" s="553">
        <f t="shared" si="5"/>
        <v>5.7290569412397655E-3</v>
      </c>
      <c r="V54" s="553">
        <f t="shared" si="5"/>
        <v>5.1474409829925568E-3</v>
      </c>
      <c r="W54" s="553">
        <f t="shared" si="5"/>
        <v>5.77354173655559E-3</v>
      </c>
      <c r="X54" s="553">
        <f t="shared" si="5"/>
        <v>3.442114494219719E-3</v>
      </c>
      <c r="Y54" s="553">
        <f t="shared" si="5"/>
        <v>3.2014383370390169E-3</v>
      </c>
      <c r="Z54" s="553">
        <f t="shared" si="5"/>
        <v>2.4110552945476359E-3</v>
      </c>
      <c r="AA54" s="553">
        <f t="shared" si="5"/>
        <v>2.2993175945715417E-3</v>
      </c>
      <c r="AB54" s="595">
        <f t="shared" si="5"/>
        <v>2.0682539471379457E-3</v>
      </c>
      <c r="AC54" s="549"/>
      <c r="AD54" s="549"/>
      <c r="AE54" s="549"/>
      <c r="AF54" s="549"/>
      <c r="AG54" s="549"/>
    </row>
    <row r="55" spans="1:33" x14ac:dyDescent="0.25">
      <c r="A55" s="549"/>
      <c r="B55" s="549"/>
      <c r="C55" s="549"/>
      <c r="D55" s="549"/>
      <c r="E55" s="549"/>
      <c r="F55" s="549"/>
      <c r="G55" s="549"/>
      <c r="H55" s="549"/>
      <c r="I55" s="549"/>
      <c r="J55" s="549"/>
      <c r="K55" s="549"/>
      <c r="L55" s="549"/>
      <c r="M55" s="549"/>
      <c r="N55" s="585">
        <v>1.1482632295444801</v>
      </c>
      <c r="O55" s="594">
        <f t="shared" si="6"/>
        <v>1.490645977501962E-2</v>
      </c>
      <c r="P55" s="553">
        <f t="shared" si="5"/>
        <v>1.4421439439106856E-2</v>
      </c>
      <c r="Q55" s="553">
        <f t="shared" si="5"/>
        <v>5.8106613068120653E-3</v>
      </c>
      <c r="R55" s="553">
        <f t="shared" si="5"/>
        <v>5.7418590286587561E-3</v>
      </c>
      <c r="S55" s="553">
        <f t="shared" si="5"/>
        <v>6.0019515340377404E-3</v>
      </c>
      <c r="T55" s="553">
        <f t="shared" si="5"/>
        <v>6.1718907794052098E-3</v>
      </c>
      <c r="U55" s="553">
        <f t="shared" si="5"/>
        <v>6.8983004968251041E-3</v>
      </c>
      <c r="V55" s="553">
        <f t="shared" si="5"/>
        <v>6.1979825047211714E-3</v>
      </c>
      <c r="W55" s="553">
        <f t="shared" si="5"/>
        <v>6.9518641965361965E-3</v>
      </c>
      <c r="X55" s="553">
        <f t="shared" si="5"/>
        <v>4.1446158362787068E-3</v>
      </c>
      <c r="Y55" s="553">
        <f t="shared" si="5"/>
        <v>3.8548200685490329E-3</v>
      </c>
      <c r="Z55" s="553">
        <f t="shared" si="5"/>
        <v>2.9031277061546466E-3</v>
      </c>
      <c r="AA55" s="553">
        <f t="shared" si="5"/>
        <v>2.7685854526625061E-3</v>
      </c>
      <c r="AB55" s="595">
        <f t="shared" si="5"/>
        <v>2.4903640123386007E-3</v>
      </c>
      <c r="AC55" s="549"/>
      <c r="AD55" s="549"/>
      <c r="AE55" s="549"/>
      <c r="AF55" s="549"/>
      <c r="AG55" s="549"/>
    </row>
    <row r="56" spans="1:33" x14ac:dyDescent="0.25">
      <c r="A56" s="549"/>
      <c r="B56" s="549"/>
      <c r="C56" s="549"/>
      <c r="D56" s="549"/>
      <c r="E56" s="549"/>
      <c r="F56" s="549"/>
      <c r="G56" s="549"/>
      <c r="H56" s="549"/>
      <c r="I56" s="549"/>
      <c r="J56" s="549"/>
      <c r="K56" s="549"/>
      <c r="L56" s="549"/>
      <c r="M56" s="549"/>
      <c r="N56" s="585">
        <v>1.290909270186344</v>
      </c>
      <c r="O56" s="594">
        <f t="shared" si="6"/>
        <v>1.6758254217429214E-2</v>
      </c>
      <c r="P56" s="553">
        <f t="shared" si="5"/>
        <v>1.6212980945805717E-2</v>
      </c>
      <c r="Q56" s="553">
        <f t="shared" si="5"/>
        <v>6.5325060960564575E-3</v>
      </c>
      <c r="R56" s="553">
        <f t="shared" si="5"/>
        <v>6.4551566726901094E-3</v>
      </c>
      <c r="S56" s="553">
        <f t="shared" si="5"/>
        <v>6.7475598583541813E-3</v>
      </c>
      <c r="T56" s="553">
        <f t="shared" si="5"/>
        <v>6.9386102565284448E-3</v>
      </c>
      <c r="U56" s="553">
        <f t="shared" si="5"/>
        <v>7.7552601448495958E-3</v>
      </c>
      <c r="V56" s="553">
        <f t="shared" si="5"/>
        <v>6.9679432955206391E-3</v>
      </c>
      <c r="W56" s="553">
        <f t="shared" si="5"/>
        <v>7.8154779370103334E-3</v>
      </c>
      <c r="X56" s="553">
        <f t="shared" si="5"/>
        <v>4.6594917147488911E-3</v>
      </c>
      <c r="Y56" s="553">
        <f t="shared" si="5"/>
        <v>4.3336953003053052E-3</v>
      </c>
      <c r="Z56" s="553">
        <f t="shared" si="5"/>
        <v>3.2637764338204621E-3</v>
      </c>
      <c r="AA56" s="553">
        <f t="shared" si="5"/>
        <v>3.1125203125792855E-3</v>
      </c>
      <c r="AB56" s="595">
        <f t="shared" si="5"/>
        <v>2.7997360770158027E-3</v>
      </c>
      <c r="AC56" s="549"/>
      <c r="AD56" s="549"/>
      <c r="AE56" s="549"/>
      <c r="AF56" s="549"/>
      <c r="AG56" s="549"/>
    </row>
    <row r="57" spans="1:33" x14ac:dyDescent="0.25">
      <c r="A57" s="549"/>
      <c r="B57" s="549"/>
      <c r="C57" s="549"/>
      <c r="D57" s="549"/>
      <c r="E57" s="549"/>
      <c r="F57" s="549"/>
      <c r="G57" s="549"/>
      <c r="H57" s="549"/>
      <c r="I57" s="549"/>
      <c r="J57" s="549"/>
      <c r="K57" s="549"/>
      <c r="L57" s="549"/>
      <c r="M57" s="549"/>
      <c r="N57" s="585">
        <v>1.4344918415959156</v>
      </c>
      <c r="O57" s="594">
        <f t="shared" si="6"/>
        <v>1.8622206462908436E-2</v>
      </c>
      <c r="P57" s="553">
        <f t="shared" si="5"/>
        <v>1.801628466991418E-2</v>
      </c>
      <c r="Q57" s="553">
        <f t="shared" si="5"/>
        <v>7.2590900974906503E-3</v>
      </c>
      <c r="R57" s="553">
        <f t="shared" si="5"/>
        <v>7.1731374133371323E-3</v>
      </c>
      <c r="S57" s="553">
        <f t="shared" si="5"/>
        <v>7.4980634123821468E-3</v>
      </c>
      <c r="T57" s="553">
        <f t="shared" si="5"/>
        <v>7.7103635668887994E-3</v>
      </c>
      <c r="U57" s="553">
        <f t="shared" si="5"/>
        <v>8.6178460904807203E-3</v>
      </c>
      <c r="V57" s="553">
        <f t="shared" si="5"/>
        <v>7.7429592001337626E-3</v>
      </c>
      <c r="W57" s="553">
        <f t="shared" si="5"/>
        <v>8.6847616619840726E-3</v>
      </c>
      <c r="X57" s="553">
        <f t="shared" si="5"/>
        <v>5.1777479681637158E-3</v>
      </c>
      <c r="Y57" s="553">
        <f t="shared" si="5"/>
        <v>4.815714547741331E-3</v>
      </c>
      <c r="Z57" s="553">
        <f t="shared" si="5"/>
        <v>3.6267929708434375E-3</v>
      </c>
      <c r="AA57" s="553">
        <f t="shared" si="5"/>
        <v>3.4587132483385476E-3</v>
      </c>
      <c r="AB57" s="595">
        <f t="shared" si="5"/>
        <v>3.111139298365392E-3</v>
      </c>
      <c r="AC57" s="549"/>
      <c r="AD57" s="549"/>
      <c r="AE57" s="549"/>
      <c r="AF57" s="549"/>
      <c r="AG57" s="549"/>
    </row>
    <row r="58" spans="1:33" x14ac:dyDescent="0.25">
      <c r="A58" s="549"/>
      <c r="B58" s="549"/>
      <c r="C58" s="549"/>
      <c r="D58" s="549"/>
      <c r="E58" s="549"/>
      <c r="F58" s="549"/>
      <c r="G58" s="549"/>
      <c r="H58" s="549"/>
      <c r="I58" s="549"/>
      <c r="J58" s="549"/>
      <c r="K58" s="549"/>
      <c r="L58" s="549"/>
      <c r="M58" s="549"/>
      <c r="N58" s="585">
        <v>1.61573537283993</v>
      </c>
      <c r="O58" s="594">
        <f t="shared" si="6"/>
        <v>2.0975063663642091E-2</v>
      </c>
      <c r="P58" s="553">
        <f t="shared" si="5"/>
        <v>2.0292585558345767E-2</v>
      </c>
      <c r="Q58" s="553">
        <f t="shared" si="5"/>
        <v>8.1762532940578385E-3</v>
      </c>
      <c r="R58" s="553">
        <f t="shared" si="5"/>
        <v>8.0794407586704826E-3</v>
      </c>
      <c r="S58" s="553">
        <f t="shared" si="5"/>
        <v>8.445420135470779E-3</v>
      </c>
      <c r="T58" s="553">
        <f t="shared" si="5"/>
        <v>8.6845437465985793E-3</v>
      </c>
      <c r="U58" s="553">
        <f t="shared" si="5"/>
        <v>9.7066838320871516E-3</v>
      </c>
      <c r="V58" s="553">
        <f t="shared" si="5"/>
        <v>8.7212577355574913E-3</v>
      </c>
      <c r="W58" s="553">
        <f t="shared" si="5"/>
        <v>9.7820539755321539E-3</v>
      </c>
      <c r="X58" s="553">
        <f t="shared" si="5"/>
        <v>5.8319401346367409E-3</v>
      </c>
      <c r="Y58" s="553">
        <f t="shared" si="5"/>
        <v>5.4241649305087746E-3</v>
      </c>
      <c r="Z58" s="553">
        <f t="shared" si="5"/>
        <v>4.0850268527422235E-3</v>
      </c>
      <c r="AA58" s="553">
        <f t="shared" si="5"/>
        <v>3.8957107860811972E-3</v>
      </c>
      <c r="AB58" s="595">
        <f t="shared" si="5"/>
        <v>3.5042219610039206E-3</v>
      </c>
      <c r="AC58" s="549"/>
      <c r="AD58" s="549"/>
      <c r="AE58" s="549"/>
      <c r="AF58" s="549"/>
      <c r="AG58" s="549"/>
    </row>
    <row r="59" spans="1:33" x14ac:dyDescent="0.25">
      <c r="A59" s="549"/>
      <c r="B59" s="549"/>
      <c r="C59" s="549"/>
      <c r="D59" s="549"/>
      <c r="E59" s="549"/>
      <c r="F59" s="549"/>
      <c r="G59" s="549"/>
      <c r="H59" s="549"/>
      <c r="I59" s="549"/>
      <c r="J59" s="549"/>
      <c r="K59" s="549"/>
      <c r="L59" s="549"/>
      <c r="M59" s="549"/>
      <c r="N59" s="585">
        <v>1.9767126203867478</v>
      </c>
      <c r="O59" s="594">
        <f t="shared" si="6"/>
        <v>2.5661178033418226E-2</v>
      </c>
      <c r="P59" s="553">
        <f t="shared" si="5"/>
        <v>2.4826225041391026E-2</v>
      </c>
      <c r="Q59" s="553">
        <f t="shared" si="5"/>
        <v>1.0002939432733468E-2</v>
      </c>
      <c r="R59" s="553">
        <f t="shared" si="5"/>
        <v>9.8844976608141854E-3</v>
      </c>
      <c r="S59" s="553">
        <f t="shared" si="5"/>
        <v>1.0332241805729983E-2</v>
      </c>
      <c r="T59" s="553">
        <f t="shared" si="5"/>
        <v>1.0624788882370362E-2</v>
      </c>
      <c r="U59" s="553">
        <f t="shared" si="5"/>
        <v>1.1875288958528948E-2</v>
      </c>
      <c r="V59" s="553">
        <f t="shared" si="5"/>
        <v>1.0669705275574197E-2</v>
      </c>
      <c r="W59" s="553">
        <f t="shared" si="5"/>
        <v>1.19674978166455E-2</v>
      </c>
      <c r="X59" s="553">
        <f t="shared" si="5"/>
        <v>7.1348748435295381E-3</v>
      </c>
      <c r="Y59" s="553">
        <f t="shared" si="5"/>
        <v>6.6359971152640763E-3</v>
      </c>
      <c r="Z59" s="553">
        <f t="shared" si="5"/>
        <v>4.9976773858959687E-3</v>
      </c>
      <c r="AA59" s="553">
        <f t="shared" si="5"/>
        <v>4.7660655362692147E-3</v>
      </c>
      <c r="AB59" s="595">
        <f t="shared" si="5"/>
        <v>4.2871127855409561E-3</v>
      </c>
      <c r="AC59" s="549"/>
      <c r="AD59" s="549"/>
      <c r="AE59" s="549"/>
      <c r="AF59" s="549"/>
      <c r="AG59" s="549"/>
    </row>
    <row r="60" spans="1:33" x14ac:dyDescent="0.25">
      <c r="A60" s="549"/>
      <c r="B60" s="549"/>
      <c r="C60" s="549"/>
      <c r="D60" s="549"/>
      <c r="E60" s="549"/>
      <c r="F60" s="549"/>
      <c r="G60" s="549"/>
      <c r="H60" s="549"/>
      <c r="I60" s="549"/>
      <c r="J60" s="549"/>
      <c r="K60" s="549"/>
      <c r="L60" s="549"/>
      <c r="M60" s="549"/>
      <c r="N60" s="585">
        <v>2.0019697448669809</v>
      </c>
      <c r="O60" s="594">
        <f t="shared" si="6"/>
        <v>2.5989059568252895E-2</v>
      </c>
      <c r="P60" s="553">
        <f t="shared" si="5"/>
        <v>2.5143438099970078E-2</v>
      </c>
      <c r="Q60" s="553">
        <f t="shared" si="5"/>
        <v>1.0130750366814189E-2</v>
      </c>
      <c r="R60" s="553">
        <f t="shared" si="5"/>
        <v>1.0010795224389669E-2</v>
      </c>
      <c r="S60" s="553">
        <f t="shared" si="5"/>
        <v>1.0464260347401525E-2</v>
      </c>
      <c r="T60" s="553">
        <f t="shared" si="5"/>
        <v>1.0760545396802754E-2</v>
      </c>
      <c r="U60" s="553">
        <f t="shared" si="5"/>
        <v>1.2027023534597786E-2</v>
      </c>
      <c r="V60" s="553">
        <f t="shared" si="5"/>
        <v>1.0806035701926134E-2</v>
      </c>
      <c r="W60" s="553">
        <f t="shared" si="5"/>
        <v>1.2120410576423801E-2</v>
      </c>
      <c r="X60" s="553">
        <f t="shared" si="5"/>
        <v>7.2260395481079159E-3</v>
      </c>
      <c r="Y60" s="553">
        <f t="shared" si="5"/>
        <v>6.7207874906894628E-3</v>
      </c>
      <c r="Z60" s="553">
        <f t="shared" si="5"/>
        <v>5.0615343970496305E-3</v>
      </c>
      <c r="AA60" s="553">
        <f t="shared" si="5"/>
        <v>4.8269631646290457E-3</v>
      </c>
      <c r="AB60" s="595">
        <f t="shared" si="5"/>
        <v>4.3418906729123753E-3</v>
      </c>
      <c r="AC60" s="549"/>
      <c r="AD60" s="549"/>
      <c r="AE60" s="549"/>
      <c r="AF60" s="549"/>
      <c r="AG60" s="549"/>
    </row>
    <row r="61" spans="1:33" x14ac:dyDescent="0.25">
      <c r="A61" s="549"/>
      <c r="B61" s="549"/>
      <c r="C61" s="549"/>
      <c r="D61" s="549"/>
      <c r="E61" s="549"/>
      <c r="F61" s="549"/>
      <c r="G61" s="549"/>
      <c r="H61" s="549"/>
      <c r="I61" s="549"/>
      <c r="J61" s="549"/>
      <c r="K61" s="549"/>
      <c r="L61" s="549"/>
      <c r="M61" s="549"/>
      <c r="N61" s="585">
        <v>2.4047403819085367</v>
      </c>
      <c r="O61" s="594">
        <f t="shared" si="6"/>
        <v>3.1217725038974919E-2</v>
      </c>
      <c r="P61" s="553">
        <f t="shared" si="5"/>
        <v>3.0201975376522555E-2</v>
      </c>
      <c r="Q61" s="553">
        <f t="shared" si="5"/>
        <v>1.2168927411903271E-2</v>
      </c>
      <c r="R61" s="553">
        <f t="shared" si="5"/>
        <v>1.2024838833269432E-2</v>
      </c>
      <c r="S61" s="553">
        <f t="shared" si="5"/>
        <v>1.2569535323258689E-2</v>
      </c>
      <c r="T61" s="553">
        <f t="shared" si="5"/>
        <v>1.292542912468986E-2</v>
      </c>
      <c r="U61" s="553">
        <f t="shared" si="5"/>
        <v>1.4446706420997048E-2</v>
      </c>
      <c r="V61" s="553">
        <f t="shared" si="5"/>
        <v>1.2980071495782635E-2</v>
      </c>
      <c r="W61" s="553">
        <f t="shared" si="5"/>
        <v>1.4558881737932681E-2</v>
      </c>
      <c r="X61" s="553">
        <f t="shared" si="5"/>
        <v>8.6798260299172508E-3</v>
      </c>
      <c r="Y61" s="553">
        <f t="shared" si="5"/>
        <v>8.0729237384956319E-3</v>
      </c>
      <c r="Z61" s="553">
        <f t="shared" si="5"/>
        <v>6.0798502026378322E-3</v>
      </c>
      <c r="AA61" s="553">
        <f t="shared" si="5"/>
        <v>5.7980862466728974E-3</v>
      </c>
      <c r="AB61" s="595">
        <f t="shared" si="5"/>
        <v>5.2154233907656623E-3</v>
      </c>
      <c r="AC61" s="549"/>
      <c r="AD61" s="549"/>
      <c r="AE61" s="549"/>
      <c r="AF61" s="549"/>
      <c r="AG61" s="549"/>
    </row>
    <row r="62" spans="1:33" x14ac:dyDescent="0.25">
      <c r="A62" s="549"/>
      <c r="B62" s="549"/>
      <c r="C62" s="549"/>
      <c r="D62" s="549"/>
      <c r="E62" s="549"/>
      <c r="F62" s="549"/>
      <c r="G62" s="549"/>
      <c r="H62" s="549"/>
      <c r="I62" s="549"/>
      <c r="J62" s="549"/>
      <c r="K62" s="549"/>
      <c r="L62" s="549"/>
      <c r="M62" s="549"/>
      <c r="N62" s="585">
        <v>2.4120640191898044</v>
      </c>
      <c r="O62" s="594">
        <f t="shared" si="6"/>
        <v>3.1312798626399081E-2</v>
      </c>
      <c r="P62" s="553">
        <f t="shared" si="5"/>
        <v>3.029395549816042E-2</v>
      </c>
      <c r="Q62" s="553">
        <f t="shared" si="5"/>
        <v>1.2205987882604115E-2</v>
      </c>
      <c r="R62" s="553">
        <f t="shared" si="5"/>
        <v>1.2061460482177194E-2</v>
      </c>
      <c r="S62" s="553">
        <f t="shared" si="5"/>
        <v>1.2607815845428225E-2</v>
      </c>
      <c r="T62" s="553">
        <f t="shared" si="5"/>
        <v>1.2964793521497981E-2</v>
      </c>
      <c r="U62" s="553">
        <f t="shared" si="5"/>
        <v>1.4490703868094592E-2</v>
      </c>
      <c r="V62" s="553">
        <f t="shared" si="5"/>
        <v>1.3019602305942103E-2</v>
      </c>
      <c r="W62" s="553">
        <f t="shared" si="5"/>
        <v>1.4603220814978857E-2</v>
      </c>
      <c r="X62" s="553">
        <f t="shared" si="5"/>
        <v>8.7062604417090014E-3</v>
      </c>
      <c r="Y62" s="553">
        <f t="shared" si="5"/>
        <v>8.0975098292457512E-3</v>
      </c>
      <c r="Z62" s="553">
        <f t="shared" si="5"/>
        <v>6.0983663875630511E-3</v>
      </c>
      <c r="AA62" s="553">
        <f t="shared" si="5"/>
        <v>5.8157443194177139E-3</v>
      </c>
      <c r="AB62" s="595">
        <f t="shared" si="5"/>
        <v>5.2313069636742244E-3</v>
      </c>
      <c r="AC62" s="549"/>
      <c r="AD62" s="549"/>
      <c r="AE62" s="549"/>
      <c r="AF62" s="549"/>
      <c r="AG62" s="549"/>
    </row>
    <row r="63" spans="1:33" x14ac:dyDescent="0.25">
      <c r="A63" s="549"/>
      <c r="B63" s="549"/>
      <c r="C63" s="549"/>
      <c r="D63" s="549"/>
      <c r="E63" s="549"/>
      <c r="F63" s="549"/>
      <c r="G63" s="549"/>
      <c r="H63" s="549"/>
      <c r="I63" s="549"/>
      <c r="J63" s="549"/>
      <c r="K63" s="549"/>
      <c r="L63" s="549"/>
      <c r="M63" s="549"/>
      <c r="N63" s="585">
        <v>2.6540937374706761</v>
      </c>
      <c r="O63" s="594">
        <f t="shared" si="6"/>
        <v>3.4454766571627438E-2</v>
      </c>
      <c r="P63" s="553">
        <f t="shared" si="5"/>
        <v>3.333369136607317E-2</v>
      </c>
      <c r="Q63" s="553">
        <f t="shared" si="5"/>
        <v>1.3430752973855179E-2</v>
      </c>
      <c r="R63" s="553">
        <f t="shared" si="5"/>
        <v>1.3271723501455496E-2</v>
      </c>
      <c r="S63" s="553">
        <f t="shared" si="5"/>
        <v>1.3872900889991458E-2</v>
      </c>
      <c r="T63" s="553">
        <f t="shared" si="5"/>
        <v>1.4265698181827774E-2</v>
      </c>
      <c r="U63" s="553">
        <f t="shared" si="5"/>
        <v>1.5944720406206422E-2</v>
      </c>
      <c r="V63" s="553">
        <f t="shared" si="5"/>
        <v>1.4326006552747543E-2</v>
      </c>
      <c r="W63" s="553">
        <f t="shared" si="5"/>
        <v>1.6068527453494148E-2</v>
      </c>
      <c r="X63" s="553">
        <f t="shared" si="5"/>
        <v>9.5798582173992636E-3</v>
      </c>
      <c r="Y63" s="553">
        <f t="shared" si="5"/>
        <v>8.9100247571900076E-3</v>
      </c>
      <c r="Z63" s="553">
        <f t="shared" si="5"/>
        <v>6.7102845982791983E-3</v>
      </c>
      <c r="AA63" s="553">
        <f t="shared" si="5"/>
        <v>6.3993038551613162E-3</v>
      </c>
      <c r="AB63" s="595">
        <f t="shared" si="5"/>
        <v>5.7562232762537391E-3</v>
      </c>
      <c r="AC63" s="549"/>
      <c r="AD63" s="549"/>
      <c r="AE63" s="549"/>
      <c r="AF63" s="549"/>
      <c r="AG63" s="549"/>
    </row>
    <row r="64" spans="1:33" x14ac:dyDescent="0.25">
      <c r="A64" s="549"/>
      <c r="B64" s="549"/>
      <c r="C64" s="549"/>
      <c r="D64" s="549"/>
      <c r="E64" s="549"/>
      <c r="F64" s="549"/>
      <c r="G64" s="549"/>
      <c r="H64" s="549"/>
      <c r="I64" s="549"/>
      <c r="J64" s="549"/>
      <c r="K64" s="549"/>
      <c r="L64" s="549"/>
      <c r="M64" s="549"/>
      <c r="N64" s="585">
        <v>2.6629306151569549</v>
      </c>
      <c r="O64" s="594">
        <f t="shared" si="6"/>
        <v>3.4569484659238363E-2</v>
      </c>
      <c r="P64" s="553">
        <f t="shared" si="5"/>
        <v>3.3444676803126676E-2</v>
      </c>
      <c r="Q64" s="553">
        <f t="shared" si="5"/>
        <v>1.347547103320213E-2</v>
      </c>
      <c r="R64" s="553">
        <f t="shared" si="5"/>
        <v>1.3315912067824762E-2</v>
      </c>
      <c r="S64" s="553">
        <f t="shared" si="5"/>
        <v>1.3919091092917581E-2</v>
      </c>
      <c r="T64" s="553">
        <f t="shared" si="5"/>
        <v>1.4313196214079763E-2</v>
      </c>
      <c r="U64" s="553">
        <f t="shared" si="5"/>
        <v>1.5997808788874412E-2</v>
      </c>
      <c r="V64" s="553">
        <f t="shared" si="5"/>
        <v>1.4373705383369894E-2</v>
      </c>
      <c r="W64" s="553">
        <f t="shared" si="5"/>
        <v>1.6122028055112109E-2</v>
      </c>
      <c r="X64" s="553">
        <f t="shared" si="5"/>
        <v>9.6117546173356602E-3</v>
      </c>
      <c r="Y64" s="553">
        <f t="shared" si="5"/>
        <v>8.9396909283012208E-3</v>
      </c>
      <c r="Z64" s="553">
        <f t="shared" si="5"/>
        <v>6.7326266743701598E-3</v>
      </c>
      <c r="AA64" s="553">
        <f t="shared" si="5"/>
        <v>6.4206105123629882E-3</v>
      </c>
      <c r="AB64" s="595">
        <f t="shared" si="5"/>
        <v>5.7753887790801921E-3</v>
      </c>
      <c r="AC64" s="549"/>
      <c r="AD64" s="549"/>
      <c r="AE64" s="549"/>
      <c r="AF64" s="549"/>
      <c r="AG64" s="549"/>
    </row>
    <row r="65" spans="1:33" x14ac:dyDescent="0.25">
      <c r="A65" s="549"/>
      <c r="B65" s="549"/>
      <c r="C65" s="549"/>
      <c r="D65" s="549"/>
      <c r="E65" s="549"/>
      <c r="F65" s="549"/>
      <c r="G65" s="549"/>
      <c r="H65" s="549"/>
      <c r="I65" s="549"/>
      <c r="J65" s="549"/>
      <c r="K65" s="549"/>
      <c r="L65" s="549"/>
      <c r="M65" s="549"/>
      <c r="N65" s="585">
        <v>3.1720623561623782</v>
      </c>
      <c r="O65" s="594">
        <f t="shared" si="6"/>
        <v>4.1178902798051156E-2</v>
      </c>
      <c r="P65" s="553">
        <f t="shared" si="6"/>
        <v>3.9839040378061935E-2</v>
      </c>
      <c r="Q65" s="553">
        <f t="shared" si="6"/>
        <v>1.6051876888071904E-2</v>
      </c>
      <c r="R65" s="553">
        <f t="shared" si="6"/>
        <v>1.5861811482394059E-2</v>
      </c>
      <c r="S65" s="553">
        <f t="shared" si="6"/>
        <v>1.6580313672662685E-2</v>
      </c>
      <c r="T65" s="553">
        <f t="shared" si="6"/>
        <v>1.7049768645350991E-2</v>
      </c>
      <c r="U65" s="553">
        <f t="shared" si="6"/>
        <v>1.9056466117229706E-2</v>
      </c>
      <c r="V65" s="553">
        <f t="shared" si="6"/>
        <v>1.7121846699888126E-2</v>
      </c>
      <c r="W65" s="553">
        <f t="shared" si="6"/>
        <v>1.9204435146576528E-2</v>
      </c>
      <c r="X65" s="553">
        <f t="shared" si="6"/>
        <v>1.144944777185767E-2</v>
      </c>
      <c r="Y65" s="553">
        <f t="shared" si="6"/>
        <v>1.0648890702591294E-2</v>
      </c>
      <c r="Z65" s="553">
        <f t="shared" si="6"/>
        <v>8.0198528306775017E-3</v>
      </c>
      <c r="AA65" s="553">
        <f t="shared" si="6"/>
        <v>7.6481815913354749E-3</v>
      </c>
      <c r="AB65" s="595">
        <f t="shared" si="6"/>
        <v>6.8795984521898956E-3</v>
      </c>
      <c r="AC65" s="549"/>
      <c r="AD65" s="549"/>
      <c r="AE65" s="549"/>
      <c r="AF65" s="549"/>
      <c r="AG65" s="549"/>
    </row>
    <row r="66" spans="1:33" ht="11.25" thickBot="1" x14ac:dyDescent="0.3">
      <c r="A66" s="549"/>
      <c r="B66" s="549"/>
      <c r="C66" s="549"/>
      <c r="D66" s="549"/>
      <c r="E66" s="549"/>
      <c r="F66" s="549"/>
      <c r="G66" s="549"/>
      <c r="H66" s="549"/>
      <c r="I66" s="549"/>
      <c r="J66" s="549"/>
      <c r="K66" s="549"/>
      <c r="L66" s="549"/>
      <c r="M66" s="549"/>
      <c r="N66" s="585">
        <v>4.1909173128465795</v>
      </c>
      <c r="O66" s="596">
        <f t="shared" si="6"/>
        <v>5.4405417448718275E-2</v>
      </c>
      <c r="P66" s="597">
        <f t="shared" si="6"/>
        <v>5.2635196065189488E-2</v>
      </c>
      <c r="Q66" s="597">
        <f t="shared" si="6"/>
        <v>2.1207681691128379E-2</v>
      </c>
      <c r="R66" s="597">
        <f t="shared" si="6"/>
        <v>2.0956567964539419E-2</v>
      </c>
      <c r="S66" s="597">
        <f t="shared" si="6"/>
        <v>2.1905850459779507E-2</v>
      </c>
      <c r="T66" s="597">
        <f t="shared" si="6"/>
        <v>2.252609267185935E-2</v>
      </c>
      <c r="U66" s="597">
        <f t="shared" si="6"/>
        <v>2.5177334114261644E-2</v>
      </c>
      <c r="V66" s="597">
        <f t="shared" si="6"/>
        <v>2.2621321936835536E-2</v>
      </c>
      <c r="W66" s="597">
        <f t="shared" si="6"/>
        <v>2.5372830260688265E-2</v>
      </c>
      <c r="X66" s="597">
        <f t="shared" si="6"/>
        <v>1.5126968987981241E-2</v>
      </c>
      <c r="Y66" s="597">
        <f t="shared" si="6"/>
        <v>1.4069275883369892E-2</v>
      </c>
      <c r="Z66" s="597">
        <f t="shared" si="6"/>
        <v>1.05958005552043E-2</v>
      </c>
      <c r="AA66" s="597">
        <f t="shared" si="6"/>
        <v>1.0104749857975855E-2</v>
      </c>
      <c r="AB66" s="598">
        <f t="shared" si="6"/>
        <v>9.0893005942028395E-3</v>
      </c>
      <c r="AC66" s="549"/>
      <c r="AD66" s="549"/>
      <c r="AE66" s="549"/>
      <c r="AF66" s="549"/>
      <c r="AG66" s="549"/>
    </row>
    <row r="67" spans="1:33" x14ac:dyDescent="0.25">
      <c r="A67" s="549"/>
      <c r="B67" s="549"/>
      <c r="C67" s="549"/>
      <c r="D67" s="549"/>
      <c r="E67" s="549"/>
      <c r="F67" s="549"/>
      <c r="G67" s="549"/>
      <c r="H67" s="549"/>
      <c r="I67" s="549"/>
      <c r="J67" s="549"/>
      <c r="K67" s="549"/>
      <c r="L67" s="549"/>
      <c r="M67" s="549"/>
      <c r="N67" s="549"/>
      <c r="O67" s="549"/>
      <c r="P67" s="549"/>
      <c r="Q67" s="549"/>
      <c r="R67" s="549"/>
      <c r="S67" s="549"/>
      <c r="T67" s="549"/>
      <c r="U67" s="549"/>
      <c r="V67" s="549"/>
      <c r="W67" s="549"/>
      <c r="X67" s="549"/>
      <c r="Y67" s="549"/>
      <c r="Z67" s="549"/>
      <c r="AA67" s="549"/>
      <c r="AB67" s="549"/>
      <c r="AC67" s="549"/>
      <c r="AD67" s="549"/>
      <c r="AE67" s="549"/>
      <c r="AF67" s="549"/>
      <c r="AG67" s="549"/>
    </row>
    <row r="68" spans="1:33" x14ac:dyDescent="0.25">
      <c r="A68" s="549"/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49"/>
      <c r="Q68" s="549"/>
      <c r="R68" s="549"/>
      <c r="S68" s="549"/>
      <c r="T68" s="549"/>
      <c r="U68" s="549"/>
      <c r="V68" s="549"/>
      <c r="W68" s="549"/>
      <c r="X68" s="549"/>
      <c r="Y68" s="549"/>
      <c r="Z68" s="549"/>
      <c r="AA68" s="549"/>
      <c r="AB68" s="549"/>
      <c r="AC68" s="549"/>
      <c r="AD68" s="549"/>
      <c r="AE68" s="549"/>
      <c r="AF68" s="549"/>
      <c r="AG68" s="549"/>
    </row>
    <row r="69" spans="1:33" x14ac:dyDescent="0.25">
      <c r="A69" s="549"/>
      <c r="B69" s="549"/>
      <c r="C69" s="549"/>
      <c r="D69" s="549"/>
      <c r="E69" s="549"/>
      <c r="F69" s="549"/>
      <c r="G69" s="549"/>
      <c r="H69" s="549"/>
      <c r="I69" s="549"/>
      <c r="J69" s="549"/>
      <c r="K69" s="549"/>
      <c r="L69" s="549"/>
      <c r="M69" s="549"/>
      <c r="N69" s="599" t="s">
        <v>94</v>
      </c>
      <c r="O69" s="539">
        <v>2008</v>
      </c>
      <c r="P69" s="540">
        <v>2009</v>
      </c>
      <c r="Q69" s="538">
        <v>2010</v>
      </c>
      <c r="R69" s="538">
        <v>2011</v>
      </c>
      <c r="S69" s="538">
        <v>2012</v>
      </c>
      <c r="T69" s="538">
        <v>2013</v>
      </c>
      <c r="U69" s="541">
        <v>2014</v>
      </c>
      <c r="V69" s="540">
        <v>2015</v>
      </c>
      <c r="W69" s="542">
        <v>2016</v>
      </c>
      <c r="X69" s="543">
        <v>2017</v>
      </c>
      <c r="Y69" s="544">
        <v>2018</v>
      </c>
      <c r="Z69" s="545">
        <v>2019</v>
      </c>
      <c r="AA69" s="546">
        <v>2020</v>
      </c>
      <c r="AB69" s="540">
        <v>2021</v>
      </c>
      <c r="AC69" s="549"/>
      <c r="AD69" s="549"/>
      <c r="AE69" s="549"/>
      <c r="AF69" s="549"/>
      <c r="AG69" s="549"/>
    </row>
    <row r="70" spans="1:33" ht="11.25" thickBot="1" x14ac:dyDescent="0.3">
      <c r="A70" s="549"/>
      <c r="B70" s="549"/>
      <c r="C70" s="549"/>
      <c r="D70" s="549"/>
      <c r="E70" s="549"/>
      <c r="F70" s="549"/>
      <c r="G70" s="549"/>
      <c r="H70" s="549"/>
      <c r="I70" s="549"/>
      <c r="J70" s="549"/>
      <c r="K70" s="549"/>
      <c r="L70" s="549"/>
      <c r="M70" s="549"/>
      <c r="N70" s="556" t="s">
        <v>2</v>
      </c>
      <c r="O70" s="606">
        <v>1.2981744421906694E-2</v>
      </c>
      <c r="P70" s="587">
        <v>1.2559349692690142E-2</v>
      </c>
      <c r="Q70" s="588">
        <v>5.0603913434702375E-3</v>
      </c>
      <c r="R70" s="588">
        <v>5.0004727843950651E-3</v>
      </c>
      <c r="S70" s="588">
        <v>5.2269822629596304E-3</v>
      </c>
      <c r="T70" s="588">
        <v>5.3749790297244124E-3</v>
      </c>
      <c r="U70" s="589">
        <v>6.0075950525400722E-3</v>
      </c>
      <c r="V70" s="587">
        <v>5.3977018032528414E-3</v>
      </c>
      <c r="W70" s="590">
        <v>6.0542426315384357E-3</v>
      </c>
      <c r="X70" s="587">
        <v>3.6094649115629087E-3</v>
      </c>
      <c r="Y70" s="588">
        <v>3.35708744246583E-3</v>
      </c>
      <c r="Z70" s="589">
        <v>2.5282771680377914E-3</v>
      </c>
      <c r="AA70" s="607">
        <v>2.4111069495457182E-3</v>
      </c>
      <c r="AB70" s="587">
        <v>2.1688093359277356E-3</v>
      </c>
      <c r="AC70" s="549"/>
      <c r="AD70" s="549"/>
      <c r="AE70" s="549"/>
      <c r="AF70" s="549"/>
      <c r="AG70" s="549"/>
    </row>
    <row r="71" spans="1:33" x14ac:dyDescent="0.25">
      <c r="A71" s="549"/>
      <c r="B71" s="549"/>
      <c r="C71" s="549"/>
      <c r="D71" s="549"/>
      <c r="E71" s="549"/>
      <c r="F71" s="549"/>
      <c r="G71" s="549"/>
      <c r="H71" s="549"/>
      <c r="I71" s="549"/>
      <c r="J71" s="549"/>
      <c r="K71" s="549"/>
      <c r="L71" s="549"/>
      <c r="M71" s="549"/>
      <c r="N71" s="585">
        <v>0.20961365703518389</v>
      </c>
      <c r="O71" s="591">
        <f>$N71*O$70</f>
        <v>2.7211509229719613E-3</v>
      </c>
      <c r="P71" s="592">
        <f t="shared" ref="P71:AB86" si="7">$N71*P$70</f>
        <v>2.6326112190684938E-3</v>
      </c>
      <c r="Q71" s="592">
        <f t="shared" si="7"/>
        <v>1.0607271355339838E-3</v>
      </c>
      <c r="R71" s="592">
        <f t="shared" si="7"/>
        <v>1.0481673872419581E-3</v>
      </c>
      <c r="S71" s="592">
        <f t="shared" si="7"/>
        <v>1.0956468673970093E-3</v>
      </c>
      <c r="T71" s="592">
        <f t="shared" si="7"/>
        <v>1.1266690109079584E-3</v>
      </c>
      <c r="U71" s="592">
        <f t="shared" si="7"/>
        <v>1.2592739689494023E-3</v>
      </c>
      <c r="V71" s="592">
        <f t="shared" si="7"/>
        <v>1.1314320145652348E-3</v>
      </c>
      <c r="W71" s="592">
        <f t="shared" si="7"/>
        <v>1.2690519385750868E-3</v>
      </c>
      <c r="X71" s="592">
        <f t="shared" si="7"/>
        <v>7.5659314005287789E-4</v>
      </c>
      <c r="Y71" s="592">
        <f t="shared" si="7"/>
        <v>7.0369137580215512E-4</v>
      </c>
      <c r="Z71" s="592">
        <f t="shared" si="7"/>
        <v>5.2996142319095961E-4</v>
      </c>
      <c r="AA71" s="592">
        <f t="shared" si="7"/>
        <v>5.0540094519722456E-4</v>
      </c>
      <c r="AB71" s="593">
        <f t="shared" si="7"/>
        <v>4.5461205631586128E-4</v>
      </c>
      <c r="AC71" s="549"/>
      <c r="AD71" s="549"/>
      <c r="AE71" s="549"/>
      <c r="AF71" s="549"/>
      <c r="AG71" s="549"/>
    </row>
    <row r="72" spans="1:33" x14ac:dyDescent="0.25">
      <c r="A72" s="549"/>
      <c r="B72" s="549"/>
      <c r="C72" s="549"/>
      <c r="D72" s="549"/>
      <c r="E72" s="549"/>
      <c r="F72" s="549"/>
      <c r="G72" s="549"/>
      <c r="H72" s="549"/>
      <c r="I72" s="549"/>
      <c r="J72" s="549"/>
      <c r="K72" s="549"/>
      <c r="L72" s="549"/>
      <c r="M72" s="549"/>
      <c r="N72" s="585">
        <v>0.48103714643160306</v>
      </c>
      <c r="O72" s="594">
        <f t="shared" ref="O72:AB88" si="8">$N72*O$70</f>
        <v>6.244701292418376E-3</v>
      </c>
      <c r="P72" s="553">
        <f t="shared" si="7"/>
        <v>6.0415137372082971E-3</v>
      </c>
      <c r="Q72" s="553">
        <f t="shared" si="7"/>
        <v>2.4342362116901092E-3</v>
      </c>
      <c r="R72" s="553">
        <f t="shared" si="7"/>
        <v>2.4054131590142947E-3</v>
      </c>
      <c r="S72" s="553">
        <f t="shared" si="7"/>
        <v>2.5143726322227038E-3</v>
      </c>
      <c r="T72" s="553">
        <f t="shared" si="7"/>
        <v>2.5855645745883377E-3</v>
      </c>
      <c r="U72" s="553">
        <f t="shared" si="7"/>
        <v>2.8898763809904926E-3</v>
      </c>
      <c r="V72" s="553">
        <f t="shared" si="7"/>
        <v>2.5964950727254649E-3</v>
      </c>
      <c r="W72" s="553">
        <f t="shared" si="7"/>
        <v>2.9123155992798085E-3</v>
      </c>
      <c r="X72" s="553">
        <f t="shared" si="7"/>
        <v>1.7362867012032201E-3</v>
      </c>
      <c r="Y72" s="553">
        <f t="shared" si="7"/>
        <v>1.6148837636451312E-3</v>
      </c>
      <c r="Z72" s="553">
        <f t="shared" si="7"/>
        <v>1.2161952343010738E-3</v>
      </c>
      <c r="AA72" s="553">
        <f t="shared" si="7"/>
        <v>1.1598320067508793E-3</v>
      </c>
      <c r="AB72" s="595">
        <f t="shared" si="7"/>
        <v>1.043277854108898E-3</v>
      </c>
      <c r="AC72" s="549"/>
      <c r="AD72" s="549"/>
      <c r="AE72" s="549"/>
      <c r="AF72" s="549"/>
      <c r="AG72" s="549"/>
    </row>
    <row r="73" spans="1:33" x14ac:dyDescent="0.25">
      <c r="A73" s="549"/>
      <c r="B73" s="549"/>
      <c r="C73" s="549"/>
      <c r="D73" s="549"/>
      <c r="E73" s="549"/>
      <c r="F73" s="549"/>
      <c r="G73" s="549"/>
      <c r="H73" s="549"/>
      <c r="I73" s="549"/>
      <c r="J73" s="549"/>
      <c r="K73" s="549"/>
      <c r="L73" s="549"/>
      <c r="M73" s="549"/>
      <c r="N73" s="585">
        <v>0.8102601092272026</v>
      </c>
      <c r="O73" s="594">
        <f t="shared" si="8"/>
        <v>1.0518589653253746E-2</v>
      </c>
      <c r="P73" s="553">
        <f t="shared" si="7"/>
        <v>1.0176340053821748E-2</v>
      </c>
      <c r="Q73" s="553">
        <f t="shared" si="7"/>
        <v>4.1002332426925848E-3</v>
      </c>
      <c r="R73" s="553">
        <f t="shared" si="7"/>
        <v>4.0516836244715998E-3</v>
      </c>
      <c r="S73" s="553">
        <f t="shared" si="7"/>
        <v>4.2352152193143207E-3</v>
      </c>
      <c r="T73" s="553">
        <f t="shared" si="7"/>
        <v>4.3551310957184262E-3</v>
      </c>
      <c r="U73" s="553">
        <f t="shared" si="7"/>
        <v>4.8677146234639207E-3</v>
      </c>
      <c r="V73" s="553">
        <f t="shared" si="7"/>
        <v>4.3735424526795156E-3</v>
      </c>
      <c r="W73" s="553">
        <f t="shared" si="7"/>
        <v>4.9055112959183198E-3</v>
      </c>
      <c r="X73" s="553">
        <f t="shared" si="7"/>
        <v>2.9246054334947174E-3</v>
      </c>
      <c r="Y73" s="553">
        <f t="shared" si="7"/>
        <v>2.7201140378176336E-3</v>
      </c>
      <c r="Z73" s="553">
        <f t="shared" si="7"/>
        <v>2.0485621343309434E-3</v>
      </c>
      <c r="AA73" s="553">
        <f t="shared" si="7"/>
        <v>1.9536237802973808E-3</v>
      </c>
      <c r="AB73" s="595">
        <f t="shared" si="7"/>
        <v>1.7572996894217837E-3</v>
      </c>
      <c r="AC73" s="549"/>
      <c r="AD73" s="549"/>
      <c r="AE73" s="549"/>
      <c r="AF73" s="549"/>
      <c r="AG73" s="549"/>
    </row>
    <row r="74" spans="1:33" x14ac:dyDescent="0.25">
      <c r="A74" s="549"/>
      <c r="B74" s="549"/>
      <c r="C74" s="549"/>
      <c r="D74" s="549"/>
      <c r="E74" s="549"/>
      <c r="F74" s="549"/>
      <c r="G74" s="549"/>
      <c r="H74" s="549"/>
      <c r="I74" s="549"/>
      <c r="J74" s="549"/>
      <c r="K74" s="549"/>
      <c r="L74" s="549"/>
      <c r="M74" s="549"/>
      <c r="N74" s="585">
        <v>1.0383220909407014</v>
      </c>
      <c r="O74" s="594">
        <f t="shared" si="8"/>
        <v>1.3479232012211944E-2</v>
      </c>
      <c r="P74" s="553">
        <f t="shared" si="7"/>
        <v>1.3040650233769484E-2</v>
      </c>
      <c r="Q74" s="553">
        <f t="shared" si="7"/>
        <v>5.254316120730242E-3</v>
      </c>
      <c r="R74" s="553">
        <f t="shared" si="7"/>
        <v>5.1921013571851549E-3</v>
      </c>
      <c r="S74" s="553">
        <f t="shared" si="7"/>
        <v>5.4272911525862022E-3</v>
      </c>
      <c r="T74" s="553">
        <f t="shared" si="7"/>
        <v>5.5809594649058741E-3</v>
      </c>
      <c r="U74" s="553">
        <f t="shared" si="7"/>
        <v>6.2378186564784202E-3</v>
      </c>
      <c r="V74" s="553">
        <f t="shared" si="7"/>
        <v>5.6045530226278848E-3</v>
      </c>
      <c r="W74" s="553">
        <f t="shared" si="7"/>
        <v>6.2862538682413229E-3</v>
      </c>
      <c r="X74" s="553">
        <f t="shared" si="7"/>
        <v>3.7477871541510932E-3</v>
      </c>
      <c r="Y74" s="553">
        <f t="shared" si="7"/>
        <v>3.4857380527318921E-3</v>
      </c>
      <c r="Z74" s="553">
        <f t="shared" si="7"/>
        <v>2.6251660355946344E-3</v>
      </c>
      <c r="AA74" s="553">
        <f t="shared" si="7"/>
        <v>2.5035056093339661E-3</v>
      </c>
      <c r="AB74" s="595">
        <f t="shared" si="7"/>
        <v>2.2519226445322006E-3</v>
      </c>
      <c r="AC74" s="549"/>
      <c r="AD74" s="549"/>
      <c r="AE74" s="549"/>
      <c r="AF74" s="549"/>
      <c r="AG74" s="549"/>
    </row>
    <row r="75" spans="1:33" x14ac:dyDescent="0.25">
      <c r="A75" s="549"/>
      <c r="B75" s="549"/>
      <c r="C75" s="549"/>
      <c r="D75" s="549"/>
      <c r="E75" s="549"/>
      <c r="F75" s="549"/>
      <c r="G75" s="549"/>
      <c r="H75" s="549"/>
      <c r="I75" s="549"/>
      <c r="J75" s="549"/>
      <c r="K75" s="549"/>
      <c r="L75" s="549"/>
      <c r="M75" s="549"/>
      <c r="N75" s="585">
        <v>1.1661550573838497</v>
      </c>
      <c r="O75" s="594">
        <f t="shared" si="8"/>
        <v>1.5138726911271071E-2</v>
      </c>
      <c r="P75" s="553">
        <f t="shared" si="7"/>
        <v>1.4646149161582907E-2</v>
      </c>
      <c r="Q75" s="553">
        <f t="shared" si="7"/>
        <v>5.9012009575292708E-3</v>
      </c>
      <c r="R75" s="553">
        <f t="shared" si="7"/>
        <v>5.8313266268326062E-3</v>
      </c>
      <c r="S75" s="553">
        <f t="shared" si="7"/>
        <v>6.0954718008060524E-3</v>
      </c>
      <c r="T75" s="553">
        <f t="shared" si="7"/>
        <v>6.2680589788452609E-3</v>
      </c>
      <c r="U75" s="553">
        <f t="shared" si="7"/>
        <v>7.0057873532337993E-3</v>
      </c>
      <c r="V75" s="553">
        <f t="shared" si="7"/>
        <v>6.2945572561132262E-3</v>
      </c>
      <c r="W75" s="553">
        <f t="shared" si="7"/>
        <v>7.0601856633974542E-3</v>
      </c>
      <c r="X75" s="553">
        <f t="shared" si="7"/>
        <v>4.2091957610686358E-3</v>
      </c>
      <c r="Y75" s="553">
        <f t="shared" si="7"/>
        <v>3.9148844991113412E-3</v>
      </c>
      <c r="Z75" s="553">
        <f t="shared" si="7"/>
        <v>2.9483632059753876E-3</v>
      </c>
      <c r="AA75" s="553">
        <f t="shared" si="7"/>
        <v>2.8117245631060859E-3</v>
      </c>
      <c r="AB75" s="595">
        <f t="shared" si="7"/>
        <v>2.5291679755934373E-3</v>
      </c>
      <c r="AC75" s="549"/>
      <c r="AD75" s="549"/>
      <c r="AE75" s="549"/>
      <c r="AF75" s="549"/>
      <c r="AG75" s="549"/>
    </row>
    <row r="76" spans="1:33" x14ac:dyDescent="0.25">
      <c r="A76" s="549"/>
      <c r="B76" s="549"/>
      <c r="C76" s="549"/>
      <c r="D76" s="549"/>
      <c r="E76" s="549"/>
      <c r="F76" s="549"/>
      <c r="G76" s="549"/>
      <c r="H76" s="549"/>
      <c r="I76" s="549"/>
      <c r="J76" s="549"/>
      <c r="K76" s="549"/>
      <c r="L76" s="549"/>
      <c r="M76" s="549"/>
      <c r="N76" s="585">
        <v>1.4450652271075553</v>
      </c>
      <c r="O76" s="594">
        <f t="shared" si="8"/>
        <v>1.8759467451294833E-2</v>
      </c>
      <c r="P76" s="553">
        <f t="shared" si="7"/>
        <v>1.8149079515990485E-2</v>
      </c>
      <c r="Q76" s="553">
        <f t="shared" si="7"/>
        <v>7.3125955660049251E-3</v>
      </c>
      <c r="R76" s="553">
        <f t="shared" si="7"/>
        <v>7.2260093398270036E-3</v>
      </c>
      <c r="S76" s="553">
        <f t="shared" si="7"/>
        <v>7.5533303109109216E-3</v>
      </c>
      <c r="T76" s="553">
        <f t="shared" si="7"/>
        <v>7.767195292287055E-3</v>
      </c>
      <c r="U76" s="553">
        <f t="shared" si="7"/>
        <v>8.6813667089690443E-3</v>
      </c>
      <c r="V76" s="553">
        <f t="shared" si="7"/>
        <v>7.8000311821764274E-3</v>
      </c>
      <c r="W76" s="553">
        <f t="shared" si="7"/>
        <v>8.7487755033083328E-3</v>
      </c>
      <c r="X76" s="553">
        <f t="shared" si="7"/>
        <v>5.2159122321644063E-3</v>
      </c>
      <c r="Y76" s="553">
        <f t="shared" si="7"/>
        <v>4.8512103274668062E-3</v>
      </c>
      <c r="Z76" s="553">
        <f t="shared" si="7"/>
        <v>3.6535254200213774E-3</v>
      </c>
      <c r="AA76" s="553">
        <f t="shared" si="7"/>
        <v>3.4842068116258881E-3</v>
      </c>
      <c r="AB76" s="595">
        <f t="shared" si="7"/>
        <v>3.1340709555753993E-3</v>
      </c>
      <c r="AC76" s="549"/>
      <c r="AD76" s="549"/>
      <c r="AE76" s="549"/>
      <c r="AF76" s="549"/>
      <c r="AG76" s="549"/>
    </row>
    <row r="77" spans="1:33" x14ac:dyDescent="0.25">
      <c r="A77" s="549"/>
      <c r="B77" s="549"/>
      <c r="C77" s="549"/>
      <c r="D77" s="549"/>
      <c r="E77" s="549"/>
      <c r="F77" s="549"/>
      <c r="G77" s="549"/>
      <c r="H77" s="549"/>
      <c r="I77" s="549"/>
      <c r="J77" s="549"/>
      <c r="K77" s="549"/>
      <c r="L77" s="549"/>
      <c r="M77" s="549"/>
      <c r="N77" s="585">
        <v>1.5469439318226283</v>
      </c>
      <c r="O77" s="594">
        <f t="shared" si="8"/>
        <v>2.0082030757940815E-2</v>
      </c>
      <c r="P77" s="553">
        <f t="shared" si="7"/>
        <v>1.9428609794745408E-2</v>
      </c>
      <c r="Q77" s="553">
        <f t="shared" si="7"/>
        <v>7.8281416814290419E-3</v>
      </c>
      <c r="R77" s="553">
        <f t="shared" si="7"/>
        <v>7.7354510300641482E-3</v>
      </c>
      <c r="S77" s="553">
        <f t="shared" si="7"/>
        <v>8.0858484934299094E-3</v>
      </c>
      <c r="T77" s="553">
        <f t="shared" si="7"/>
        <v>8.3147911937060583E-3</v>
      </c>
      <c r="U77" s="553">
        <f t="shared" si="7"/>
        <v>9.2934127113745088E-3</v>
      </c>
      <c r="V77" s="553">
        <f t="shared" si="7"/>
        <v>8.3499420503300413E-3</v>
      </c>
      <c r="W77" s="553">
        <f t="shared" si="7"/>
        <v>9.3655739006402432E-3</v>
      </c>
      <c r="X77" s="553">
        <f t="shared" si="7"/>
        <v>5.5836398420689411E-3</v>
      </c>
      <c r="Y77" s="553">
        <f t="shared" si="7"/>
        <v>5.1932260477204626E-3</v>
      </c>
      <c r="Z77" s="553">
        <f t="shared" si="7"/>
        <v>3.9111030230617608E-3</v>
      </c>
      <c r="AA77" s="553">
        <f t="shared" si="7"/>
        <v>3.7298472645751167E-3</v>
      </c>
      <c r="AB77" s="595">
        <f t="shared" si="7"/>
        <v>3.3550264414936746E-3</v>
      </c>
      <c r="AC77" s="549"/>
      <c r="AD77" s="549"/>
      <c r="AE77" s="549"/>
      <c r="AF77" s="549"/>
      <c r="AG77" s="549"/>
    </row>
    <row r="78" spans="1:33" x14ac:dyDescent="0.25">
      <c r="A78" s="549"/>
      <c r="B78" s="549"/>
      <c r="C78" s="549"/>
      <c r="D78" s="549"/>
      <c r="E78" s="549"/>
      <c r="F78" s="549"/>
      <c r="G78" s="549"/>
      <c r="H78" s="549"/>
      <c r="I78" s="549"/>
      <c r="J78" s="549"/>
      <c r="K78" s="549"/>
      <c r="L78" s="549"/>
      <c r="M78" s="549"/>
      <c r="N78" s="585">
        <v>1.839296469736835</v>
      </c>
      <c r="O78" s="594">
        <f t="shared" si="8"/>
        <v>2.3877276686238832E-2</v>
      </c>
      <c r="P78" s="553">
        <f t="shared" si="7"/>
        <v>2.3100367551955381E-2</v>
      </c>
      <c r="Q78" s="553">
        <f t="shared" si="7"/>
        <v>9.3075599335316478E-3</v>
      </c>
      <c r="R78" s="553">
        <f t="shared" si="7"/>
        <v>9.1973519393529646E-3</v>
      </c>
      <c r="S78" s="553">
        <f t="shared" si="7"/>
        <v>9.6139700236387016E-3</v>
      </c>
      <c r="T78" s="553">
        <f t="shared" si="7"/>
        <v>9.8861799542816313E-3</v>
      </c>
      <c r="U78" s="553">
        <f t="shared" si="7"/>
        <v>1.1049748371745431E-2</v>
      </c>
      <c r="V78" s="553">
        <f t="shared" si="7"/>
        <v>9.9279738714150995E-3</v>
      </c>
      <c r="W78" s="553">
        <f t="shared" si="7"/>
        <v>1.1135547099118891E-2</v>
      </c>
      <c r="X78" s="553">
        <f t="shared" si="7"/>
        <v>6.6388760694766355E-3</v>
      </c>
      <c r="Y78" s="553">
        <f t="shared" si="7"/>
        <v>6.1746790815252611E-3</v>
      </c>
      <c r="Z78" s="553">
        <f t="shared" si="7"/>
        <v>4.6502512696881522E-3</v>
      </c>
      <c r="AA78" s="553">
        <f t="shared" si="7"/>
        <v>4.4347405004573886E-3</v>
      </c>
      <c r="AB78" s="595">
        <f t="shared" si="7"/>
        <v>3.9890833551041735E-3</v>
      </c>
      <c r="AC78" s="549"/>
      <c r="AD78" s="549"/>
      <c r="AE78" s="549"/>
      <c r="AF78" s="549"/>
      <c r="AG78" s="549"/>
    </row>
    <row r="79" spans="1:33" x14ac:dyDescent="0.25">
      <c r="A79" s="549"/>
      <c r="B79" s="549"/>
      <c r="C79" s="549"/>
      <c r="D79" s="549"/>
      <c r="E79" s="549"/>
      <c r="F79" s="549"/>
      <c r="G79" s="549"/>
      <c r="H79" s="549"/>
      <c r="I79" s="549"/>
      <c r="J79" s="549"/>
      <c r="K79" s="549"/>
      <c r="L79" s="549"/>
      <c r="M79" s="549"/>
      <c r="N79" s="585">
        <v>2.2884120475376108</v>
      </c>
      <c r="O79" s="594">
        <f t="shared" si="8"/>
        <v>2.9707580333145456E-2</v>
      </c>
      <c r="P79" s="553">
        <f t="shared" si="7"/>
        <v>2.874096714598991E-2</v>
      </c>
      <c r="Q79" s="553">
        <f t="shared" si="7"/>
        <v>1.1580260515652328E-2</v>
      </c>
      <c r="R79" s="553">
        <f t="shared" si="7"/>
        <v>1.144314216319361E-2</v>
      </c>
      <c r="S79" s="553">
        <f t="shared" si="7"/>
        <v>1.1961489182822223E-2</v>
      </c>
      <c r="T79" s="553">
        <f t="shared" si="7"/>
        <v>1.2300166766883364E-2</v>
      </c>
      <c r="U79" s="553">
        <f t="shared" si="7"/>
        <v>1.3747852894960047E-2</v>
      </c>
      <c r="V79" s="553">
        <f t="shared" si="7"/>
        <v>1.235216583557929E-2</v>
      </c>
      <c r="W79" s="553">
        <f t="shared" si="7"/>
        <v>1.3854601776728365E-2</v>
      </c>
      <c r="X79" s="553">
        <f t="shared" si="7"/>
        <v>8.259942988784838E-3</v>
      </c>
      <c r="Y79" s="553">
        <f t="shared" si="7"/>
        <v>7.6823993479760311E-3</v>
      </c>
      <c r="Z79" s="553">
        <f t="shared" si="7"/>
        <v>5.7857399308519544E-3</v>
      </c>
      <c r="AA79" s="553">
        <f t="shared" si="7"/>
        <v>5.5176061912420799E-3</v>
      </c>
      <c r="AB79" s="595">
        <f t="shared" si="7"/>
        <v>4.963129413149075E-3</v>
      </c>
      <c r="AC79" s="549"/>
      <c r="AD79" s="549"/>
      <c r="AE79" s="549"/>
      <c r="AF79" s="549"/>
      <c r="AG79" s="549"/>
    </row>
    <row r="80" spans="1:33" x14ac:dyDescent="0.25">
      <c r="A80" s="549"/>
      <c r="B80" s="549"/>
      <c r="C80" s="549"/>
      <c r="D80" s="549"/>
      <c r="E80" s="549"/>
      <c r="F80" s="549"/>
      <c r="G80" s="549"/>
      <c r="H80" s="549"/>
      <c r="I80" s="549"/>
      <c r="J80" s="549"/>
      <c r="K80" s="549"/>
      <c r="L80" s="549"/>
      <c r="M80" s="549"/>
      <c r="N80" s="585">
        <v>2.4370664119188827</v>
      </c>
      <c r="O80" s="594">
        <f t="shared" si="8"/>
        <v>3.1637373298744116E-2</v>
      </c>
      <c r="P80" s="553">
        <f t="shared" si="7"/>
        <v>3.0607969291598886E-2</v>
      </c>
      <c r="Q80" s="553">
        <f t="shared" si="7"/>
        <v>1.2332509774336387E-2</v>
      </c>
      <c r="R80" s="553">
        <f t="shared" si="7"/>
        <v>1.2186484266563706E-2</v>
      </c>
      <c r="S80" s="553">
        <f t="shared" si="7"/>
        <v>1.2738502908754669E-2</v>
      </c>
      <c r="T80" s="553">
        <f t="shared" si="7"/>
        <v>1.3099180858109712E-2</v>
      </c>
      <c r="U80" s="553">
        <f t="shared" si="7"/>
        <v>1.4640908118955466E-2</v>
      </c>
      <c r="V80" s="553">
        <f t="shared" si="7"/>
        <v>1.3154557766261486E-2</v>
      </c>
      <c r="W80" s="553">
        <f t="shared" si="7"/>
        <v>1.475459136692971E-2</v>
      </c>
      <c r="X80" s="553">
        <f t="shared" si="7"/>
        <v>8.7965057009697246E-3</v>
      </c>
      <c r="Y80" s="553">
        <f t="shared" si="7"/>
        <v>8.1814450479081383E-3</v>
      </c>
      <c r="Z80" s="553">
        <f t="shared" si="7"/>
        <v>6.1615793662462941E-3</v>
      </c>
      <c r="AA80" s="553">
        <f t="shared" si="7"/>
        <v>5.8760277622820663E-3</v>
      </c>
      <c r="AB80" s="595">
        <f t="shared" si="7"/>
        <v>5.2855323864455812E-3</v>
      </c>
      <c r="AC80" s="549"/>
      <c r="AD80" s="549"/>
      <c r="AE80" s="549"/>
      <c r="AF80" s="549"/>
      <c r="AG80" s="549"/>
    </row>
    <row r="81" spans="1:33" x14ac:dyDescent="0.25">
      <c r="A81" s="549"/>
      <c r="B81" s="549"/>
      <c r="C81" s="549"/>
      <c r="D81" s="549"/>
      <c r="E81" s="549"/>
      <c r="F81" s="549"/>
      <c r="G81" s="549"/>
      <c r="H81" s="549"/>
      <c r="I81" s="549"/>
      <c r="J81" s="549"/>
      <c r="K81" s="549"/>
      <c r="L81" s="549"/>
      <c r="M81" s="549"/>
      <c r="N81" s="585">
        <v>2.5129493947346591</v>
      </c>
      <c r="O81" s="594">
        <f t="shared" si="8"/>
        <v>3.2622466787630464E-2</v>
      </c>
      <c r="P81" s="553">
        <f t="shared" si="7"/>
        <v>3.1561010208506622E-2</v>
      </c>
      <c r="Q81" s="553">
        <f t="shared" si="7"/>
        <v>1.2716507363694042E-2</v>
      </c>
      <c r="R81" s="553">
        <f t="shared" si="7"/>
        <v>1.2565935056932714E-2</v>
      </c>
      <c r="S81" s="553">
        <f t="shared" si="7"/>
        <v>1.3135141913993202E-2</v>
      </c>
      <c r="T81" s="553">
        <f t="shared" si="7"/>
        <v>1.3507050299457446E-2</v>
      </c>
      <c r="U81" s="553">
        <f t="shared" si="7"/>
        <v>1.5096782351091506E-2</v>
      </c>
      <c r="V81" s="553">
        <f t="shared" si="7"/>
        <v>1.3564151479442406E-2</v>
      </c>
      <c r="W81" s="553">
        <f t="shared" si="7"/>
        <v>1.5214005356501281E-2</v>
      </c>
      <c r="X81" s="553">
        <f t="shared" si="7"/>
        <v>9.0704026648280017E-3</v>
      </c>
      <c r="Y81" s="553">
        <f t="shared" si="7"/>
        <v>8.4361908566158317E-3</v>
      </c>
      <c r="Z81" s="553">
        <f t="shared" si="7"/>
        <v>6.353432579142026E-3</v>
      </c>
      <c r="AA81" s="553">
        <f t="shared" si="7"/>
        <v>6.0589897495014425E-3</v>
      </c>
      <c r="AB81" s="595">
        <f t="shared" si="7"/>
        <v>5.4501081080144806E-3</v>
      </c>
      <c r="AC81" s="549"/>
      <c r="AD81" s="549"/>
      <c r="AE81" s="549"/>
      <c r="AF81" s="549"/>
      <c r="AG81" s="549"/>
    </row>
    <row r="82" spans="1:33" x14ac:dyDescent="0.25">
      <c r="A82" s="549"/>
      <c r="B82" s="549"/>
      <c r="C82" s="549"/>
      <c r="D82" s="549"/>
      <c r="E82" s="549"/>
      <c r="F82" s="549"/>
      <c r="G82" s="549"/>
      <c r="H82" s="549"/>
      <c r="I82" s="549"/>
      <c r="J82" s="549"/>
      <c r="K82" s="549"/>
      <c r="L82" s="549"/>
      <c r="M82" s="549"/>
      <c r="N82" s="585">
        <v>2.6772935994337965</v>
      </c>
      <c r="O82" s="594">
        <f t="shared" si="8"/>
        <v>3.4755941250256182E-2</v>
      </c>
      <c r="P82" s="553">
        <f t="shared" si="7"/>
        <v>3.3625066545290135E-2</v>
      </c>
      <c r="Q82" s="553">
        <f t="shared" si="7"/>
        <v>1.3548153354503057E-2</v>
      </c>
      <c r="R82" s="553">
        <f t="shared" si="7"/>
        <v>1.3387733779803802E-2</v>
      </c>
      <c r="S82" s="553">
        <f t="shared" si="7"/>
        <v>1.3994166156975799E-2</v>
      </c>
      <c r="T82" s="553">
        <f t="shared" si="7"/>
        <v>1.4390396953372048E-2</v>
      </c>
      <c r="U82" s="553">
        <f t="shared" si="7"/>
        <v>1.6084095782155677E-2</v>
      </c>
      <c r="V82" s="553">
        <f t="shared" si="7"/>
        <v>1.4451232489501094E-2</v>
      </c>
      <c r="W82" s="553">
        <f t="shared" si="7"/>
        <v>1.6208985046837078E-2</v>
      </c>
      <c r="X82" s="553">
        <f t="shared" si="7"/>
        <v>9.6635973051082489E-3</v>
      </c>
      <c r="Y82" s="553">
        <f t="shared" si="7"/>
        <v>8.9879087224533395E-3</v>
      </c>
      <c r="Z82" s="553">
        <f t="shared" si="7"/>
        <v>6.768940279582184E-3</v>
      </c>
      <c r="AA82" s="553">
        <f t="shared" si="7"/>
        <v>6.4552412035690969E-3</v>
      </c>
      <c r="AB82" s="595">
        <f t="shared" si="7"/>
        <v>5.8065393534715891E-3</v>
      </c>
      <c r="AC82" s="549"/>
      <c r="AD82" s="549"/>
      <c r="AE82" s="549"/>
      <c r="AF82" s="549"/>
      <c r="AG82" s="549"/>
    </row>
    <row r="83" spans="1:33" x14ac:dyDescent="0.25">
      <c r="A83" s="549"/>
      <c r="B83" s="549"/>
      <c r="C83" s="549"/>
      <c r="D83" s="549"/>
      <c r="E83" s="549"/>
      <c r="F83" s="549"/>
      <c r="G83" s="549"/>
      <c r="H83" s="549"/>
      <c r="I83" s="549"/>
      <c r="J83" s="549"/>
      <c r="K83" s="549"/>
      <c r="L83" s="549"/>
      <c r="M83" s="549"/>
      <c r="N83" s="585">
        <v>2.8738856667095392</v>
      </c>
      <c r="O83" s="594">
        <f t="shared" si="8"/>
        <v>3.730804922300416E-2</v>
      </c>
      <c r="P83" s="553">
        <f t="shared" si="7"/>
        <v>3.6094135065015055E-2</v>
      </c>
      <c r="Q83" s="553">
        <f t="shared" si="7"/>
        <v>1.4542986149940144E-2</v>
      </c>
      <c r="R83" s="553">
        <f t="shared" si="7"/>
        <v>1.4370787061844118E-2</v>
      </c>
      <c r="S83" s="553">
        <f t="shared" si="7"/>
        <v>1.5021749405664673E-2</v>
      </c>
      <c r="T83" s="553">
        <f t="shared" si="7"/>
        <v>1.5447075192389335E-2</v>
      </c>
      <c r="U83" s="553">
        <f t="shared" si="7"/>
        <v>1.7265141312890055E-2</v>
      </c>
      <c r="V83" s="553">
        <f t="shared" si="7"/>
        <v>1.5512377845540574E-2</v>
      </c>
      <c r="W83" s="553">
        <f t="shared" si="7"/>
        <v>1.7399201121560154E-2</v>
      </c>
      <c r="X83" s="553">
        <f t="shared" si="7"/>
        <v>1.0373189473831658E-2</v>
      </c>
      <c r="Y83" s="553">
        <f t="shared" si="7"/>
        <v>9.6478854827931337E-3</v>
      </c>
      <c r="Z83" s="553">
        <f t="shared" si="7"/>
        <v>7.2659795146927933E-3</v>
      </c>
      <c r="AA83" s="553">
        <f t="shared" si="7"/>
        <v>6.9292457032031993E-3</v>
      </c>
      <c r="AB83" s="595">
        <f t="shared" si="7"/>
        <v>6.2329100643485529E-3</v>
      </c>
      <c r="AC83" s="549"/>
      <c r="AD83" s="549"/>
      <c r="AE83" s="549"/>
      <c r="AF83" s="549"/>
      <c r="AG83" s="549"/>
    </row>
    <row r="84" spans="1:33" x14ac:dyDescent="0.25">
      <c r="A84" s="549"/>
      <c r="B84" s="549"/>
      <c r="C84" s="549"/>
      <c r="D84" s="549"/>
      <c r="E84" s="549"/>
      <c r="F84" s="549"/>
      <c r="G84" s="549"/>
      <c r="H84" s="549"/>
      <c r="I84" s="549"/>
      <c r="J84" s="549"/>
      <c r="K84" s="549"/>
      <c r="L84" s="549"/>
      <c r="M84" s="549"/>
      <c r="N84" s="585">
        <v>2.9188617929678444</v>
      </c>
      <c r="O84" s="594">
        <f t="shared" si="8"/>
        <v>3.7891917799176882E-2</v>
      </c>
      <c r="P84" s="553">
        <f t="shared" si="7"/>
        <v>3.6659005962515694E-2</v>
      </c>
      <c r="Q84" s="553">
        <f t="shared" si="7"/>
        <v>1.4770582949920497E-2</v>
      </c>
      <c r="R84" s="553">
        <f t="shared" si="7"/>
        <v>1.4595688957146288E-2</v>
      </c>
      <c r="S84" s="553">
        <f t="shared" si="7"/>
        <v>1.5256838819873468E-2</v>
      </c>
      <c r="T84" s="553">
        <f t="shared" si="7"/>
        <v>1.5688820927865964E-2</v>
      </c>
      <c r="U84" s="553">
        <f t="shared" si="7"/>
        <v>1.7535339666481867E-2</v>
      </c>
      <c r="V84" s="553">
        <f t="shared" si="7"/>
        <v>1.5755145563348356E-2</v>
      </c>
      <c r="W84" s="553">
        <f t="shared" si="7"/>
        <v>1.7671497502554638E-2</v>
      </c>
      <c r="X84" s="553">
        <f t="shared" si="7"/>
        <v>1.0535529223419033E-2</v>
      </c>
      <c r="Y84" s="553">
        <f t="shared" si="7"/>
        <v>9.7988742714656477E-3</v>
      </c>
      <c r="Z84" s="553">
        <f t="shared" si="7"/>
        <v>7.3796916278184516E-3</v>
      </c>
      <c r="AA84" s="553">
        <f t="shared" si="7"/>
        <v>7.0376879537882454E-3</v>
      </c>
      <c r="AB84" s="595">
        <f t="shared" si="7"/>
        <v>6.3304547068714304E-3</v>
      </c>
      <c r="AC84" s="549"/>
      <c r="AD84" s="549"/>
      <c r="AE84" s="549"/>
      <c r="AF84" s="549"/>
      <c r="AG84" s="549"/>
    </row>
    <row r="85" spans="1:33" x14ac:dyDescent="0.25">
      <c r="A85" s="549"/>
      <c r="B85" s="549"/>
      <c r="C85" s="549"/>
      <c r="D85" s="549"/>
      <c r="E85" s="549"/>
      <c r="F85" s="549"/>
      <c r="G85" s="549"/>
      <c r="H85" s="549"/>
      <c r="I85" s="549"/>
      <c r="J85" s="549"/>
      <c r="K85" s="549"/>
      <c r="L85" s="549"/>
      <c r="M85" s="549"/>
      <c r="N85" s="585">
        <v>3.2373733391298392</v>
      </c>
      <c r="O85" s="594">
        <f t="shared" si="8"/>
        <v>4.2026753286878236E-2</v>
      </c>
      <c r="P85" s="553">
        <f t="shared" si="7"/>
        <v>4.0659303851923602E-2</v>
      </c>
      <c r="Q85" s="553">
        <f t="shared" si="7"/>
        <v>1.6382376020913976E-2</v>
      </c>
      <c r="R85" s="553">
        <f t="shared" si="7"/>
        <v>1.6188397275244935E-2</v>
      </c>
      <c r="S85" s="553">
        <f t="shared" si="7"/>
        <v>1.6921693022210062E-2</v>
      </c>
      <c r="T85" s="553">
        <f t="shared" si="7"/>
        <v>1.7400813809211785E-2</v>
      </c>
      <c r="U85" s="553">
        <f t="shared" si="7"/>
        <v>1.9448828055381555E-2</v>
      </c>
      <c r="V85" s="553">
        <f t="shared" si="7"/>
        <v>1.7474375910423806E-2</v>
      </c>
      <c r="W85" s="553">
        <f t="shared" si="7"/>
        <v>1.959984368396581E-2</v>
      </c>
      <c r="X85" s="553">
        <f t="shared" si="7"/>
        <v>1.1685185473218403E-2</v>
      </c>
      <c r="Y85" s="553">
        <f t="shared" si="7"/>
        <v>1.0868145383366456E-2</v>
      </c>
      <c r="Z85" s="553">
        <f t="shared" si="7"/>
        <v>8.1849770977362388E-3</v>
      </c>
      <c r="AA85" s="553">
        <f t="shared" si="7"/>
        <v>7.8056533562499827E-3</v>
      </c>
      <c r="AB85" s="595">
        <f t="shared" si="7"/>
        <v>7.0212455217883423E-3</v>
      </c>
      <c r="AC85" s="549"/>
      <c r="AD85" s="549"/>
      <c r="AE85" s="549"/>
      <c r="AF85" s="549"/>
      <c r="AG85" s="549"/>
    </row>
    <row r="86" spans="1:33" x14ac:dyDescent="0.25">
      <c r="A86" s="549"/>
      <c r="B86" s="549"/>
      <c r="C86" s="549"/>
      <c r="D86" s="549"/>
      <c r="E86" s="549"/>
      <c r="F86" s="549"/>
      <c r="G86" s="549"/>
      <c r="H86" s="549"/>
      <c r="I86" s="549"/>
      <c r="J86" s="549"/>
      <c r="K86" s="549"/>
      <c r="L86" s="549"/>
      <c r="M86" s="549"/>
      <c r="N86" s="585">
        <v>3.3590429055965432</v>
      </c>
      <c r="O86" s="594">
        <f t="shared" si="8"/>
        <v>4.3606236502673174E-2</v>
      </c>
      <c r="P86" s="553">
        <f t="shared" si="7"/>
        <v>4.2187394484136949E-2</v>
      </c>
      <c r="Q86" s="553">
        <f t="shared" si="7"/>
        <v>1.699807164182586E-2</v>
      </c>
      <c r="R86" s="553">
        <f t="shared" si="7"/>
        <v>1.6796802631050836E-2</v>
      </c>
      <c r="S86" s="553">
        <f t="shared" si="7"/>
        <v>1.7557657688073512E-2</v>
      </c>
      <c r="T86" s="553">
        <f t="shared" si="7"/>
        <v>1.8054785177525977E-2</v>
      </c>
      <c r="U86" s="553">
        <f t="shared" si="7"/>
        <v>2.0179769540931623E-2</v>
      </c>
      <c r="V86" s="553">
        <f t="shared" si="7"/>
        <v>1.8131111948742125E-2</v>
      </c>
      <c r="W86" s="553">
        <f t="shared" si="7"/>
        <v>2.0336460760229328E-2</v>
      </c>
      <c r="X86" s="553">
        <f t="shared" si="7"/>
        <v>1.2124347504185043E-2</v>
      </c>
      <c r="Y86" s="553">
        <f t="shared" si="7"/>
        <v>1.1276600757082089E-2</v>
      </c>
      <c r="Z86" s="553">
        <f t="shared" si="7"/>
        <v>8.4925914846790615E-3</v>
      </c>
      <c r="AA86" s="553">
        <f t="shared" si="7"/>
        <v>8.0990116935060665E-3</v>
      </c>
      <c r="AB86" s="595">
        <f t="shared" si="7"/>
        <v>7.28512361343961E-3</v>
      </c>
      <c r="AC86" s="549"/>
      <c r="AD86" s="549"/>
      <c r="AE86" s="549"/>
      <c r="AF86" s="549"/>
      <c r="AG86" s="549"/>
    </row>
    <row r="87" spans="1:33" x14ac:dyDescent="0.25">
      <c r="A87" s="549"/>
      <c r="B87" s="549"/>
      <c r="C87" s="549"/>
      <c r="D87" s="549"/>
      <c r="E87" s="549"/>
      <c r="F87" s="549"/>
      <c r="G87" s="549"/>
      <c r="H87" s="549"/>
      <c r="I87" s="549"/>
      <c r="J87" s="549"/>
      <c r="K87" s="549"/>
      <c r="L87" s="549"/>
      <c r="M87" s="549"/>
      <c r="N87" s="585">
        <v>4.0808230714498244</v>
      </c>
      <c r="O87" s="594">
        <f t="shared" si="8"/>
        <v>5.2976202144581895E-2</v>
      </c>
      <c r="P87" s="553">
        <f t="shared" si="8"/>
        <v>5.1252483988336192E-2</v>
      </c>
      <c r="Q87" s="553">
        <f t="shared" si="8"/>
        <v>2.0650561744998318E-2</v>
      </c>
      <c r="R87" s="553">
        <f t="shared" si="8"/>
        <v>2.0406044706716326E-2</v>
      </c>
      <c r="S87" s="553">
        <f t="shared" si="8"/>
        <v>2.1330389812744672E-2</v>
      </c>
      <c r="T87" s="553">
        <f t="shared" si="8"/>
        <v>2.1934338433058375E-2</v>
      </c>
      <c r="U87" s="553">
        <f t="shared" si="8"/>
        <v>2.4515932494333346E-2</v>
      </c>
      <c r="V87" s="553">
        <f t="shared" si="8"/>
        <v>2.2027066051520515E-2</v>
      </c>
      <c r="W87" s="553">
        <f t="shared" si="8"/>
        <v>2.4706293010937148E-2</v>
      </c>
      <c r="X87" s="553">
        <f t="shared" si="8"/>
        <v>1.4729587686694518E-2</v>
      </c>
      <c r="Y87" s="553">
        <f t="shared" si="8"/>
        <v>1.3699679888089044E-2</v>
      </c>
      <c r="Z87" s="553">
        <f t="shared" si="8"/>
        <v>1.0317451798348443E-2</v>
      </c>
      <c r="AA87" s="553">
        <f t="shared" si="8"/>
        <v>9.8393008674391748E-3</v>
      </c>
      <c r="AB87" s="595">
        <f t="shared" si="8"/>
        <v>8.8505271756296761E-3</v>
      </c>
      <c r="AC87" s="549"/>
      <c r="AD87" s="549"/>
      <c r="AE87" s="549"/>
      <c r="AF87" s="549"/>
      <c r="AG87" s="549"/>
    </row>
    <row r="88" spans="1:33" ht="11.25" thickBot="1" x14ac:dyDescent="0.3">
      <c r="A88" s="549"/>
      <c r="B88" s="549"/>
      <c r="C88" s="549"/>
      <c r="D88" s="549"/>
      <c r="E88" s="549"/>
      <c r="F88" s="549"/>
      <c r="G88" s="549"/>
      <c r="H88" s="549"/>
      <c r="I88" s="549"/>
      <c r="J88" s="549"/>
      <c r="K88" s="549"/>
      <c r="L88" s="549"/>
      <c r="M88" s="549"/>
      <c r="N88" s="585">
        <v>4.4806848066537661</v>
      </c>
      <c r="O88" s="596">
        <f t="shared" si="8"/>
        <v>5.8167104995099597E-2</v>
      </c>
      <c r="P88" s="597">
        <f t="shared" si="8"/>
        <v>5.6274487349488367E-2</v>
      </c>
      <c r="Q88" s="597">
        <f t="shared" si="8"/>
        <v>2.2674018608409334E-2</v>
      </c>
      <c r="R88" s="597">
        <f t="shared" si="8"/>
        <v>2.2405542431124623E-2</v>
      </c>
      <c r="S88" s="597">
        <f t="shared" si="8"/>
        <v>2.3420460010291938E-2</v>
      </c>
      <c r="T88" s="597">
        <f t="shared" si="8"/>
        <v>2.4083586874568776E-2</v>
      </c>
      <c r="U88" s="597">
        <f t="shared" si="8"/>
        <v>2.6918139876444636E-2</v>
      </c>
      <c r="V88" s="597">
        <f t="shared" si="8"/>
        <v>2.4185400460682641E-2</v>
      </c>
      <c r="W88" s="597">
        <f t="shared" si="8"/>
        <v>2.7127152974929784E-2</v>
      </c>
      <c r="X88" s="597">
        <f t="shared" si="8"/>
        <v>1.6172874589389805E-2</v>
      </c>
      <c r="Y88" s="597">
        <f t="shared" si="8"/>
        <v>1.5042050698064793E-2</v>
      </c>
      <c r="Z88" s="597">
        <f t="shared" si="8"/>
        <v>1.1328413093836542E-2</v>
      </c>
      <c r="AA88" s="597">
        <f t="shared" si="8"/>
        <v>1.0803410276046808E-2</v>
      </c>
      <c r="AB88" s="598">
        <f t="shared" si="8"/>
        <v>9.7177510400202494E-3</v>
      </c>
      <c r="AC88" s="549"/>
      <c r="AD88" s="549"/>
      <c r="AE88" s="549"/>
      <c r="AF88" s="549"/>
      <c r="AG88" s="549"/>
    </row>
    <row r="89" spans="1:33" x14ac:dyDescent="0.25">
      <c r="A89" s="549"/>
      <c r="B89" s="549"/>
      <c r="C89" s="549"/>
      <c r="D89" s="549"/>
      <c r="E89" s="549"/>
      <c r="F89" s="549"/>
      <c r="G89" s="549"/>
      <c r="H89" s="549"/>
      <c r="I89" s="549"/>
      <c r="J89" s="549"/>
      <c r="K89" s="549"/>
      <c r="L89" s="549"/>
      <c r="M89" s="549"/>
      <c r="N89" s="549"/>
      <c r="O89" s="549"/>
      <c r="P89" s="549"/>
      <c r="Q89" s="549"/>
      <c r="R89" s="549"/>
      <c r="S89" s="549"/>
      <c r="T89" s="549"/>
      <c r="U89" s="549"/>
      <c r="V89" s="549"/>
      <c r="W89" s="549"/>
      <c r="X89" s="549"/>
      <c r="Y89" s="549"/>
      <c r="Z89" s="549"/>
      <c r="AA89" s="549"/>
      <c r="AB89" s="549"/>
      <c r="AC89" s="549"/>
      <c r="AD89" s="549"/>
      <c r="AE89" s="549"/>
      <c r="AF89" s="549"/>
      <c r="AG89" s="549"/>
    </row>
    <row r="90" spans="1:33" x14ac:dyDescent="0.25">
      <c r="A90" s="549"/>
      <c r="B90" s="549"/>
      <c r="C90" s="549"/>
      <c r="D90" s="549"/>
      <c r="E90" s="549"/>
      <c r="F90" s="549"/>
      <c r="G90" s="549"/>
      <c r="H90" s="549"/>
      <c r="I90" s="549"/>
      <c r="J90" s="549"/>
      <c r="K90" s="549"/>
      <c r="L90" s="549"/>
      <c r="M90" s="549"/>
      <c r="N90" s="549"/>
      <c r="O90" s="549"/>
      <c r="P90" s="549"/>
      <c r="Q90" s="549"/>
      <c r="R90" s="549"/>
      <c r="S90" s="549"/>
      <c r="T90" s="549"/>
      <c r="U90" s="549"/>
      <c r="V90" s="549"/>
      <c r="W90" s="549"/>
      <c r="X90" s="549"/>
      <c r="Y90" s="549"/>
      <c r="Z90" s="549"/>
      <c r="AA90" s="549"/>
      <c r="AB90" s="549"/>
      <c r="AC90" s="549"/>
      <c r="AD90" s="549"/>
      <c r="AE90" s="549"/>
      <c r="AF90" s="549"/>
      <c r="AG90" s="549"/>
    </row>
    <row r="91" spans="1:33" x14ac:dyDescent="0.25">
      <c r="A91" s="549"/>
      <c r="B91" s="549"/>
      <c r="C91" s="549"/>
      <c r="D91" s="549"/>
      <c r="E91" s="549"/>
      <c r="F91" s="549"/>
      <c r="G91" s="549"/>
      <c r="H91" s="549"/>
      <c r="I91" s="549"/>
      <c r="J91" s="549"/>
      <c r="K91" s="549"/>
      <c r="L91" s="549"/>
      <c r="M91" s="549"/>
      <c r="N91" s="549"/>
      <c r="O91" s="549"/>
      <c r="P91" s="549"/>
      <c r="Q91" s="549"/>
      <c r="R91" s="549"/>
      <c r="S91" s="549"/>
      <c r="T91" s="549"/>
      <c r="U91" s="549"/>
      <c r="V91" s="549"/>
      <c r="W91" s="549"/>
      <c r="X91" s="549"/>
      <c r="Y91" s="549"/>
      <c r="Z91" s="549"/>
      <c r="AA91" s="549"/>
      <c r="AB91" s="549"/>
      <c r="AC91" s="549"/>
      <c r="AD91" s="549"/>
      <c r="AE91" s="549"/>
      <c r="AF91" s="549"/>
      <c r="AG91" s="549"/>
    </row>
    <row r="92" spans="1:33" x14ac:dyDescent="0.25">
      <c r="A92" s="549"/>
      <c r="B92" s="549"/>
      <c r="C92" s="549"/>
      <c r="D92" s="549"/>
      <c r="E92" s="549"/>
      <c r="F92" s="549"/>
      <c r="G92" s="549"/>
      <c r="H92" s="549"/>
      <c r="I92" s="549"/>
      <c r="J92" s="549"/>
      <c r="K92" s="549"/>
      <c r="L92" s="549"/>
      <c r="M92" s="549"/>
      <c r="N92" s="549"/>
      <c r="O92" s="549"/>
      <c r="P92" s="549"/>
      <c r="Q92" s="549"/>
      <c r="R92" s="549"/>
      <c r="S92" s="549"/>
      <c r="T92" s="549"/>
      <c r="U92" s="549"/>
      <c r="V92" s="549"/>
      <c r="W92" s="549"/>
      <c r="X92" s="549"/>
      <c r="Y92" s="549"/>
      <c r="Z92" s="549"/>
      <c r="AA92" s="549"/>
      <c r="AB92" s="549"/>
      <c r="AC92" s="549"/>
      <c r="AD92" s="549"/>
      <c r="AE92" s="549"/>
      <c r="AF92" s="549"/>
      <c r="AG92" s="549"/>
    </row>
    <row r="93" spans="1:33" x14ac:dyDescent="0.25">
      <c r="A93" s="549"/>
      <c r="B93" s="549"/>
      <c r="C93" s="549"/>
      <c r="D93" s="549"/>
      <c r="E93" s="549"/>
      <c r="F93" s="549"/>
      <c r="G93" s="549"/>
      <c r="H93" s="549"/>
      <c r="I93" s="549"/>
      <c r="J93" s="549"/>
      <c r="K93" s="549"/>
      <c r="L93" s="549"/>
      <c r="M93" s="549"/>
      <c r="N93" s="549"/>
      <c r="O93" s="549"/>
      <c r="P93" s="549"/>
      <c r="Q93" s="549"/>
      <c r="R93" s="549"/>
      <c r="S93" s="549"/>
      <c r="T93" s="549"/>
      <c r="U93" s="549"/>
      <c r="V93" s="549"/>
      <c r="W93" s="549"/>
      <c r="X93" s="549"/>
      <c r="Y93" s="549"/>
      <c r="Z93" s="549"/>
      <c r="AA93" s="549"/>
      <c r="AB93" s="549"/>
      <c r="AC93" s="549"/>
      <c r="AD93" s="549"/>
      <c r="AE93" s="549"/>
      <c r="AF93" s="549"/>
      <c r="AG93" s="549"/>
    </row>
    <row r="94" spans="1:33" x14ac:dyDescent="0.25">
      <c r="A94" s="549"/>
      <c r="B94" s="549"/>
      <c r="C94" s="549"/>
      <c r="D94" s="549"/>
      <c r="E94" s="549"/>
      <c r="F94" s="549"/>
      <c r="G94" s="549"/>
      <c r="H94" s="549"/>
      <c r="I94" s="549"/>
      <c r="J94" s="549"/>
      <c r="K94" s="549"/>
      <c r="L94" s="549"/>
      <c r="M94" s="549"/>
      <c r="N94" s="549"/>
      <c r="O94" s="549"/>
      <c r="P94" s="549"/>
      <c r="Q94" s="549"/>
      <c r="R94" s="549"/>
      <c r="S94" s="549"/>
      <c r="T94" s="549"/>
      <c r="U94" s="549"/>
      <c r="V94" s="549"/>
      <c r="W94" s="549"/>
      <c r="X94" s="549"/>
      <c r="Y94" s="549"/>
      <c r="Z94" s="549"/>
      <c r="AA94" s="549"/>
      <c r="AB94" s="549"/>
      <c r="AC94" s="549"/>
      <c r="AD94" s="549"/>
      <c r="AE94" s="549"/>
      <c r="AF94" s="549"/>
      <c r="AG94" s="549"/>
    </row>
    <row r="95" spans="1:33" x14ac:dyDescent="0.25">
      <c r="A95" s="549"/>
      <c r="B95" s="549"/>
      <c r="C95" s="549"/>
      <c r="D95" s="549"/>
      <c r="E95" s="549"/>
      <c r="F95" s="549"/>
      <c r="G95" s="549"/>
      <c r="H95" s="549"/>
      <c r="I95" s="549"/>
      <c r="J95" s="549"/>
      <c r="K95" s="549"/>
      <c r="L95" s="549"/>
      <c r="M95" s="549"/>
      <c r="N95" s="549"/>
      <c r="O95" s="549"/>
      <c r="P95" s="549"/>
      <c r="Q95" s="549"/>
      <c r="R95" s="549"/>
      <c r="S95" s="549"/>
      <c r="T95" s="549"/>
      <c r="U95" s="549"/>
      <c r="V95" s="549"/>
      <c r="W95" s="549"/>
      <c r="X95" s="549"/>
      <c r="Y95" s="549"/>
      <c r="Z95" s="549"/>
      <c r="AA95" s="549"/>
      <c r="AB95" s="549"/>
      <c r="AC95" s="549"/>
      <c r="AD95" s="549"/>
      <c r="AE95" s="549"/>
      <c r="AF95" s="549"/>
      <c r="AG95" s="549"/>
    </row>
    <row r="96" spans="1:33" x14ac:dyDescent="0.25">
      <c r="A96" s="549"/>
      <c r="B96" s="549"/>
      <c r="C96" s="549"/>
      <c r="D96" s="549"/>
      <c r="E96" s="549"/>
      <c r="F96" s="549"/>
      <c r="G96" s="549"/>
      <c r="H96" s="549"/>
      <c r="I96" s="549"/>
      <c r="J96" s="549"/>
      <c r="K96" s="549"/>
      <c r="L96" s="549"/>
      <c r="M96" s="549"/>
      <c r="N96" s="549"/>
      <c r="O96" s="549"/>
      <c r="P96" s="549"/>
      <c r="Q96" s="549"/>
      <c r="R96" s="549"/>
      <c r="S96" s="549"/>
      <c r="T96" s="549"/>
      <c r="U96" s="549"/>
      <c r="V96" s="549"/>
      <c r="W96" s="549"/>
      <c r="X96" s="549"/>
      <c r="Y96" s="549"/>
      <c r="Z96" s="549"/>
      <c r="AA96" s="549"/>
      <c r="AB96" s="549"/>
      <c r="AC96" s="549"/>
      <c r="AD96" s="549"/>
      <c r="AE96" s="549"/>
      <c r="AF96" s="549"/>
      <c r="AG96" s="549"/>
    </row>
    <row r="97" spans="13:31" x14ac:dyDescent="0.25">
      <c r="M97" s="549"/>
      <c r="N97" s="549"/>
      <c r="O97" s="549"/>
      <c r="P97" s="549"/>
      <c r="Q97" s="549"/>
      <c r="R97" s="549"/>
      <c r="S97" s="549"/>
      <c r="T97" s="549"/>
      <c r="U97" s="549"/>
      <c r="V97" s="549"/>
      <c r="W97" s="549"/>
      <c r="X97" s="549"/>
      <c r="Y97" s="549"/>
      <c r="Z97" s="549"/>
      <c r="AA97" s="549"/>
      <c r="AB97" s="549"/>
      <c r="AC97" s="549"/>
      <c r="AD97" s="549"/>
      <c r="AE97" s="549"/>
    </row>
    <row r="98" spans="13:31" x14ac:dyDescent="0.25">
      <c r="M98" s="549"/>
      <c r="N98" s="549"/>
      <c r="O98" s="549"/>
      <c r="P98" s="549"/>
      <c r="Q98" s="549"/>
      <c r="R98" s="549"/>
      <c r="S98" s="549"/>
      <c r="T98" s="549"/>
      <c r="U98" s="549"/>
      <c r="V98" s="549"/>
      <c r="W98" s="549"/>
      <c r="X98" s="549"/>
      <c r="Y98" s="549"/>
      <c r="Z98" s="549"/>
      <c r="AA98" s="549"/>
      <c r="AB98" s="549"/>
      <c r="AC98" s="549"/>
      <c r="AD98" s="549"/>
      <c r="AE98" s="549"/>
    </row>
  </sheetData>
  <sortState ref="N25:N42">
    <sortCondition ref="N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L94"/>
  <sheetViews>
    <sheetView zoomScale="90" zoomScaleNormal="90" workbookViewId="0">
      <selection activeCell="I6" sqref="I6"/>
    </sheetView>
  </sheetViews>
  <sheetFormatPr defaultColWidth="8.85546875" defaultRowHeight="12" x14ac:dyDescent="0.25"/>
  <cols>
    <col min="1" max="15" width="5" style="1" customWidth="1"/>
    <col min="16" max="16" width="7.85546875" style="1" customWidth="1"/>
    <col min="17" max="17" width="5" style="2" customWidth="1"/>
    <col min="18" max="27" width="5" style="1" customWidth="1"/>
    <col min="28" max="28" width="3" style="1" customWidth="1"/>
    <col min="29" max="34" width="6.42578125" style="1" customWidth="1"/>
    <col min="35" max="36" width="6.42578125" style="5" customWidth="1"/>
    <col min="37" max="43" width="6.42578125" style="1" customWidth="1"/>
    <col min="44" max="45" width="6.42578125" style="5" customWidth="1"/>
    <col min="46" max="52" width="6.42578125" style="1" customWidth="1"/>
    <col min="53" max="54" width="6.42578125" style="5" customWidth="1"/>
    <col min="55" max="61" width="6.42578125" style="1" customWidth="1"/>
    <col min="62" max="62" width="6.42578125" style="5" customWidth="1"/>
    <col min="63" max="63" width="7.5703125" style="1" customWidth="1"/>
    <col min="64" max="16384" width="8.85546875" style="1"/>
  </cols>
  <sheetData>
    <row r="1" spans="1:64" x14ac:dyDescent="0.25">
      <c r="A1" s="1" t="s">
        <v>13</v>
      </c>
      <c r="Q1" s="49" t="s">
        <v>76</v>
      </c>
      <c r="AB1" s="3"/>
      <c r="AC1" s="4" t="s">
        <v>77</v>
      </c>
      <c r="AD1" s="4"/>
      <c r="AE1" s="4"/>
      <c r="AO1" s="1" t="s">
        <v>79</v>
      </c>
      <c r="AR1" s="1"/>
      <c r="AS1" s="1"/>
      <c r="BA1" s="1"/>
      <c r="BB1" s="1"/>
    </row>
    <row r="2" spans="1:64" ht="12.75" thickBot="1" x14ac:dyDescent="0.3">
      <c r="AB2" s="6"/>
      <c r="AC2" s="23">
        <v>0.1</v>
      </c>
      <c r="AD2" s="7" t="s">
        <v>78</v>
      </c>
      <c r="AR2" s="1"/>
      <c r="AS2" s="1"/>
      <c r="BA2" s="1"/>
      <c r="BB2" s="1"/>
    </row>
    <row r="3" spans="1:64" x14ac:dyDescent="0.25">
      <c r="A3" s="3"/>
      <c r="B3" s="4"/>
      <c r="C3" s="4"/>
      <c r="D3" s="4"/>
      <c r="E3" s="4"/>
      <c r="F3" s="4"/>
      <c r="G3" s="4"/>
      <c r="H3" s="9"/>
      <c r="I3" s="4"/>
      <c r="J3" s="4"/>
      <c r="K3" s="4"/>
      <c r="L3" s="4"/>
      <c r="M3" s="4"/>
      <c r="N3" s="4"/>
      <c r="O3" s="4"/>
      <c r="P3" s="4"/>
      <c r="Q3" s="84" t="s">
        <v>16</v>
      </c>
      <c r="R3" s="4"/>
      <c r="S3" s="4"/>
      <c r="T3" s="4"/>
      <c r="U3" s="4"/>
      <c r="V3" s="4"/>
      <c r="W3" s="4"/>
      <c r="X3" s="4"/>
      <c r="Y3" s="4"/>
      <c r="Z3" s="4"/>
      <c r="AA3" s="9"/>
      <c r="AB3" s="7"/>
      <c r="AC3" s="7" t="s">
        <v>30</v>
      </c>
      <c r="AD3" s="7"/>
      <c r="AN3" s="1">
        <f>SUM(AN7:AN20)</f>
        <v>83</v>
      </c>
      <c r="AR3" s="1"/>
      <c r="AS3" s="1"/>
      <c r="AW3" s="1">
        <f>SUM(AW7:AW20)</f>
        <v>83</v>
      </c>
      <c r="BA3" s="1"/>
      <c r="BB3" s="1"/>
      <c r="BF3" s="1">
        <f>SUM(BF7:BF20)</f>
        <v>83</v>
      </c>
    </row>
    <row r="4" spans="1:64" x14ac:dyDescent="0.25">
      <c r="A4" s="6"/>
      <c r="B4" s="7" t="s">
        <v>80</v>
      </c>
      <c r="C4" s="7"/>
      <c r="D4" s="7"/>
      <c r="E4" s="7"/>
      <c r="F4" s="7"/>
      <c r="G4" s="7"/>
      <c r="H4" s="15"/>
      <c r="I4" s="7"/>
      <c r="J4" s="7" t="s">
        <v>14</v>
      </c>
      <c r="K4" s="7"/>
      <c r="L4" s="7"/>
      <c r="M4" s="7"/>
      <c r="N4" s="7"/>
      <c r="O4" s="7"/>
      <c r="P4" s="7"/>
      <c r="Q4" s="75" t="s">
        <v>17</v>
      </c>
      <c r="R4" s="7">
        <v>1</v>
      </c>
      <c r="S4" s="7"/>
      <c r="T4" s="7"/>
      <c r="U4" s="7"/>
      <c r="V4" s="7"/>
      <c r="W4" s="7"/>
      <c r="X4" s="7"/>
      <c r="Y4" s="7"/>
      <c r="Z4" s="7"/>
      <c r="AA4" s="15"/>
      <c r="AB4" s="7"/>
      <c r="AC4" s="7"/>
      <c r="AD4" s="7"/>
      <c r="AE4" s="7"/>
    </row>
    <row r="5" spans="1:64" x14ac:dyDescent="0.25">
      <c r="A5" s="6"/>
      <c r="B5" s="7" t="s">
        <v>15</v>
      </c>
      <c r="C5" s="7"/>
      <c r="D5" s="7"/>
      <c r="E5" s="7"/>
      <c r="F5" s="7"/>
      <c r="G5" s="7"/>
      <c r="H5" s="15"/>
      <c r="I5" s="7"/>
      <c r="J5" s="7" t="s">
        <v>15</v>
      </c>
      <c r="K5" s="7"/>
      <c r="L5" s="7"/>
      <c r="M5" s="7"/>
      <c r="N5" s="7"/>
      <c r="O5" s="7"/>
      <c r="P5" s="7"/>
      <c r="Q5" s="75" t="s">
        <v>45</v>
      </c>
      <c r="R5" s="7">
        <v>12</v>
      </c>
      <c r="S5" s="7" t="s">
        <v>44</v>
      </c>
      <c r="T5" s="7"/>
      <c r="U5" s="7"/>
      <c r="V5" s="7"/>
      <c r="W5" s="7"/>
      <c r="X5" s="7"/>
      <c r="Y5" s="7"/>
      <c r="Z5" s="7"/>
      <c r="AA5" s="15"/>
      <c r="AB5" s="76"/>
      <c r="AC5" s="8"/>
      <c r="AD5" s="8"/>
      <c r="AE5" s="8">
        <v>5</v>
      </c>
      <c r="AL5" s="8"/>
      <c r="AM5" s="8"/>
      <c r="AN5" s="8">
        <v>5</v>
      </c>
      <c r="AU5" s="8"/>
      <c r="AV5" s="8"/>
      <c r="AW5" s="8">
        <v>5</v>
      </c>
      <c r="BD5" s="8"/>
      <c r="BE5" s="8"/>
      <c r="BF5" s="8">
        <v>5</v>
      </c>
    </row>
    <row r="6" spans="1:64" x14ac:dyDescent="0.25">
      <c r="A6" s="6"/>
      <c r="B6" s="7"/>
      <c r="C6" s="7"/>
      <c r="D6" s="7"/>
      <c r="E6" s="7"/>
      <c r="F6" s="7"/>
      <c r="G6" s="7"/>
      <c r="H6" s="15"/>
      <c r="I6" s="7"/>
      <c r="J6" s="7"/>
      <c r="K6" s="7"/>
      <c r="L6" s="7"/>
      <c r="M6" s="7"/>
      <c r="N6" s="7"/>
      <c r="O6" s="7"/>
      <c r="P6" s="7"/>
      <c r="Q6" s="75" t="s">
        <v>46</v>
      </c>
      <c r="R6" s="7">
        <v>1</v>
      </c>
      <c r="S6" s="7" t="s">
        <v>47</v>
      </c>
      <c r="T6" s="7"/>
      <c r="U6" s="7"/>
      <c r="V6" s="7"/>
      <c r="W6" s="7"/>
      <c r="X6" s="7"/>
      <c r="Y6" s="7"/>
      <c r="Z6" s="7"/>
      <c r="AA6" s="15"/>
      <c r="AB6" s="7"/>
      <c r="AC6" s="11" t="s">
        <v>19</v>
      </c>
      <c r="AD6" s="11" t="s">
        <v>293</v>
      </c>
      <c r="AE6" s="16" t="s">
        <v>3</v>
      </c>
      <c r="AF6" s="7"/>
      <c r="AI6" s="5" t="s">
        <v>20</v>
      </c>
      <c r="AL6" s="11" t="s">
        <v>19</v>
      </c>
      <c r="AM6" s="11" t="s">
        <v>293</v>
      </c>
      <c r="AN6" s="12" t="s">
        <v>0</v>
      </c>
      <c r="AO6" s="7"/>
      <c r="AR6" s="5" t="s">
        <v>20</v>
      </c>
      <c r="AU6" s="11" t="s">
        <v>19</v>
      </c>
      <c r="AV6" s="11" t="s">
        <v>293</v>
      </c>
      <c r="AW6" s="13" t="s">
        <v>1</v>
      </c>
      <c r="BA6" s="5" t="s">
        <v>20</v>
      </c>
      <c r="BD6" s="11" t="s">
        <v>19</v>
      </c>
      <c r="BE6" s="11" t="s">
        <v>293</v>
      </c>
      <c r="BF6" s="14" t="s">
        <v>2</v>
      </c>
      <c r="BJ6" s="5" t="s">
        <v>20</v>
      </c>
    </row>
    <row r="7" spans="1:64" x14ac:dyDescent="0.25">
      <c r="A7" s="6"/>
      <c r="B7" s="7" t="s">
        <v>18</v>
      </c>
      <c r="C7" s="7"/>
      <c r="D7" s="7"/>
      <c r="E7" s="7"/>
      <c r="F7" s="7"/>
      <c r="G7" s="7"/>
      <c r="H7" s="15"/>
      <c r="I7" s="7"/>
      <c r="J7" s="7" t="s">
        <v>18</v>
      </c>
      <c r="K7" s="7"/>
      <c r="L7" s="7"/>
      <c r="M7" s="7"/>
      <c r="N7" s="7"/>
      <c r="O7" s="7"/>
      <c r="P7" s="7"/>
      <c r="Q7" s="75"/>
      <c r="R7" s="7"/>
      <c r="S7" s="7"/>
      <c r="T7" s="7"/>
      <c r="U7" s="7"/>
      <c r="V7" s="7"/>
      <c r="W7" s="7"/>
      <c r="X7" s="7"/>
      <c r="Y7" s="7"/>
      <c r="Z7" s="7"/>
      <c r="AA7" s="15"/>
      <c r="AB7" s="7"/>
      <c r="AC7" s="8">
        <v>0</v>
      </c>
      <c r="AD7" s="531">
        <f>AC7/100</f>
        <v>0</v>
      </c>
      <c r="AE7" s="8">
        <v>4</v>
      </c>
      <c r="AF7" s="1">
        <f>SUM(AE7:AE$20)</f>
        <v>82</v>
      </c>
      <c r="AG7" s="48">
        <f>AF7/AF$7</f>
        <v>1</v>
      </c>
      <c r="AH7" s="17">
        <f>1-AG7</f>
        <v>0</v>
      </c>
      <c r="AL7" s="8">
        <v>0</v>
      </c>
      <c r="AM7" s="531">
        <f>AL7/100</f>
        <v>0</v>
      </c>
      <c r="AN7" s="8">
        <v>4</v>
      </c>
      <c r="AO7" s="7">
        <f>SUM(AN7:AN$19)</f>
        <v>83</v>
      </c>
      <c r="AP7" s="48">
        <f t="shared" ref="AP7:AP19" si="0">AO7/$AF$7</f>
        <v>1.0121951219512195</v>
      </c>
      <c r="AQ7" s="17">
        <f>1-AP7</f>
        <v>-1.2195121951219523E-2</v>
      </c>
      <c r="AU7" s="8">
        <v>0</v>
      </c>
      <c r="AV7" s="531">
        <f>AU7/100</f>
        <v>0</v>
      </c>
      <c r="AW7" s="8">
        <v>3</v>
      </c>
      <c r="AX7" s="1">
        <f>SUM(AW7:AW$20)</f>
        <v>83</v>
      </c>
      <c r="AY7" s="48">
        <f t="shared" ref="AY7:AY20" si="1">AX7/$AX$7</f>
        <v>1</v>
      </c>
      <c r="AZ7" s="17">
        <f>1-AY7</f>
        <v>0</v>
      </c>
      <c r="BD7" s="8">
        <v>0</v>
      </c>
      <c r="BE7" s="531">
        <f>BD7/100</f>
        <v>0</v>
      </c>
      <c r="BF7" s="8">
        <v>2</v>
      </c>
      <c r="BG7" s="1">
        <f>SUM(BF7:BF$19)</f>
        <v>83</v>
      </c>
      <c r="BH7" s="48">
        <f t="shared" ref="BH7:BH18" si="2">BG7/$BG$7</f>
        <v>1</v>
      </c>
      <c r="BI7" s="17">
        <f>1-BH7</f>
        <v>0</v>
      </c>
    </row>
    <row r="8" spans="1:64" x14ac:dyDescent="0.25">
      <c r="A8" s="6"/>
      <c r="B8" s="8"/>
      <c r="C8" s="8"/>
      <c r="D8" s="8">
        <v>10</v>
      </c>
      <c r="E8" s="8">
        <v>10</v>
      </c>
      <c r="F8" s="8">
        <v>10</v>
      </c>
      <c r="G8" s="8">
        <v>10</v>
      </c>
      <c r="H8" s="15"/>
      <c r="I8" s="7"/>
      <c r="J8" s="8"/>
      <c r="K8" s="8"/>
      <c r="L8" s="8">
        <v>10</v>
      </c>
      <c r="M8" s="8">
        <v>10</v>
      </c>
      <c r="N8" s="8">
        <v>10</v>
      </c>
      <c r="O8" s="8">
        <v>10</v>
      </c>
      <c r="P8" s="7"/>
      <c r="Q8" s="74" t="s">
        <v>23</v>
      </c>
      <c r="R8" s="7"/>
      <c r="S8" s="7"/>
      <c r="T8" s="7"/>
      <c r="U8" s="7"/>
      <c r="V8" s="7"/>
      <c r="W8" s="7"/>
      <c r="X8" s="7"/>
      <c r="Y8" s="7"/>
      <c r="Z8" s="7"/>
      <c r="AA8" s="15"/>
      <c r="AB8" s="7"/>
      <c r="AC8" s="8">
        <f>$AC$2</f>
        <v>0.1</v>
      </c>
      <c r="AD8" s="531">
        <f t="shared" ref="AD8:AD20" si="3">AC8/100</f>
        <v>1E-3</v>
      </c>
      <c r="AE8" s="22">
        <v>2</v>
      </c>
      <c r="AF8" s="1">
        <f>SUM(AE8:AE$20)</f>
        <v>78</v>
      </c>
      <c r="AG8" s="48">
        <f t="shared" ref="AG8:AG20" si="4">AF8/AF$7</f>
        <v>0.95121951219512191</v>
      </c>
      <c r="AH8" s="60">
        <f t="shared" ref="AH8:AH19" si="5">1-AG8</f>
        <v>4.8780487804878092E-2</v>
      </c>
      <c r="AI8" s="61">
        <f>SUM(AE$7:AE7)</f>
        <v>4</v>
      </c>
      <c r="AJ8" s="61"/>
      <c r="AL8" s="8">
        <f>$AC$2</f>
        <v>0.1</v>
      </c>
      <c r="AM8" s="531">
        <f t="shared" ref="AM8:AM19" si="6">AL8/100</f>
        <v>1E-3</v>
      </c>
      <c r="AN8" s="8">
        <v>25</v>
      </c>
      <c r="AO8" s="7">
        <f>SUM(AN8:AN$19)</f>
        <v>79</v>
      </c>
      <c r="AP8" s="60">
        <f t="shared" si="0"/>
        <v>0.96341463414634143</v>
      </c>
      <c r="AQ8" s="60">
        <f t="shared" ref="AQ8:AQ19" si="7">1-AP8</f>
        <v>3.6585365853658569E-2</v>
      </c>
      <c r="AR8" s="61">
        <f>SUM(AN$7:AN7)</f>
        <v>4</v>
      </c>
      <c r="AU8" s="8">
        <f>$AC$2</f>
        <v>0.1</v>
      </c>
      <c r="AV8" s="531">
        <f t="shared" ref="AV8:AV20" si="8">AU8/100</f>
        <v>1E-3</v>
      </c>
      <c r="AW8" s="8">
        <v>22</v>
      </c>
      <c r="AX8" s="1">
        <f>SUM(AW8:AW$20)</f>
        <v>80</v>
      </c>
      <c r="AY8" s="48">
        <f t="shared" si="1"/>
        <v>0.96385542168674698</v>
      </c>
      <c r="AZ8" s="17">
        <f t="shared" ref="AZ8:AZ20" si="9">1-AY8</f>
        <v>3.6144578313253017E-2</v>
      </c>
      <c r="BA8" s="5">
        <f>SUM(AW$7:AW7)</f>
        <v>3</v>
      </c>
      <c r="BD8" s="8">
        <f>$AC$2</f>
        <v>0.1</v>
      </c>
      <c r="BE8" s="531">
        <f t="shared" ref="BE8:BE18" si="10">BD8/100</f>
        <v>1E-3</v>
      </c>
      <c r="BF8" s="8">
        <v>13</v>
      </c>
      <c r="BG8" s="1">
        <f>SUM(BF8:BF$19)</f>
        <v>81</v>
      </c>
      <c r="BH8" s="17">
        <f t="shared" si="2"/>
        <v>0.97590361445783136</v>
      </c>
      <c r="BI8" s="17">
        <f t="shared" ref="BI8:BI18" si="11">1-BH8</f>
        <v>2.4096385542168641E-2</v>
      </c>
      <c r="BJ8" s="5">
        <f>SUM(BF$7:BF7)</f>
        <v>2</v>
      </c>
    </row>
    <row r="9" spans="1:64" x14ac:dyDescent="0.25">
      <c r="A9" s="10"/>
      <c r="B9" s="11" t="s">
        <v>19</v>
      </c>
      <c r="C9" s="11" t="s">
        <v>21</v>
      </c>
      <c r="D9" s="527" t="s">
        <v>0</v>
      </c>
      <c r="E9" s="528" t="s">
        <v>1</v>
      </c>
      <c r="F9" s="529" t="s">
        <v>2</v>
      </c>
      <c r="G9" s="530" t="s">
        <v>3</v>
      </c>
      <c r="H9" s="19"/>
      <c r="I9" s="7"/>
      <c r="J9" s="11" t="s">
        <v>19</v>
      </c>
      <c r="K9" s="11" t="s">
        <v>21</v>
      </c>
      <c r="L9" s="527" t="s">
        <v>0</v>
      </c>
      <c r="M9" s="528" t="s">
        <v>1</v>
      </c>
      <c r="N9" s="529" t="s">
        <v>2</v>
      </c>
      <c r="O9" s="530" t="s">
        <v>3</v>
      </c>
      <c r="P9" s="7"/>
      <c r="Q9" s="75" t="s">
        <v>58</v>
      </c>
      <c r="R9" s="7">
        <v>3</v>
      </c>
      <c r="S9" s="7" t="s">
        <v>59</v>
      </c>
      <c r="T9" s="7"/>
      <c r="U9" s="7"/>
      <c r="V9" s="7"/>
      <c r="W9" s="75"/>
      <c r="X9" s="7"/>
      <c r="Y9" s="7"/>
      <c r="Z9" s="7"/>
      <c r="AA9" s="15"/>
      <c r="AB9" s="7"/>
      <c r="AC9" s="18">
        <v>1</v>
      </c>
      <c r="AD9" s="535">
        <f t="shared" si="3"/>
        <v>0.01</v>
      </c>
      <c r="AE9" s="18">
        <v>26</v>
      </c>
      <c r="AF9" s="1">
        <f>SUM(AE9:AE$20)</f>
        <v>76</v>
      </c>
      <c r="AG9" s="48">
        <f t="shared" si="4"/>
        <v>0.92682926829268297</v>
      </c>
      <c r="AH9" s="60">
        <f t="shared" si="5"/>
        <v>7.3170731707317027E-2</v>
      </c>
      <c r="AI9" s="61">
        <f>SUM(AE$7:AE8)</f>
        <v>6</v>
      </c>
      <c r="AJ9" s="25"/>
      <c r="AL9" s="8">
        <v>10</v>
      </c>
      <c r="AM9" s="531">
        <f t="shared" si="6"/>
        <v>0.1</v>
      </c>
      <c r="AN9" s="20">
        <v>17</v>
      </c>
      <c r="AO9" s="7">
        <f>SUM(AN9:AN$19)</f>
        <v>54</v>
      </c>
      <c r="AP9" s="60">
        <f t="shared" si="0"/>
        <v>0.65853658536585369</v>
      </c>
      <c r="AQ9" s="60">
        <f t="shared" si="7"/>
        <v>0.34146341463414631</v>
      </c>
      <c r="AR9" s="61">
        <f>SUM(AN$7:AN8)</f>
        <v>29</v>
      </c>
      <c r="AU9" s="8">
        <v>10</v>
      </c>
      <c r="AV9" s="531">
        <f t="shared" si="8"/>
        <v>0.1</v>
      </c>
      <c r="AW9" s="20">
        <v>22</v>
      </c>
      <c r="AX9" s="1">
        <f>SUM(AW9:AW$20)</f>
        <v>58</v>
      </c>
      <c r="AY9" s="48">
        <f t="shared" si="1"/>
        <v>0.6987951807228916</v>
      </c>
      <c r="AZ9" s="17">
        <f t="shared" si="9"/>
        <v>0.3012048192771084</v>
      </c>
      <c r="BA9" s="5">
        <f>SUM(AW$7:AW8)</f>
        <v>25</v>
      </c>
      <c r="BD9" s="8">
        <v>10</v>
      </c>
      <c r="BE9" s="531">
        <f t="shared" si="10"/>
        <v>0.1</v>
      </c>
      <c r="BF9" s="8">
        <v>18</v>
      </c>
      <c r="BG9" s="1">
        <f>SUM(BF9:BF$19)</f>
        <v>68</v>
      </c>
      <c r="BH9" s="17">
        <f t="shared" si="2"/>
        <v>0.81927710843373491</v>
      </c>
      <c r="BI9" s="17">
        <f t="shared" si="11"/>
        <v>0.18072289156626509</v>
      </c>
      <c r="BJ9" s="5">
        <f>SUM(BF$7:BF8)</f>
        <v>15</v>
      </c>
    </row>
    <row r="10" spans="1:64" x14ac:dyDescent="0.25">
      <c r="A10" s="6"/>
      <c r="B10" s="8">
        <v>0</v>
      </c>
      <c r="C10" s="8">
        <v>0</v>
      </c>
      <c r="D10" s="8">
        <v>3</v>
      </c>
      <c r="E10" s="8">
        <v>1</v>
      </c>
      <c r="F10" s="8">
        <v>2</v>
      </c>
      <c r="G10" s="8">
        <v>1</v>
      </c>
      <c r="H10" s="15"/>
      <c r="I10" s="7"/>
      <c r="J10" s="8">
        <v>0</v>
      </c>
      <c r="K10" s="8">
        <v>0</v>
      </c>
      <c r="L10" s="8">
        <f>SUM(D10:D$21)</f>
        <v>80</v>
      </c>
      <c r="M10" s="8">
        <f>SUM(E10:E$21)</f>
        <v>79</v>
      </c>
      <c r="N10" s="8">
        <f>SUM(F10:F$21)</f>
        <v>82</v>
      </c>
      <c r="O10" s="8">
        <f>SUM(G10:G$21)</f>
        <v>79</v>
      </c>
      <c r="P10" s="7"/>
      <c r="Q10" s="78">
        <v>0</v>
      </c>
      <c r="R10" s="7">
        <v>1</v>
      </c>
      <c r="S10" s="7"/>
      <c r="T10" s="7"/>
      <c r="U10" s="7"/>
      <c r="V10" s="7"/>
      <c r="W10" s="75"/>
      <c r="X10" s="7"/>
      <c r="Y10" s="7"/>
      <c r="Z10" s="7"/>
      <c r="AA10" s="15"/>
      <c r="AB10" s="7"/>
      <c r="AC10" s="18">
        <v>5</v>
      </c>
      <c r="AD10" s="535">
        <f t="shared" si="3"/>
        <v>0.05</v>
      </c>
      <c r="AE10" s="18">
        <v>1</v>
      </c>
      <c r="AF10" s="1">
        <f>SUM(AE10:AE$20)</f>
        <v>50</v>
      </c>
      <c r="AG10" s="48">
        <f t="shared" si="4"/>
        <v>0.6097560975609756</v>
      </c>
      <c r="AH10" s="60">
        <f t="shared" si="5"/>
        <v>0.3902439024390244</v>
      </c>
      <c r="AI10" s="61">
        <f>SUM(AE$7:AE9)</f>
        <v>32</v>
      </c>
      <c r="AJ10" s="25"/>
      <c r="AL10" s="8">
        <v>20</v>
      </c>
      <c r="AM10" s="531">
        <f t="shared" si="6"/>
        <v>0.2</v>
      </c>
      <c r="AN10" s="8">
        <v>13</v>
      </c>
      <c r="AO10" s="7">
        <f>SUM(AN10:AN$19)</f>
        <v>37</v>
      </c>
      <c r="AP10" s="60">
        <f t="shared" si="0"/>
        <v>0.45121951219512196</v>
      </c>
      <c r="AQ10" s="60">
        <f t="shared" si="7"/>
        <v>0.54878048780487809</v>
      </c>
      <c r="AR10" s="61">
        <f>SUM(AN$7:AN9)</f>
        <v>46</v>
      </c>
      <c r="AS10" s="25"/>
      <c r="AT10" s="59"/>
      <c r="AU10" s="8">
        <v>20</v>
      </c>
      <c r="AV10" s="531">
        <f t="shared" si="8"/>
        <v>0.2</v>
      </c>
      <c r="AW10" s="8">
        <v>15</v>
      </c>
      <c r="AX10" s="1">
        <f>SUM(AW10:AW$20)</f>
        <v>36</v>
      </c>
      <c r="AY10" s="48">
        <f t="shared" si="1"/>
        <v>0.43373493975903615</v>
      </c>
      <c r="AZ10" s="17">
        <f t="shared" si="9"/>
        <v>0.56626506024096379</v>
      </c>
      <c r="BA10" s="5">
        <f>SUM(AW$7:AW9)</f>
        <v>47</v>
      </c>
      <c r="BB10" s="25"/>
      <c r="BC10" s="59"/>
      <c r="BD10" s="8">
        <v>20</v>
      </c>
      <c r="BE10" s="531">
        <f t="shared" si="10"/>
        <v>0.2</v>
      </c>
      <c r="BF10" s="20">
        <v>11</v>
      </c>
      <c r="BG10" s="1">
        <f>SUM(BF10:BF$19)</f>
        <v>50</v>
      </c>
      <c r="BH10" s="60">
        <f t="shared" si="2"/>
        <v>0.60240963855421692</v>
      </c>
      <c r="BI10" s="60">
        <f t="shared" si="11"/>
        <v>0.39759036144578308</v>
      </c>
      <c r="BJ10" s="61">
        <f>SUM(BF$7:BF9)</f>
        <v>33</v>
      </c>
      <c r="BK10" s="25"/>
      <c r="BL10" s="59"/>
    </row>
    <row r="11" spans="1:64" x14ac:dyDescent="0.25">
      <c r="A11" s="6"/>
      <c r="B11" s="8">
        <v>0</v>
      </c>
      <c r="C11" s="8">
        <v>9</v>
      </c>
      <c r="D11" s="8">
        <v>14</v>
      </c>
      <c r="E11" s="8">
        <v>15</v>
      </c>
      <c r="F11" s="8">
        <v>9</v>
      </c>
      <c r="G11" s="8">
        <v>18</v>
      </c>
      <c r="H11" s="15"/>
      <c r="I11" s="7"/>
      <c r="J11" s="8">
        <v>0</v>
      </c>
      <c r="K11" s="8">
        <v>9</v>
      </c>
      <c r="L11" s="8">
        <f>SUM(D11:D$21)</f>
        <v>77</v>
      </c>
      <c r="M11" s="8">
        <f>SUM(E11:E$21)</f>
        <v>78</v>
      </c>
      <c r="N11" s="8">
        <f>SUM(F11:F$21)</f>
        <v>80</v>
      </c>
      <c r="O11" s="8">
        <f>SUM(G11:G$21)</f>
        <v>78</v>
      </c>
      <c r="P11" s="7"/>
      <c r="Q11" s="75" t="s">
        <v>61</v>
      </c>
      <c r="R11" s="7">
        <v>2</v>
      </c>
      <c r="S11" s="7"/>
      <c r="T11" s="7"/>
      <c r="U11" s="7"/>
      <c r="V11" s="7"/>
      <c r="W11" s="75"/>
      <c r="X11" s="7"/>
      <c r="Y11" s="7"/>
      <c r="Z11" s="7"/>
      <c r="AA11" s="15"/>
      <c r="AB11" s="7"/>
      <c r="AC11" s="8">
        <v>10</v>
      </c>
      <c r="AD11" s="531">
        <f t="shared" si="3"/>
        <v>0.1</v>
      </c>
      <c r="AE11" s="20">
        <v>23</v>
      </c>
      <c r="AF11" s="1">
        <f>SUM(AE11:AE$20)</f>
        <v>49</v>
      </c>
      <c r="AG11" s="48">
        <f t="shared" si="4"/>
        <v>0.59756097560975607</v>
      </c>
      <c r="AH11" s="60">
        <f t="shared" si="5"/>
        <v>0.40243902439024393</v>
      </c>
      <c r="AI11" s="61">
        <f>SUM(AE$7:AE10)</f>
        <v>33</v>
      </c>
      <c r="AJ11" s="25"/>
      <c r="AL11" s="8">
        <v>30</v>
      </c>
      <c r="AM11" s="531">
        <f t="shared" si="6"/>
        <v>0.3</v>
      </c>
      <c r="AN11" s="8">
        <v>11</v>
      </c>
      <c r="AO11" s="7">
        <f>SUM(AN11:AN$19)</f>
        <v>24</v>
      </c>
      <c r="AP11" s="60">
        <f t="shared" si="0"/>
        <v>0.29268292682926828</v>
      </c>
      <c r="AQ11" s="60">
        <f t="shared" si="7"/>
        <v>0.70731707317073167</v>
      </c>
      <c r="AR11" s="61">
        <f>SUM(AN$7:AN10)</f>
        <v>59</v>
      </c>
      <c r="AS11" s="21"/>
      <c r="AU11" s="8">
        <v>30</v>
      </c>
      <c r="AV11" s="531">
        <f t="shared" si="8"/>
        <v>0.3</v>
      </c>
      <c r="AW11" s="8">
        <v>6</v>
      </c>
      <c r="AX11" s="1">
        <f>SUM(AW11:AW$20)</f>
        <v>21</v>
      </c>
      <c r="AY11" s="48">
        <f t="shared" si="1"/>
        <v>0.25301204819277107</v>
      </c>
      <c r="AZ11" s="17">
        <f t="shared" si="9"/>
        <v>0.74698795180722888</v>
      </c>
      <c r="BA11" s="5">
        <f>SUM(AW$7:AW10)</f>
        <v>62</v>
      </c>
      <c r="BB11" s="21"/>
      <c r="BD11" s="8">
        <v>30</v>
      </c>
      <c r="BE11" s="531">
        <f t="shared" si="10"/>
        <v>0.3</v>
      </c>
      <c r="BF11" s="8">
        <v>16</v>
      </c>
      <c r="BG11" s="1">
        <f>SUM(BF11:BF$19)</f>
        <v>39</v>
      </c>
      <c r="BH11" s="17">
        <f t="shared" si="2"/>
        <v>0.46987951807228917</v>
      </c>
      <c r="BI11" s="17">
        <f t="shared" si="11"/>
        <v>0.53012048192771077</v>
      </c>
      <c r="BJ11" s="5">
        <f>SUM(BF$7:BF10)</f>
        <v>44</v>
      </c>
      <c r="BK11" s="21"/>
    </row>
    <row r="12" spans="1:64" x14ac:dyDescent="0.25">
      <c r="A12" s="6"/>
      <c r="B12" s="8">
        <f>C11+1</f>
        <v>10</v>
      </c>
      <c r="C12" s="8">
        <f>C11+10</f>
        <v>19</v>
      </c>
      <c r="D12" s="22">
        <v>18</v>
      </c>
      <c r="E12" s="22">
        <v>14</v>
      </c>
      <c r="F12" s="8">
        <v>12</v>
      </c>
      <c r="G12" s="22">
        <v>16</v>
      </c>
      <c r="H12" s="15"/>
      <c r="I12" s="7"/>
      <c r="J12" s="8">
        <f>K11+1</f>
        <v>10</v>
      </c>
      <c r="K12" s="8">
        <f>K11+10</f>
        <v>19</v>
      </c>
      <c r="L12" s="8">
        <f>SUM(D12:D$21)</f>
        <v>63</v>
      </c>
      <c r="M12" s="8">
        <f>SUM(E12:E$21)</f>
        <v>63</v>
      </c>
      <c r="N12" s="8">
        <f>SUM(F12:F$21)</f>
        <v>71</v>
      </c>
      <c r="O12" s="8">
        <f>SUM(G12:G$21)</f>
        <v>60</v>
      </c>
      <c r="P12" s="7"/>
      <c r="Q12" s="75" t="s">
        <v>60</v>
      </c>
      <c r="R12" s="7">
        <v>13</v>
      </c>
      <c r="S12" s="7" t="s">
        <v>53</v>
      </c>
      <c r="T12" s="7"/>
      <c r="U12" s="7"/>
      <c r="V12" s="7"/>
      <c r="W12" s="75"/>
      <c r="X12" s="7"/>
      <c r="Y12" s="7"/>
      <c r="Z12" s="7"/>
      <c r="AA12" s="15"/>
      <c r="AB12" s="7"/>
      <c r="AC12" s="8">
        <v>20</v>
      </c>
      <c r="AD12" s="531">
        <f t="shared" si="3"/>
        <v>0.2</v>
      </c>
      <c r="AE12" s="8">
        <v>10</v>
      </c>
      <c r="AF12" s="1">
        <f>SUM(AE12:AE$20)</f>
        <v>26</v>
      </c>
      <c r="AG12" s="48">
        <f t="shared" si="4"/>
        <v>0.31707317073170732</v>
      </c>
      <c r="AH12" s="60">
        <f t="shared" si="5"/>
        <v>0.68292682926829262</v>
      </c>
      <c r="AI12" s="61">
        <f>SUM(AE$7:AE11)</f>
        <v>56</v>
      </c>
      <c r="AJ12" s="25"/>
      <c r="AL12" s="18">
        <v>31</v>
      </c>
      <c r="AM12" s="535">
        <f t="shared" si="6"/>
        <v>0.31</v>
      </c>
      <c r="AN12" s="18">
        <v>0</v>
      </c>
      <c r="AO12" s="7">
        <f>SUM(AN12:AN$19)</f>
        <v>13</v>
      </c>
      <c r="AP12" s="60">
        <f t="shared" si="0"/>
        <v>0.15853658536585366</v>
      </c>
      <c r="AQ12" s="60">
        <f t="shared" si="7"/>
        <v>0.84146341463414631</v>
      </c>
      <c r="AR12" s="61">
        <f>SUM(AN$7:AN11)</f>
        <v>70</v>
      </c>
      <c r="AS12" s="21"/>
      <c r="AU12" s="18">
        <v>31</v>
      </c>
      <c r="AV12" s="535">
        <f t="shared" si="8"/>
        <v>0.31</v>
      </c>
      <c r="AW12" s="18">
        <v>1</v>
      </c>
      <c r="AX12" s="1">
        <f>SUM(AW12:AW$20)</f>
        <v>15</v>
      </c>
      <c r="AY12" s="48">
        <f t="shared" si="1"/>
        <v>0.18072289156626506</v>
      </c>
      <c r="AZ12" s="17">
        <f t="shared" si="9"/>
        <v>0.81927710843373491</v>
      </c>
      <c r="BA12" s="5">
        <f>SUM(AW$7:AW11)</f>
        <v>68</v>
      </c>
      <c r="BB12" s="21"/>
      <c r="BD12" s="8">
        <v>40</v>
      </c>
      <c r="BE12" s="531">
        <f t="shared" si="10"/>
        <v>0.4</v>
      </c>
      <c r="BF12" s="8">
        <v>4</v>
      </c>
      <c r="BG12" s="1">
        <f>SUM(BF12:BF$19)</f>
        <v>23</v>
      </c>
      <c r="BH12" s="17">
        <f t="shared" si="2"/>
        <v>0.27710843373493976</v>
      </c>
      <c r="BI12" s="17">
        <f t="shared" si="11"/>
        <v>0.72289156626506024</v>
      </c>
      <c r="BJ12" s="5">
        <f>SUM(BF$7:BF11)</f>
        <v>60</v>
      </c>
      <c r="BK12" s="21"/>
    </row>
    <row r="13" spans="1:64" x14ac:dyDescent="0.25">
      <c r="A13" s="6"/>
      <c r="B13" s="8">
        <f t="shared" ref="B13:B20" si="12">C12+1</f>
        <v>20</v>
      </c>
      <c r="C13" s="8">
        <f t="shared" ref="C13:C20" si="13">C12+10</f>
        <v>29</v>
      </c>
      <c r="D13" s="20">
        <v>8</v>
      </c>
      <c r="E13" s="20">
        <v>13</v>
      </c>
      <c r="F13" s="22">
        <v>10</v>
      </c>
      <c r="G13" s="20">
        <v>12</v>
      </c>
      <c r="H13" s="15"/>
      <c r="I13" s="7"/>
      <c r="J13" s="8">
        <f t="shared" ref="J13:J18" si="14">K12+1</f>
        <v>20</v>
      </c>
      <c r="K13" s="8">
        <f t="shared" ref="K13:K20" si="15">K12+10</f>
        <v>29</v>
      </c>
      <c r="L13" s="23">
        <f>SUM(D13:D$21)</f>
        <v>45</v>
      </c>
      <c r="M13" s="23">
        <f>SUM(E13:E$21)</f>
        <v>49</v>
      </c>
      <c r="N13" s="8">
        <f>SUM(F13:F$21)</f>
        <v>59</v>
      </c>
      <c r="O13" s="23">
        <f>SUM(G13:G$21)</f>
        <v>44</v>
      </c>
      <c r="P13" s="7"/>
      <c r="Q13" s="75" t="s">
        <v>62</v>
      </c>
      <c r="R13" s="7">
        <v>4</v>
      </c>
      <c r="S13" s="7"/>
      <c r="T13" s="7"/>
      <c r="U13" s="7"/>
      <c r="V13" s="7"/>
      <c r="W13" s="75"/>
      <c r="X13" s="7"/>
      <c r="Y13" s="7"/>
      <c r="Z13" s="7"/>
      <c r="AA13" s="15"/>
      <c r="AB13" s="7"/>
      <c r="AC13" s="8">
        <v>30</v>
      </c>
      <c r="AD13" s="531">
        <f t="shared" si="3"/>
        <v>0.3</v>
      </c>
      <c r="AE13" s="8">
        <v>6</v>
      </c>
      <c r="AF13" s="1">
        <f>SUM(AE13:AE$20)</f>
        <v>16</v>
      </c>
      <c r="AG13" s="48">
        <f t="shared" si="4"/>
        <v>0.1951219512195122</v>
      </c>
      <c r="AH13" s="60">
        <f t="shared" si="5"/>
        <v>0.80487804878048785</v>
      </c>
      <c r="AI13" s="61">
        <f>SUM(AE$7:AE12)</f>
        <v>66</v>
      </c>
      <c r="AJ13" s="25"/>
      <c r="AL13" s="8">
        <v>40</v>
      </c>
      <c r="AM13" s="531">
        <f t="shared" si="6"/>
        <v>0.4</v>
      </c>
      <c r="AN13" s="8">
        <v>4</v>
      </c>
      <c r="AO13" s="7">
        <f>SUM(AN13:AN$19)</f>
        <v>13</v>
      </c>
      <c r="AP13" s="60">
        <f t="shared" si="0"/>
        <v>0.15853658536585366</v>
      </c>
      <c r="AQ13" s="60">
        <f t="shared" si="7"/>
        <v>0.84146341463414631</v>
      </c>
      <c r="AR13" s="61">
        <f>SUM(AN$7:AN12)</f>
        <v>70</v>
      </c>
      <c r="AS13" s="21"/>
      <c r="AU13" s="8">
        <v>40</v>
      </c>
      <c r="AV13" s="531">
        <f t="shared" si="8"/>
        <v>0.4</v>
      </c>
      <c r="AW13" s="8">
        <v>3</v>
      </c>
      <c r="AX13" s="1">
        <f>SUM(AW13:AW$20)</f>
        <v>14</v>
      </c>
      <c r="AY13" s="48">
        <f t="shared" si="1"/>
        <v>0.16867469879518071</v>
      </c>
      <c r="AZ13" s="17">
        <f t="shared" si="9"/>
        <v>0.83132530120481929</v>
      </c>
      <c r="BA13" s="5">
        <f>SUM(AW$7:AW12)</f>
        <v>69</v>
      </c>
      <c r="BB13" s="21"/>
      <c r="BC13" s="65"/>
      <c r="BD13" s="66">
        <v>50</v>
      </c>
      <c r="BE13" s="536">
        <f t="shared" si="10"/>
        <v>0.5</v>
      </c>
      <c r="BF13" s="66">
        <v>12</v>
      </c>
      <c r="BG13" s="65">
        <f>SUM(BF13:BF$19)</f>
        <v>19</v>
      </c>
      <c r="BH13" s="62">
        <f t="shared" si="2"/>
        <v>0.2289156626506024</v>
      </c>
      <c r="BI13" s="62">
        <f t="shared" si="11"/>
        <v>0.77108433734939763</v>
      </c>
      <c r="BJ13" s="63">
        <f>SUM(BF$7:BF12)</f>
        <v>64</v>
      </c>
      <c r="BK13" s="64"/>
    </row>
    <row r="14" spans="1:64" x14ac:dyDescent="0.25">
      <c r="A14" s="6"/>
      <c r="B14" s="8">
        <f t="shared" si="12"/>
        <v>30</v>
      </c>
      <c r="C14" s="8">
        <f t="shared" si="13"/>
        <v>39</v>
      </c>
      <c r="D14" s="8">
        <v>8</v>
      </c>
      <c r="E14" s="8">
        <v>4</v>
      </c>
      <c r="F14" s="8">
        <v>4</v>
      </c>
      <c r="G14" s="8">
        <v>8</v>
      </c>
      <c r="H14" s="15"/>
      <c r="I14" s="7"/>
      <c r="J14" s="8">
        <f t="shared" si="14"/>
        <v>30</v>
      </c>
      <c r="K14" s="8">
        <f t="shared" si="15"/>
        <v>39</v>
      </c>
      <c r="L14" s="8">
        <f>SUM(D14:D$21)</f>
        <v>37</v>
      </c>
      <c r="M14" s="8">
        <f>SUM(E14:E$21)</f>
        <v>36</v>
      </c>
      <c r="N14" s="8">
        <f>SUM(F14:F$21)</f>
        <v>49</v>
      </c>
      <c r="O14" s="8">
        <f>SUM(G14:G$21)</f>
        <v>32</v>
      </c>
      <c r="P14" s="7"/>
      <c r="Q14" s="75" t="s">
        <v>63</v>
      </c>
      <c r="R14" s="7">
        <v>0</v>
      </c>
      <c r="S14" s="7" t="s">
        <v>53</v>
      </c>
      <c r="T14" s="7"/>
      <c r="U14" s="7"/>
      <c r="V14" s="7"/>
      <c r="W14" s="75"/>
      <c r="X14" s="7"/>
      <c r="Y14" s="7"/>
      <c r="Z14" s="7"/>
      <c r="AA14" s="15"/>
      <c r="AB14" s="7"/>
      <c r="AC14" s="8">
        <v>40</v>
      </c>
      <c r="AD14" s="531">
        <f t="shared" si="3"/>
        <v>0.4</v>
      </c>
      <c r="AE14" s="8">
        <v>1</v>
      </c>
      <c r="AF14" s="1">
        <f>SUM(AE14:AE$20)</f>
        <v>10</v>
      </c>
      <c r="AG14" s="48">
        <f t="shared" si="4"/>
        <v>0.12195121951219512</v>
      </c>
      <c r="AH14" s="60">
        <f t="shared" si="5"/>
        <v>0.87804878048780488</v>
      </c>
      <c r="AI14" s="61">
        <f>SUM(AE$7:AE13)</f>
        <v>72</v>
      </c>
      <c r="AJ14" s="25"/>
      <c r="AK14" s="65"/>
      <c r="AL14" s="66">
        <v>50</v>
      </c>
      <c r="AM14" s="536">
        <f t="shared" si="6"/>
        <v>0.5</v>
      </c>
      <c r="AN14" s="66">
        <v>4</v>
      </c>
      <c r="AO14" s="519">
        <f>SUM(AN14:AN$19)</f>
        <v>9</v>
      </c>
      <c r="AP14" s="62">
        <f t="shared" si="0"/>
        <v>0.10975609756097561</v>
      </c>
      <c r="AQ14" s="62">
        <f t="shared" si="7"/>
        <v>0.8902439024390244</v>
      </c>
      <c r="AR14" s="63">
        <f>SUM(AN$7:AN13)</f>
        <v>74</v>
      </c>
      <c r="AS14" s="64"/>
      <c r="AT14" s="65"/>
      <c r="AU14" s="66">
        <v>50</v>
      </c>
      <c r="AV14" s="536">
        <f t="shared" si="8"/>
        <v>0.5</v>
      </c>
      <c r="AW14" s="66">
        <v>7</v>
      </c>
      <c r="AX14" s="65">
        <f>SUM(AW14:AW$20)</f>
        <v>11</v>
      </c>
      <c r="AY14" s="520">
        <f t="shared" si="1"/>
        <v>0.13253012048192772</v>
      </c>
      <c r="AZ14" s="62">
        <f t="shared" si="9"/>
        <v>0.86746987951807231</v>
      </c>
      <c r="BA14" s="63">
        <f>SUM(AW$7:AW13)</f>
        <v>72</v>
      </c>
      <c r="BB14" s="64"/>
      <c r="BC14" s="59"/>
      <c r="BD14" s="22">
        <v>60</v>
      </c>
      <c r="BE14" s="532">
        <f t="shared" si="10"/>
        <v>0.6</v>
      </c>
      <c r="BF14" s="22">
        <v>1</v>
      </c>
      <c r="BG14" s="1">
        <f>SUM(BF14:BF$19)</f>
        <v>7</v>
      </c>
      <c r="BH14" s="60">
        <f t="shared" si="2"/>
        <v>8.4337349397590355E-2</v>
      </c>
      <c r="BI14" s="60">
        <f t="shared" si="11"/>
        <v>0.9156626506024097</v>
      </c>
      <c r="BJ14" s="61">
        <f>SUM(BF$7:BF13)</f>
        <v>76</v>
      </c>
      <c r="BK14" s="25"/>
    </row>
    <row r="15" spans="1:64" x14ac:dyDescent="0.25">
      <c r="A15" s="6"/>
      <c r="B15" s="8">
        <f t="shared" si="12"/>
        <v>40</v>
      </c>
      <c r="C15" s="8">
        <f t="shared" si="13"/>
        <v>49</v>
      </c>
      <c r="D15" s="8">
        <v>4</v>
      </c>
      <c r="E15" s="8">
        <v>7</v>
      </c>
      <c r="F15" s="20">
        <v>5</v>
      </c>
      <c r="G15" s="8">
        <v>1</v>
      </c>
      <c r="H15" s="15"/>
      <c r="I15" s="7"/>
      <c r="J15" s="8">
        <f t="shared" si="14"/>
        <v>40</v>
      </c>
      <c r="K15" s="8">
        <f t="shared" si="15"/>
        <v>49</v>
      </c>
      <c r="L15" s="8">
        <f>SUM(D15:D$21)</f>
        <v>29</v>
      </c>
      <c r="M15" s="8">
        <f>SUM(E15:E$21)</f>
        <v>32</v>
      </c>
      <c r="N15" s="23">
        <f>SUM(F15:F$21)</f>
        <v>45</v>
      </c>
      <c r="O15" s="8">
        <f>SUM(G15:G$21)</f>
        <v>24</v>
      </c>
      <c r="P15" s="7"/>
      <c r="Q15" s="75" t="s">
        <v>64</v>
      </c>
      <c r="R15" s="7">
        <v>2</v>
      </c>
      <c r="S15" s="7"/>
      <c r="T15" s="7"/>
      <c r="U15" s="7"/>
      <c r="V15" s="7"/>
      <c r="W15" s="75"/>
      <c r="X15" s="7"/>
      <c r="Y15" s="7"/>
      <c r="Z15" s="7"/>
      <c r="AA15" s="15"/>
      <c r="AB15" s="7"/>
      <c r="AC15" s="66">
        <v>50</v>
      </c>
      <c r="AD15" s="536">
        <f t="shared" si="3"/>
        <v>0.5</v>
      </c>
      <c r="AE15" s="66">
        <v>5</v>
      </c>
      <c r="AF15" s="65">
        <f>SUM(AE15:AE$20)</f>
        <v>9</v>
      </c>
      <c r="AG15" s="520">
        <f t="shared" si="4"/>
        <v>0.10975609756097561</v>
      </c>
      <c r="AH15" s="62">
        <f t="shared" si="5"/>
        <v>0.8902439024390244</v>
      </c>
      <c r="AI15" s="63">
        <f>SUM(AE$7:AE14)</f>
        <v>73</v>
      </c>
      <c r="AJ15" s="64"/>
      <c r="AL15" s="22">
        <v>60</v>
      </c>
      <c r="AM15" s="532">
        <f t="shared" si="6"/>
        <v>0.6</v>
      </c>
      <c r="AN15" s="8">
        <v>1</v>
      </c>
      <c r="AO15" s="7">
        <f>SUM(AN15:AN$19)</f>
        <v>5</v>
      </c>
      <c r="AP15" s="60">
        <f t="shared" si="0"/>
        <v>6.097560975609756E-2</v>
      </c>
      <c r="AQ15" s="60">
        <f t="shared" si="7"/>
        <v>0.93902439024390238</v>
      </c>
      <c r="AR15" s="61">
        <f>SUM(AN$7:AN14)</f>
        <v>78</v>
      </c>
      <c r="AS15" s="25"/>
      <c r="AT15" s="59"/>
      <c r="AU15" s="8">
        <v>60</v>
      </c>
      <c r="AV15" s="531">
        <f t="shared" si="8"/>
        <v>0.6</v>
      </c>
      <c r="AW15" s="8">
        <v>1</v>
      </c>
      <c r="AX15" s="1">
        <f>SUM(AW15:AW$20)</f>
        <v>4</v>
      </c>
      <c r="AY15" s="48">
        <f t="shared" si="1"/>
        <v>4.8192771084337352E-2</v>
      </c>
      <c r="AZ15" s="17">
        <f t="shared" si="9"/>
        <v>0.95180722891566261</v>
      </c>
      <c r="BA15" s="5">
        <f>SUM(AW$7:AW14)</f>
        <v>79</v>
      </c>
      <c r="BB15" s="25"/>
      <c r="BC15" s="59"/>
      <c r="BD15" s="22">
        <v>70</v>
      </c>
      <c r="BE15" s="532">
        <f t="shared" si="10"/>
        <v>0.7</v>
      </c>
      <c r="BF15" s="22">
        <v>4</v>
      </c>
      <c r="BG15" s="1">
        <f>SUM(BF15:BF$19)</f>
        <v>6</v>
      </c>
      <c r="BH15" s="60">
        <f t="shared" si="2"/>
        <v>7.2289156626506021E-2</v>
      </c>
      <c r="BI15" s="60">
        <f t="shared" si="11"/>
        <v>0.92771084337349397</v>
      </c>
      <c r="BJ15" s="61">
        <f>SUM(BF$7:BF14)</f>
        <v>77</v>
      </c>
      <c r="BK15" s="25"/>
    </row>
    <row r="16" spans="1:64" x14ac:dyDescent="0.25">
      <c r="A16" s="6"/>
      <c r="B16" s="8">
        <f t="shared" si="12"/>
        <v>50</v>
      </c>
      <c r="C16" s="8">
        <f t="shared" si="13"/>
        <v>59</v>
      </c>
      <c r="D16" s="8">
        <v>11</v>
      </c>
      <c r="E16" s="8">
        <v>11</v>
      </c>
      <c r="F16" s="22">
        <v>17</v>
      </c>
      <c r="G16" s="8">
        <v>13</v>
      </c>
      <c r="H16" s="15"/>
      <c r="I16" s="7"/>
      <c r="J16" s="8">
        <f t="shared" si="14"/>
        <v>50</v>
      </c>
      <c r="K16" s="8">
        <f t="shared" si="15"/>
        <v>59</v>
      </c>
      <c r="L16" s="8">
        <f>SUM(D16:D$21)</f>
        <v>25</v>
      </c>
      <c r="M16" s="8">
        <f>SUM(E16:E$21)</f>
        <v>25</v>
      </c>
      <c r="N16" s="22">
        <f>SUM(F16:F$21)</f>
        <v>40</v>
      </c>
      <c r="O16" s="8">
        <f>SUM(G16:G$21)</f>
        <v>23</v>
      </c>
      <c r="P16" s="7"/>
      <c r="Q16" s="74"/>
      <c r="R16" s="7"/>
      <c r="S16" s="7"/>
      <c r="T16" s="7"/>
      <c r="U16" s="7"/>
      <c r="V16" s="7"/>
      <c r="W16" s="75"/>
      <c r="X16" s="7"/>
      <c r="Y16" s="7"/>
      <c r="Z16" s="7"/>
      <c r="AA16" s="15"/>
      <c r="AB16" s="7"/>
      <c r="AC16" s="8">
        <v>60</v>
      </c>
      <c r="AD16" s="531">
        <f t="shared" si="3"/>
        <v>0.6</v>
      </c>
      <c r="AE16" s="8">
        <v>1</v>
      </c>
      <c r="AF16" s="1">
        <f>SUM(AE16:AE$20)</f>
        <v>4</v>
      </c>
      <c r="AG16" s="48">
        <f t="shared" si="4"/>
        <v>4.878048780487805E-2</v>
      </c>
      <c r="AH16" s="60">
        <f t="shared" si="5"/>
        <v>0.95121951219512191</v>
      </c>
      <c r="AI16" s="61">
        <f>SUM(AE$7:AE15)</f>
        <v>78</v>
      </c>
      <c r="AJ16" s="25"/>
      <c r="AL16" s="8">
        <v>70</v>
      </c>
      <c r="AM16" s="531">
        <f t="shared" si="6"/>
        <v>0.7</v>
      </c>
      <c r="AN16" s="8">
        <v>0</v>
      </c>
      <c r="AO16" s="7">
        <f>SUM(AN16:AN$19)</f>
        <v>4</v>
      </c>
      <c r="AP16" s="60">
        <f t="shared" si="0"/>
        <v>4.878048780487805E-2</v>
      </c>
      <c r="AQ16" s="60">
        <f t="shared" si="7"/>
        <v>0.95121951219512191</v>
      </c>
      <c r="AR16" s="61">
        <f>SUM(AN$7:AN15)</f>
        <v>79</v>
      </c>
      <c r="AS16" s="25"/>
      <c r="AU16" s="8">
        <v>70</v>
      </c>
      <c r="AV16" s="531">
        <f t="shared" si="8"/>
        <v>0.7</v>
      </c>
      <c r="AW16" s="8">
        <v>0</v>
      </c>
      <c r="AX16" s="1">
        <f>SUM(AW16:AW$20)</f>
        <v>3</v>
      </c>
      <c r="AY16" s="48">
        <f t="shared" si="1"/>
        <v>3.614457831325301E-2</v>
      </c>
      <c r="AZ16" s="17">
        <f t="shared" si="9"/>
        <v>0.96385542168674698</v>
      </c>
      <c r="BA16" s="5">
        <f>SUM(AW$7:AW15)</f>
        <v>80</v>
      </c>
      <c r="BB16" s="25"/>
      <c r="BC16" s="59"/>
      <c r="BD16" s="22">
        <v>80</v>
      </c>
      <c r="BE16" s="532">
        <f t="shared" si="10"/>
        <v>0.8</v>
      </c>
      <c r="BF16" s="22">
        <v>0</v>
      </c>
      <c r="BG16" s="1">
        <f>SUM(BF16:BF$19)</f>
        <v>2</v>
      </c>
      <c r="BH16" s="60">
        <f t="shared" si="2"/>
        <v>2.4096385542168676E-2</v>
      </c>
      <c r="BI16" s="60">
        <f t="shared" si="11"/>
        <v>0.97590361445783136</v>
      </c>
      <c r="BJ16" s="61">
        <f>SUM(BF$7:BF15)</f>
        <v>81</v>
      </c>
      <c r="BK16" s="25"/>
    </row>
    <row r="17" spans="1:63" x14ac:dyDescent="0.25">
      <c r="A17" s="6"/>
      <c r="B17" s="8">
        <f t="shared" si="12"/>
        <v>60</v>
      </c>
      <c r="C17" s="8">
        <f t="shared" si="13"/>
        <v>69</v>
      </c>
      <c r="D17" s="8">
        <v>6</v>
      </c>
      <c r="E17" s="8">
        <v>3</v>
      </c>
      <c r="F17" s="8">
        <v>10</v>
      </c>
      <c r="G17" s="8">
        <v>1</v>
      </c>
      <c r="H17" s="15"/>
      <c r="I17" s="7"/>
      <c r="J17" s="8">
        <f t="shared" si="14"/>
        <v>60</v>
      </c>
      <c r="K17" s="8">
        <f t="shared" si="15"/>
        <v>69</v>
      </c>
      <c r="L17" s="8">
        <f>SUM(D17:D$21)</f>
        <v>14</v>
      </c>
      <c r="M17" s="8">
        <f>SUM(E17:E$21)</f>
        <v>14</v>
      </c>
      <c r="N17" s="8">
        <f>SUM(F17:F$21)</f>
        <v>23</v>
      </c>
      <c r="O17" s="8">
        <f>SUM(G17:G$21)</f>
        <v>10</v>
      </c>
      <c r="P17" s="7"/>
      <c r="Q17" s="74" t="s">
        <v>22</v>
      </c>
      <c r="R17" s="7"/>
      <c r="S17" s="7"/>
      <c r="T17" s="7"/>
      <c r="U17" s="7"/>
      <c r="V17" s="7"/>
      <c r="W17" s="75"/>
      <c r="X17" s="7"/>
      <c r="Y17" s="7"/>
      <c r="Z17" s="7"/>
      <c r="AA17" s="15"/>
      <c r="AB17" s="7"/>
      <c r="AC17" s="8">
        <v>70</v>
      </c>
      <c r="AD17" s="531">
        <f t="shared" si="3"/>
        <v>0.7</v>
      </c>
      <c r="AE17" s="8">
        <v>1</v>
      </c>
      <c r="AF17" s="1">
        <f>SUM(AE17:AE$20)</f>
        <v>3</v>
      </c>
      <c r="AG17" s="48">
        <f t="shared" si="4"/>
        <v>3.6585365853658534E-2</v>
      </c>
      <c r="AH17" s="17">
        <f t="shared" si="5"/>
        <v>0.96341463414634143</v>
      </c>
      <c r="AI17" s="5">
        <f>SUM(AE$7:AE16)</f>
        <v>79</v>
      </c>
      <c r="AJ17" s="21"/>
      <c r="AL17" s="8">
        <v>80</v>
      </c>
      <c r="AM17" s="531">
        <f t="shared" si="6"/>
        <v>0.8</v>
      </c>
      <c r="AN17" s="8">
        <v>4</v>
      </c>
      <c r="AO17" s="7">
        <f>SUM(AN17:AN$19)</f>
        <v>4</v>
      </c>
      <c r="AP17" s="17">
        <f t="shared" si="0"/>
        <v>4.878048780487805E-2</v>
      </c>
      <c r="AQ17" s="17">
        <f t="shared" si="7"/>
        <v>0.95121951219512191</v>
      </c>
      <c r="AR17" s="5">
        <f>SUM(AN$7:AN16)</f>
        <v>79</v>
      </c>
      <c r="AS17" s="21"/>
      <c r="AU17" s="18">
        <v>75</v>
      </c>
      <c r="AV17" s="535">
        <f t="shared" si="8"/>
        <v>0.75</v>
      </c>
      <c r="AW17" s="18">
        <v>1</v>
      </c>
      <c r="AX17" s="1">
        <f>SUM(AW17:AW$20)</f>
        <v>3</v>
      </c>
      <c r="AY17" s="48">
        <f t="shared" si="1"/>
        <v>3.614457831325301E-2</v>
      </c>
      <c r="AZ17" s="17">
        <f t="shared" si="9"/>
        <v>0.96385542168674698</v>
      </c>
      <c r="BA17" s="5">
        <f>SUM(AW$7:AW16)</f>
        <v>80</v>
      </c>
      <c r="BB17" s="25"/>
      <c r="BD17" s="8">
        <v>90</v>
      </c>
      <c r="BE17" s="531">
        <f t="shared" si="10"/>
        <v>0.9</v>
      </c>
      <c r="BF17" s="8">
        <v>2</v>
      </c>
      <c r="BG17" s="1">
        <f>SUM(BF17:BF$19)</f>
        <v>2</v>
      </c>
      <c r="BH17" s="60">
        <f t="shared" si="2"/>
        <v>2.4096385542168676E-2</v>
      </c>
      <c r="BI17" s="60">
        <f t="shared" si="11"/>
        <v>0.97590361445783136</v>
      </c>
      <c r="BJ17" s="5">
        <f>SUM(BF$7:BF16)</f>
        <v>81</v>
      </c>
      <c r="BK17" s="21"/>
    </row>
    <row r="18" spans="1:63" x14ac:dyDescent="0.25">
      <c r="A18" s="6"/>
      <c r="B18" s="8">
        <f t="shared" si="12"/>
        <v>70</v>
      </c>
      <c r="C18" s="8">
        <f t="shared" si="13"/>
        <v>79</v>
      </c>
      <c r="D18" s="8">
        <v>0</v>
      </c>
      <c r="E18" s="8">
        <v>6</v>
      </c>
      <c r="F18" s="8">
        <v>4</v>
      </c>
      <c r="G18" s="8">
        <v>2</v>
      </c>
      <c r="H18" s="15"/>
      <c r="I18" s="7"/>
      <c r="J18" s="8">
        <f t="shared" si="14"/>
        <v>70</v>
      </c>
      <c r="K18" s="8">
        <f t="shared" si="15"/>
        <v>79</v>
      </c>
      <c r="L18" s="8">
        <f>SUM(D18:D$21)</f>
        <v>8</v>
      </c>
      <c r="M18" s="8">
        <f>SUM(E18:E$21)</f>
        <v>11</v>
      </c>
      <c r="N18" s="8">
        <f>SUM(F18:F$21)</f>
        <v>13</v>
      </c>
      <c r="O18" s="8">
        <f>SUM(G18:G$21)</f>
        <v>9</v>
      </c>
      <c r="P18" s="7"/>
      <c r="Q18" s="75" t="s">
        <v>67</v>
      </c>
      <c r="R18" s="7">
        <v>11</v>
      </c>
      <c r="S18" s="7" t="s">
        <v>68</v>
      </c>
      <c r="T18" s="7"/>
      <c r="U18" s="7"/>
      <c r="V18" s="7"/>
      <c r="W18" s="75"/>
      <c r="X18" s="7"/>
      <c r="Y18" s="7"/>
      <c r="Z18" s="7"/>
      <c r="AA18" s="15"/>
      <c r="AB18" s="7"/>
      <c r="AC18" s="8">
        <v>80</v>
      </c>
      <c r="AD18" s="531">
        <f t="shared" si="3"/>
        <v>0.8</v>
      </c>
      <c r="AE18" s="8">
        <v>0</v>
      </c>
      <c r="AF18" s="1">
        <f>SUM(AE18:AE$20)</f>
        <v>2</v>
      </c>
      <c r="AG18" s="48">
        <f t="shared" si="4"/>
        <v>2.4390243902439025E-2</v>
      </c>
      <c r="AH18" s="17">
        <f t="shared" si="5"/>
        <v>0.97560975609756095</v>
      </c>
      <c r="AI18" s="5">
        <f>SUM(AE$7:AE17)</f>
        <v>80</v>
      </c>
      <c r="AJ18" s="21"/>
      <c r="AL18" s="8">
        <v>90</v>
      </c>
      <c r="AM18" s="531">
        <f t="shared" si="6"/>
        <v>0.9</v>
      </c>
      <c r="AN18" s="8">
        <v>0</v>
      </c>
      <c r="AO18" s="7">
        <f>SUM(AN18:AN$19)</f>
        <v>0</v>
      </c>
      <c r="AP18" s="17">
        <f t="shared" si="0"/>
        <v>0</v>
      </c>
      <c r="AQ18" s="17">
        <f t="shared" si="7"/>
        <v>1</v>
      </c>
      <c r="AR18" s="5">
        <f>SUM(AN$7:AN17)</f>
        <v>83</v>
      </c>
      <c r="AS18" s="21"/>
      <c r="AU18" s="8">
        <v>80</v>
      </c>
      <c r="AV18" s="531">
        <f t="shared" si="8"/>
        <v>0.8</v>
      </c>
      <c r="AW18" s="8">
        <v>2</v>
      </c>
      <c r="AX18" s="1">
        <f>SUM(AW18:AW$20)</f>
        <v>2</v>
      </c>
      <c r="AY18" s="48">
        <f t="shared" si="1"/>
        <v>2.4096385542168676E-2</v>
      </c>
      <c r="AZ18" s="17">
        <f t="shared" si="9"/>
        <v>0.97590361445783136</v>
      </c>
      <c r="BA18" s="5">
        <f>SUM(AW$7:AW17)</f>
        <v>81</v>
      </c>
      <c r="BB18" s="21"/>
      <c r="BD18" s="8">
        <v>100</v>
      </c>
      <c r="BE18" s="531">
        <f t="shared" si="10"/>
        <v>1</v>
      </c>
      <c r="BF18" s="8">
        <v>0</v>
      </c>
      <c r="BG18" s="1">
        <f>SUM(BF18:BF$19)</f>
        <v>0</v>
      </c>
      <c r="BH18" s="60">
        <f t="shared" si="2"/>
        <v>0</v>
      </c>
      <c r="BI18" s="60">
        <f t="shared" si="11"/>
        <v>1</v>
      </c>
      <c r="BJ18" s="5">
        <f>SUM(BF$7:BF17)</f>
        <v>83</v>
      </c>
      <c r="BK18" s="21"/>
    </row>
    <row r="19" spans="1:63" x14ac:dyDescent="0.25">
      <c r="A19" s="6"/>
      <c r="B19" s="8">
        <f>C18+1</f>
        <v>80</v>
      </c>
      <c r="C19" s="8">
        <f>C18+10</f>
        <v>89</v>
      </c>
      <c r="D19" s="8">
        <v>4</v>
      </c>
      <c r="E19" s="8">
        <v>1</v>
      </c>
      <c r="F19" s="8">
        <v>4</v>
      </c>
      <c r="G19" s="8">
        <v>0</v>
      </c>
      <c r="H19" s="15"/>
      <c r="I19" s="7"/>
      <c r="J19" s="8">
        <f>K18+1</f>
        <v>80</v>
      </c>
      <c r="K19" s="8">
        <f>K18+10</f>
        <v>89</v>
      </c>
      <c r="L19" s="8">
        <f>SUM(D19:D$21)</f>
        <v>8</v>
      </c>
      <c r="M19" s="8">
        <f>SUM(E19:E$21)</f>
        <v>5</v>
      </c>
      <c r="N19" s="8">
        <f>SUM(F19:F$21)</f>
        <v>9</v>
      </c>
      <c r="O19" s="8">
        <f>SUM(G19:G$21)</f>
        <v>7</v>
      </c>
      <c r="P19" s="7"/>
      <c r="Q19" s="75" t="s">
        <v>69</v>
      </c>
      <c r="R19" s="7">
        <v>3</v>
      </c>
      <c r="S19" s="7" t="s">
        <v>53</v>
      </c>
      <c r="T19" s="7"/>
      <c r="U19" s="7"/>
      <c r="V19" s="7"/>
      <c r="W19" s="75"/>
      <c r="X19" s="7"/>
      <c r="Y19" s="7"/>
      <c r="Z19" s="7"/>
      <c r="AA19" s="15"/>
      <c r="AC19" s="8">
        <v>90</v>
      </c>
      <c r="AD19" s="531">
        <f t="shared" si="3"/>
        <v>0.9</v>
      </c>
      <c r="AE19" s="8">
        <v>1</v>
      </c>
      <c r="AF19" s="1">
        <f>SUM(AE19:AE$20)</f>
        <v>2</v>
      </c>
      <c r="AG19" s="48">
        <f t="shared" si="4"/>
        <v>2.4390243902439025E-2</v>
      </c>
      <c r="AH19" s="17">
        <f t="shared" si="5"/>
        <v>0.97560975609756095</v>
      </c>
      <c r="AI19" s="5">
        <f>SUM(AE$7:AE18)</f>
        <v>80</v>
      </c>
      <c r="AJ19" s="21"/>
      <c r="AL19" s="8">
        <v>100</v>
      </c>
      <c r="AM19" s="531">
        <f t="shared" si="6"/>
        <v>1</v>
      </c>
      <c r="AN19" s="8">
        <v>0</v>
      </c>
      <c r="AO19" s="7">
        <f>SUM(AN19:AN$19)</f>
        <v>0</v>
      </c>
      <c r="AP19" s="17">
        <f t="shared" si="0"/>
        <v>0</v>
      </c>
      <c r="AQ19" s="17">
        <f t="shared" si="7"/>
        <v>1</v>
      </c>
      <c r="AR19" s="5">
        <f>SUM(AN$7:AN18)</f>
        <v>83</v>
      </c>
      <c r="AS19" s="21"/>
      <c r="AU19" s="8">
        <v>90</v>
      </c>
      <c r="AV19" s="531">
        <f t="shared" si="8"/>
        <v>0.9</v>
      </c>
      <c r="AW19" s="8">
        <v>0</v>
      </c>
      <c r="AX19" s="1">
        <f>SUM(AW19:AW$20)</f>
        <v>0</v>
      </c>
      <c r="AY19" s="48">
        <f t="shared" si="1"/>
        <v>0</v>
      </c>
      <c r="AZ19" s="17">
        <f t="shared" si="9"/>
        <v>1</v>
      </c>
      <c r="BA19" s="5">
        <f>SUM(AW$7:AW18)</f>
        <v>83</v>
      </c>
      <c r="BB19" s="21"/>
      <c r="BJ19" s="1"/>
    </row>
    <row r="20" spans="1:63" x14ac:dyDescent="0.25">
      <c r="A20" s="6"/>
      <c r="B20" s="8">
        <f t="shared" si="12"/>
        <v>90</v>
      </c>
      <c r="C20" s="8">
        <f t="shared" si="13"/>
        <v>99</v>
      </c>
      <c r="D20" s="8">
        <v>1</v>
      </c>
      <c r="E20" s="8">
        <v>2</v>
      </c>
      <c r="F20" s="8">
        <v>2</v>
      </c>
      <c r="G20" s="8">
        <v>3</v>
      </c>
      <c r="H20" s="15"/>
      <c r="I20" s="7"/>
      <c r="J20" s="8">
        <f>K19+1</f>
        <v>90</v>
      </c>
      <c r="K20" s="8">
        <f t="shared" si="15"/>
        <v>99</v>
      </c>
      <c r="L20" s="8">
        <f>SUM(D20:D$21)</f>
        <v>4</v>
      </c>
      <c r="M20" s="8">
        <f>SUM(E20:E$21)</f>
        <v>4</v>
      </c>
      <c r="N20" s="8">
        <f>SUM(F20:F$21)</f>
        <v>5</v>
      </c>
      <c r="O20" s="8">
        <f>SUM(G20:G$21)</f>
        <v>7</v>
      </c>
      <c r="P20" s="7"/>
      <c r="Q20" s="75"/>
      <c r="R20" s="7"/>
      <c r="S20" s="7"/>
      <c r="T20" s="7"/>
      <c r="U20" s="7"/>
      <c r="V20" s="7"/>
      <c r="W20" s="75"/>
      <c r="X20" s="7"/>
      <c r="Y20" s="7"/>
      <c r="Z20" s="7"/>
      <c r="AA20" s="15"/>
      <c r="AC20" s="8">
        <v>100</v>
      </c>
      <c r="AD20" s="531">
        <f t="shared" si="3"/>
        <v>1</v>
      </c>
      <c r="AE20" s="8">
        <v>1</v>
      </c>
      <c r="AF20" s="1">
        <f>SUM(AE20:AE$20)</f>
        <v>1</v>
      </c>
      <c r="AG20" s="48">
        <f t="shared" si="4"/>
        <v>1.2195121951219513E-2</v>
      </c>
      <c r="AH20" s="17">
        <f t="shared" ref="AH20" si="16">1-AG20</f>
        <v>0.98780487804878048</v>
      </c>
      <c r="AI20" s="5">
        <f>SUM(AE$7:AE19)</f>
        <v>81</v>
      </c>
      <c r="AL20" s="7"/>
      <c r="AM20" s="7"/>
      <c r="AN20" s="7"/>
      <c r="AO20" s="7"/>
      <c r="AP20" s="7"/>
      <c r="AQ20" s="7"/>
      <c r="AR20" s="7"/>
      <c r="AS20" s="21"/>
      <c r="AU20" s="8">
        <v>100</v>
      </c>
      <c r="AV20" s="531">
        <f t="shared" si="8"/>
        <v>1</v>
      </c>
      <c r="AW20" s="8">
        <v>0</v>
      </c>
      <c r="AX20" s="1">
        <f>SUM(AW20:AW$20)</f>
        <v>0</v>
      </c>
      <c r="AY20" s="48">
        <f t="shared" si="1"/>
        <v>0</v>
      </c>
      <c r="AZ20" s="17">
        <f t="shared" si="9"/>
        <v>1</v>
      </c>
      <c r="BA20" s="5">
        <f>SUM(AW$7:AW19)</f>
        <v>83</v>
      </c>
      <c r="BB20" s="21"/>
      <c r="BD20" s="7"/>
      <c r="BE20" s="7"/>
      <c r="BF20" s="7"/>
      <c r="BK20" s="21"/>
    </row>
    <row r="21" spans="1:63" x14ac:dyDescent="0.25">
      <c r="A21" s="6"/>
      <c r="B21" s="8">
        <v>100</v>
      </c>
      <c r="C21" s="8">
        <v>100</v>
      </c>
      <c r="D21" s="8">
        <v>3</v>
      </c>
      <c r="E21" s="8">
        <v>2</v>
      </c>
      <c r="F21" s="8">
        <v>3</v>
      </c>
      <c r="G21" s="8">
        <v>4</v>
      </c>
      <c r="H21" s="15"/>
      <c r="I21" s="7"/>
      <c r="J21" s="8">
        <v>100</v>
      </c>
      <c r="K21" s="8">
        <v>100</v>
      </c>
      <c r="L21" s="8">
        <f>SUM(D21:D$21)</f>
        <v>3</v>
      </c>
      <c r="M21" s="8">
        <f>SUM(E21:E$21)</f>
        <v>2</v>
      </c>
      <c r="N21" s="8">
        <f>SUM(F21:F$21)</f>
        <v>3</v>
      </c>
      <c r="O21" s="8">
        <f>SUM(G21:G$21)</f>
        <v>4</v>
      </c>
      <c r="P21" s="7"/>
      <c r="Q21" s="74" t="s">
        <v>24</v>
      </c>
      <c r="R21" s="7"/>
      <c r="S21" s="7"/>
      <c r="T21" s="7"/>
      <c r="U21" s="7"/>
      <c r="V21" s="7"/>
      <c r="W21" s="75"/>
      <c r="X21" s="7"/>
      <c r="Y21" s="7"/>
      <c r="Z21" s="85"/>
      <c r="AA21" s="15"/>
      <c r="AC21" s="7"/>
      <c r="AD21" s="7"/>
      <c r="AE21" s="7"/>
      <c r="AL21" s="7"/>
      <c r="AM21" s="7"/>
      <c r="AN21" s="7"/>
      <c r="AS21" s="21"/>
      <c r="AU21" s="7"/>
      <c r="AV21" s="7"/>
      <c r="AW21" s="7"/>
      <c r="BB21" s="21"/>
      <c r="BD21" s="7"/>
      <c r="BE21" s="7"/>
      <c r="BF21" s="7"/>
      <c r="BK21" s="21"/>
    </row>
    <row r="22" spans="1:63" x14ac:dyDescent="0.25">
      <c r="A22" s="6"/>
      <c r="B22" s="7"/>
      <c r="C22" s="7" t="s">
        <v>29</v>
      </c>
      <c r="D22" s="7">
        <f>SUM(D10:D21)</f>
        <v>80</v>
      </c>
      <c r="E22" s="7">
        <f>SUM(E10:E21)</f>
        <v>79</v>
      </c>
      <c r="F22" s="7">
        <f>SUM(F10:F21)</f>
        <v>82</v>
      </c>
      <c r="G22" s="7">
        <f>SUM(G10:G21)</f>
        <v>79</v>
      </c>
      <c r="H22" s="15"/>
      <c r="I22" s="7"/>
      <c r="J22" s="7"/>
      <c r="K22" s="7"/>
      <c r="L22" s="7"/>
      <c r="M22" s="7"/>
      <c r="N22" s="7"/>
      <c r="O22" s="7"/>
      <c r="P22" s="7"/>
      <c r="Q22" s="75" t="s">
        <v>72</v>
      </c>
      <c r="R22" s="7">
        <v>8</v>
      </c>
      <c r="S22" s="7" t="s">
        <v>283</v>
      </c>
      <c r="T22" s="7"/>
      <c r="U22" s="7"/>
      <c r="V22" s="7"/>
      <c r="W22" s="75"/>
      <c r="X22" s="7"/>
      <c r="Y22" s="7"/>
      <c r="Z22" s="7"/>
      <c r="AA22" s="15"/>
      <c r="AC22" s="7"/>
      <c r="AD22" s="7"/>
      <c r="AE22" s="7"/>
      <c r="AL22" s="7"/>
      <c r="AM22" s="7"/>
      <c r="AN22" s="7"/>
      <c r="AS22" s="21"/>
      <c r="AU22" s="7"/>
      <c r="AV22" s="7"/>
      <c r="AW22" s="7"/>
      <c r="BB22" s="21"/>
      <c r="BD22" s="7"/>
      <c r="BE22" s="7"/>
      <c r="BF22" s="7"/>
      <c r="BK22" s="21"/>
    </row>
    <row r="23" spans="1:63" x14ac:dyDescent="0.25">
      <c r="A23" s="6" t="s">
        <v>25</v>
      </c>
      <c r="B23" s="7"/>
      <c r="C23" s="7"/>
      <c r="D23" s="7"/>
      <c r="E23" s="7"/>
      <c r="F23" s="7"/>
      <c r="G23" s="7"/>
      <c r="H23" s="15"/>
      <c r="I23" s="7"/>
      <c r="J23" s="7"/>
      <c r="K23" s="7" t="s">
        <v>26</v>
      </c>
      <c r="L23" s="7">
        <v>40.5</v>
      </c>
      <c r="M23" s="7">
        <v>40</v>
      </c>
      <c r="N23" s="7">
        <v>41.5</v>
      </c>
      <c r="O23" s="7">
        <v>40</v>
      </c>
      <c r="P23" s="7"/>
      <c r="Q23" s="75" t="s">
        <v>73</v>
      </c>
      <c r="R23" s="7">
        <v>2</v>
      </c>
      <c r="S23" s="7" t="s">
        <v>53</v>
      </c>
      <c r="T23" s="7"/>
      <c r="U23" s="7"/>
      <c r="V23" s="7"/>
      <c r="W23" s="75"/>
      <c r="X23" s="7"/>
      <c r="Y23" s="7"/>
      <c r="Z23" s="7"/>
      <c r="AA23" s="15"/>
      <c r="AU23" s="7"/>
      <c r="AV23" s="7"/>
      <c r="AW23" s="7"/>
      <c r="BB23" s="21"/>
    </row>
    <row r="24" spans="1:63" x14ac:dyDescent="0.25">
      <c r="A24" s="6" t="s">
        <v>27</v>
      </c>
      <c r="B24" s="7"/>
      <c r="C24" s="7"/>
      <c r="D24" s="27">
        <v>15</v>
      </c>
      <c r="E24" s="27">
        <v>20</v>
      </c>
      <c r="F24" s="27">
        <v>40</v>
      </c>
      <c r="G24" s="27">
        <v>20</v>
      </c>
      <c r="H24" s="15"/>
      <c r="I24" s="7"/>
      <c r="J24" s="7"/>
      <c r="K24" s="7" t="s">
        <v>31</v>
      </c>
      <c r="L24" s="7"/>
      <c r="M24" s="7"/>
      <c r="N24" s="7"/>
      <c r="O24" s="7"/>
      <c r="P24" s="7"/>
      <c r="Q24" s="75" t="s">
        <v>61</v>
      </c>
      <c r="R24" s="7">
        <v>8</v>
      </c>
      <c r="S24" s="7" t="s">
        <v>74</v>
      </c>
      <c r="T24" s="7"/>
      <c r="U24" s="7"/>
      <c r="V24" s="7"/>
      <c r="W24" s="75"/>
      <c r="X24" s="7"/>
      <c r="Y24" s="7"/>
      <c r="Z24" s="7"/>
      <c r="AA24" s="15"/>
      <c r="AC24" s="29" t="s">
        <v>284</v>
      </c>
      <c r="AD24" s="29" t="s">
        <v>292</v>
      </c>
      <c r="AE24" s="29" t="s">
        <v>290</v>
      </c>
      <c r="AF24" s="29" t="s">
        <v>291</v>
      </c>
      <c r="AG24" s="29" t="s">
        <v>288</v>
      </c>
      <c r="AH24" s="29" t="s">
        <v>287</v>
      </c>
      <c r="AI24" s="512" t="s">
        <v>288</v>
      </c>
      <c r="AJ24" s="5" t="s">
        <v>289</v>
      </c>
      <c r="AL24" s="29" t="s">
        <v>284</v>
      </c>
      <c r="AM24" s="29" t="s">
        <v>292</v>
      </c>
      <c r="AN24" s="29" t="s">
        <v>290</v>
      </c>
      <c r="AO24" s="29" t="s">
        <v>291</v>
      </c>
      <c r="AP24" s="29" t="s">
        <v>288</v>
      </c>
      <c r="AQ24" s="29" t="s">
        <v>287</v>
      </c>
      <c r="AR24" s="512" t="s">
        <v>288</v>
      </c>
      <c r="AS24" s="5" t="s">
        <v>289</v>
      </c>
      <c r="AU24" s="29" t="s">
        <v>284</v>
      </c>
      <c r="AV24" s="29" t="s">
        <v>292</v>
      </c>
      <c r="AW24" s="29" t="s">
        <v>290</v>
      </c>
      <c r="AX24" s="29" t="s">
        <v>291</v>
      </c>
      <c r="AY24" s="29" t="s">
        <v>288</v>
      </c>
      <c r="AZ24" s="29" t="s">
        <v>287</v>
      </c>
      <c r="BA24" s="512" t="s">
        <v>288</v>
      </c>
      <c r="BB24" s="5" t="s">
        <v>289</v>
      </c>
      <c r="BD24" s="29" t="s">
        <v>284</v>
      </c>
      <c r="BE24" s="29" t="s">
        <v>292</v>
      </c>
      <c r="BF24" s="29" t="s">
        <v>290</v>
      </c>
      <c r="BG24" s="29" t="s">
        <v>291</v>
      </c>
      <c r="BH24" s="29" t="s">
        <v>288</v>
      </c>
      <c r="BI24" s="29" t="s">
        <v>287</v>
      </c>
      <c r="BJ24" s="512" t="s">
        <v>288</v>
      </c>
      <c r="BK24" s="5" t="s">
        <v>289</v>
      </c>
    </row>
    <row r="25" spans="1:63" x14ac:dyDescent="0.25">
      <c r="A25" s="6" t="s">
        <v>28</v>
      </c>
      <c r="B25" s="7"/>
      <c r="C25" s="7"/>
      <c r="D25" s="28">
        <v>30.5</v>
      </c>
      <c r="E25" s="28">
        <v>32.6</v>
      </c>
      <c r="F25" s="28">
        <v>39.799999999999997</v>
      </c>
      <c r="G25" s="28">
        <v>29.2</v>
      </c>
      <c r="H25" s="15"/>
      <c r="I25" s="7"/>
      <c r="J25" s="7"/>
      <c r="K25" s="7"/>
      <c r="L25" s="7"/>
      <c r="M25" s="7"/>
      <c r="N25" s="7"/>
      <c r="O25" s="7"/>
      <c r="P25" s="7"/>
      <c r="Q25" s="75" t="s">
        <v>60</v>
      </c>
      <c r="R25" s="7">
        <v>3</v>
      </c>
      <c r="S25" s="7" t="s">
        <v>75</v>
      </c>
      <c r="T25" s="7"/>
      <c r="U25" s="7"/>
      <c r="V25" s="7"/>
      <c r="W25" s="74"/>
      <c r="X25" s="7"/>
      <c r="Y25" s="7"/>
      <c r="Z25" s="7"/>
      <c r="AA25" s="15"/>
      <c r="AC25" s="510">
        <v>0.1</v>
      </c>
      <c r="AD25" s="521">
        <f>MATCH(AC25,AH$7:AH$20,1)</f>
        <v>3</v>
      </c>
      <c r="AE25" s="26">
        <f t="array" aca="1" ref="AE25" ca="1">TREND(OFFSET(AD$6:AD$7,AD25,0),OFFSET(AH$6:AH$7,AD25,0),AC25)</f>
        <v>1.3384615384615382E-2</v>
      </c>
      <c r="AF25" s="21">
        <f ca="1">1-EXP(-AE25)</f>
        <v>1.329543972412861E-2</v>
      </c>
      <c r="AG25" s="26">
        <f ca="1">AF25/10</f>
        <v>1.329543972412861E-3</v>
      </c>
      <c r="AH25" s="1">
        <v>0.78800000000000003</v>
      </c>
      <c r="AI25" s="511">
        <f ca="1">AG25*AH25</f>
        <v>1.0476806502613346E-3</v>
      </c>
      <c r="AJ25" s="26">
        <f ca="1">AI25/$AI$29</f>
        <v>0.10544059255519897</v>
      </c>
      <c r="AL25" s="510">
        <v>0.1</v>
      </c>
      <c r="AM25" s="521">
        <f>MATCH(AL25,AQ$7:AQ$20,1)</f>
        <v>2</v>
      </c>
      <c r="AN25" s="26">
        <f t="array" aca="1" ref="AN25" ca="1">TREND(OFFSET(AM$6:AM$7,AM25,0),OFFSET(AQ$6:AQ$7,AM25,0),AL25)</f>
        <v>2.1592E-2</v>
      </c>
      <c r="AO25" s="21">
        <f ca="1">1-EXP(-AN25)</f>
        <v>2.136056150092347E-2</v>
      </c>
      <c r="AP25" s="26">
        <f ca="1">AO25/10</f>
        <v>2.1360561500923469E-3</v>
      </c>
      <c r="AQ25" s="1">
        <v>1</v>
      </c>
      <c r="AR25" s="511">
        <f ca="1">AP25*AQ25</f>
        <v>2.1360561500923469E-3</v>
      </c>
      <c r="AS25" s="26">
        <f ca="1">AR25/$AI$29</f>
        <v>0.21497679291941987</v>
      </c>
      <c r="AU25" s="510">
        <v>0.1</v>
      </c>
      <c r="AV25" s="521">
        <f>MATCH(AU25,AZ$7:AZ$20,1)</f>
        <v>2</v>
      </c>
      <c r="AW25" s="26">
        <f t="array" aca="1" ref="AW25" ca="1">TREND(OFFSET(AV$6:AV$7,AV25,0),OFFSET(AZ$6:AZ$7,AV25,0),AU25)</f>
        <v>2.4850000000000011E-2</v>
      </c>
      <c r="AX25" s="21">
        <f ca="1">1-EXP(-AW25)</f>
        <v>2.4543780512077951E-2</v>
      </c>
      <c r="AY25" s="26">
        <f ca="1">AX25/10</f>
        <v>2.4543780512077951E-3</v>
      </c>
      <c r="AZ25" s="1">
        <v>1</v>
      </c>
      <c r="BA25" s="511">
        <f ca="1">AY25*AZ25</f>
        <v>2.4543780512077951E-3</v>
      </c>
      <c r="BB25" s="26">
        <f ca="1">BA25/$AI$29</f>
        <v>0.2470133203369474</v>
      </c>
      <c r="BD25" s="510">
        <v>0.1</v>
      </c>
      <c r="BE25" s="521">
        <f>MATCH(BD25,BI$7:BI$20,1)</f>
        <v>2</v>
      </c>
      <c r="BF25" s="26">
        <f t="array" aca="1" ref="BF25" ca="1">TREND(OFFSET(BE$6:BE$7,BE25,0),OFFSET(BI$6:BI$7,BE25,0),BD25)</f>
        <v>4.8976923076923085E-2</v>
      </c>
      <c r="BG25" s="21">
        <f ca="1">1-EXP(-BF25)</f>
        <v>4.7796896637268493E-2</v>
      </c>
      <c r="BH25" s="26">
        <f ca="1">BG25/10</f>
        <v>4.7796896637268497E-3</v>
      </c>
      <c r="BI25" s="1">
        <v>1</v>
      </c>
      <c r="BJ25" s="511">
        <f ca="1">BH25*BI25</f>
        <v>4.7796896637268497E-3</v>
      </c>
      <c r="BK25" s="26">
        <f ca="1">BJ25/$AI$29</f>
        <v>0.48103714643160306</v>
      </c>
    </row>
    <row r="26" spans="1:63" ht="12.75" thickBot="1" x14ac:dyDescent="0.3">
      <c r="A26" s="80"/>
      <c r="B26" s="81"/>
      <c r="C26" s="81"/>
      <c r="D26" s="86"/>
      <c r="E26" s="86"/>
      <c r="F26" s="86"/>
      <c r="G26" s="86"/>
      <c r="H26" s="82"/>
      <c r="I26" s="81"/>
      <c r="J26" s="81"/>
      <c r="K26" s="81"/>
      <c r="L26" s="81"/>
      <c r="M26" s="81"/>
      <c r="N26" s="81"/>
      <c r="O26" s="81"/>
      <c r="P26" s="81"/>
      <c r="Q26" s="83"/>
      <c r="R26" s="81"/>
      <c r="S26" s="81"/>
      <c r="T26" s="81"/>
      <c r="U26" s="81"/>
      <c r="V26" s="81"/>
      <c r="W26" s="81"/>
      <c r="X26" s="81"/>
      <c r="Y26" s="81"/>
      <c r="Z26" s="81"/>
      <c r="AA26" s="82"/>
      <c r="AC26" s="510">
        <v>0.2</v>
      </c>
      <c r="AD26" s="521">
        <f t="shared" ref="AD26:AD33" si="17">MATCH(AC26,AH$7:AH$20,1)</f>
        <v>3</v>
      </c>
      <c r="AE26" s="26">
        <f t="array" aca="1" ref="AE26" ca="1">TREND(OFFSET(AD$6:AD$7,AD26,0),OFFSET(AH$6:AH$7,AD26,0),AC26)</f>
        <v>2.6000000000000002E-2</v>
      </c>
      <c r="AF26" s="21">
        <f ca="1">1-EXP(-AE26)</f>
        <v>2.5664910391250628E-2</v>
      </c>
      <c r="AG26" s="26">
        <f t="shared" ref="AG26:AG33" ca="1" si="18">AF26/10</f>
        <v>2.5664910391250627E-3</v>
      </c>
      <c r="AH26" s="1">
        <v>0.78800000000000003</v>
      </c>
      <c r="AI26" s="511">
        <f t="shared" ref="AI26:AI33" ca="1" si="19">AG26*AH26</f>
        <v>2.0223949388305496E-3</v>
      </c>
      <c r="AJ26" s="26">
        <f t="shared" ref="AJ26:AJ33" ca="1" si="20">AI26/$AI$29</f>
        <v>0.20353771034879481</v>
      </c>
      <c r="AL26" s="510">
        <v>0.2</v>
      </c>
      <c r="AM26" s="521">
        <f t="shared" ref="AM26:AM33" si="21">MATCH(AL26,AQ$7:AQ$20,1)</f>
        <v>2</v>
      </c>
      <c r="AN26" s="26">
        <f t="array" aca="1" ref="AN26" ca="1">TREND(OFFSET(AM$6:AM$7,AM26,0),OFFSET(AQ$6:AQ$7,AM26,0),AL26)</f>
        <v>5.4064000000000008E-2</v>
      </c>
      <c r="AO26" s="21">
        <f ca="1">1-EXP(-AN26)</f>
        <v>5.2628527212718268E-2</v>
      </c>
      <c r="AP26" s="26">
        <f t="shared" ref="AP26:AP33" ca="1" si="22">AO26/10</f>
        <v>5.2628527212718271E-3</v>
      </c>
      <c r="AQ26" s="1">
        <v>1</v>
      </c>
      <c r="AR26" s="511">
        <f t="shared" ref="AR26:AR33" ca="1" si="23">AP26*AQ26</f>
        <v>5.2628527212718271E-3</v>
      </c>
      <c r="AS26" s="26">
        <f t="shared" ref="AS26:AS33" ca="1" si="24">AR26/$AI$29</f>
        <v>0.52966360438481275</v>
      </c>
      <c r="AU26" s="510">
        <v>0.2</v>
      </c>
      <c r="AV26" s="521">
        <f t="shared" ref="AV26:AV33" si="25">MATCH(AU26,AZ$7:AZ$20,1)</f>
        <v>2</v>
      </c>
      <c r="AW26" s="26">
        <f t="array" aca="1" ref="AW26" ca="1">TREND(OFFSET(AV$6:AV$7,AV26,0),OFFSET(AZ$6:AZ$7,AV26,0),AU26)</f>
        <v>6.2200000000000019E-2</v>
      </c>
      <c r="AX26" s="21">
        <f ca="1">1-EXP(-AW26)</f>
        <v>6.0305070989864706E-2</v>
      </c>
      <c r="AY26" s="26">
        <f t="shared" ref="AY26:AY33" ca="1" si="26">AX26/10</f>
        <v>6.030507098986471E-3</v>
      </c>
      <c r="AZ26" s="1">
        <v>1</v>
      </c>
      <c r="BA26" s="511">
        <f t="shared" ref="BA26:BA33" ca="1" si="27">AY26*AZ26</f>
        <v>6.030507098986471E-3</v>
      </c>
      <c r="BB26" s="26">
        <f t="shared" ref="BB26:BB33" ca="1" si="28">BA26/$AI$29</f>
        <v>0.60692181512263088</v>
      </c>
      <c r="BD26" s="510">
        <v>0.2</v>
      </c>
      <c r="BE26" s="521">
        <f t="shared" ref="BE26:BE33" si="29">MATCH(BD26,BI$7:BI$20,1)</f>
        <v>3</v>
      </c>
      <c r="BF26" s="26">
        <f t="array" aca="1" ref="BF26" ca="1">TREND(OFFSET(BE$6:BE$7,BE26,0),OFFSET(BI$6:BI$7,BE26,0),BD26)</f>
        <v>0.10888888888888891</v>
      </c>
      <c r="BG26" s="21">
        <f ca="1">1-EXP(-BF26)</f>
        <v>0.1031699402531312</v>
      </c>
      <c r="BH26" s="26">
        <f t="shared" ref="BH26:BH33" ca="1" si="30">BG26/10</f>
        <v>1.0316994025313119E-2</v>
      </c>
      <c r="BI26" s="1">
        <v>1</v>
      </c>
      <c r="BJ26" s="511">
        <f t="shared" ref="BJ26:BJ33" ca="1" si="31">BH26*BI26</f>
        <v>1.0316994025313119E-2</v>
      </c>
      <c r="BK26" s="26">
        <f t="shared" ref="BK26:BK33" ca="1" si="32">BJ26/$AI$29</f>
        <v>1.0383220909407014</v>
      </c>
    </row>
    <row r="27" spans="1:63" x14ac:dyDescent="0.25">
      <c r="A27" s="3"/>
      <c r="B27" s="4"/>
      <c r="C27" s="4"/>
      <c r="D27" s="72"/>
      <c r="E27" s="72"/>
      <c r="F27" s="72"/>
      <c r="G27" s="72"/>
      <c r="H27" s="9"/>
      <c r="I27" s="4"/>
      <c r="J27" s="4"/>
      <c r="K27" s="4"/>
      <c r="L27" s="4"/>
      <c r="M27" s="4"/>
      <c r="N27" s="4"/>
      <c r="O27" s="4"/>
      <c r="P27" s="4"/>
      <c r="Q27" s="73"/>
      <c r="R27" s="4"/>
      <c r="S27" s="4"/>
      <c r="T27" s="4"/>
      <c r="U27" s="4"/>
      <c r="V27" s="4"/>
      <c r="W27" s="4"/>
      <c r="X27" s="4"/>
      <c r="Y27" s="4"/>
      <c r="Z27" s="4"/>
      <c r="AA27" s="9"/>
      <c r="AC27" s="510">
        <v>0.3</v>
      </c>
      <c r="AD27" s="521">
        <f t="shared" si="17"/>
        <v>3</v>
      </c>
      <c r="AE27" s="26">
        <f t="array" aca="1" ref="AE27" ca="1">TREND(OFFSET(AD$6:AD$7,AD27,0),OFFSET(AH$6:AH$7,AD27,0),AC27)</f>
        <v>3.8615384615384621E-2</v>
      </c>
      <c r="AF27" s="21">
        <f t="shared" ref="AF27:AF33" ca="1" si="33">1-EXP(-AE27)</f>
        <v>3.7879315590202522E-2</v>
      </c>
      <c r="AG27" s="26">
        <f t="shared" ca="1" si="18"/>
        <v>3.7879315590202524E-3</v>
      </c>
      <c r="AH27" s="1">
        <v>0.78800000000000003</v>
      </c>
      <c r="AI27" s="511">
        <f t="shared" ca="1" si="19"/>
        <v>2.9848900685079589E-3</v>
      </c>
      <c r="AJ27" s="26">
        <f t="shared" ca="1" si="20"/>
        <v>0.30040506852646498</v>
      </c>
      <c r="AL27" s="510">
        <v>0.3</v>
      </c>
      <c r="AM27" s="521">
        <f t="shared" si="21"/>
        <v>2</v>
      </c>
      <c r="AN27" s="26">
        <f t="array" aca="1" ref="AN27" ca="1">TREND(OFFSET(AM$6:AM$7,AM27,0),OFFSET(AQ$6:AQ$7,AM27,0),AL27)</f>
        <v>8.6536000000000002E-2</v>
      </c>
      <c r="AO27" s="21">
        <f t="shared" ref="AO27:AO33" ca="1" si="34">1-EXP(-AN27)</f>
        <v>8.2897467500753885E-2</v>
      </c>
      <c r="AP27" s="26">
        <f t="shared" ca="1" si="22"/>
        <v>8.2897467500753878E-3</v>
      </c>
      <c r="AQ27" s="1">
        <v>1</v>
      </c>
      <c r="AR27" s="511">
        <f t="shared" ca="1" si="23"/>
        <v>8.2897467500753878E-3</v>
      </c>
      <c r="AS27" s="26">
        <f t="shared" ca="1" si="24"/>
        <v>0.83429603213770664</v>
      </c>
      <c r="AU27" s="510">
        <v>0.3</v>
      </c>
      <c r="AV27" s="521">
        <f t="shared" si="25"/>
        <v>2</v>
      </c>
      <c r="AW27" s="26">
        <f t="array" aca="1" ref="AW27" ca="1">TREND(OFFSET(AV$6:AV$7,AV27,0),OFFSET(AZ$6:AZ$7,AV27,0),AU27)</f>
        <v>9.9550000000000013E-2</v>
      </c>
      <c r="AX27" s="21">
        <f t="shared" ref="AX27:AX33" ca="1" si="35">1-EXP(-AW27)</f>
        <v>9.4755313497391969E-2</v>
      </c>
      <c r="AY27" s="26">
        <f t="shared" ca="1" si="26"/>
        <v>9.4755313497391965E-3</v>
      </c>
      <c r="AZ27" s="1">
        <v>1</v>
      </c>
      <c r="BA27" s="511">
        <f t="shared" ca="1" si="27"/>
        <v>9.4755313497391965E-3</v>
      </c>
      <c r="BB27" s="26">
        <f t="shared" ca="1" si="28"/>
        <v>0.95363567136860561</v>
      </c>
      <c r="BD27" s="510">
        <v>0.3</v>
      </c>
      <c r="BE27" s="521">
        <f t="shared" si="29"/>
        <v>3</v>
      </c>
      <c r="BF27" s="26">
        <f t="array" aca="1" ref="BF27" ca="1">TREND(OFFSET(BE$6:BE$7,BE27,0),OFFSET(BI$6:BI$7,BE27,0),BD27)</f>
        <v>0.15500000000000003</v>
      </c>
      <c r="BG27" s="21">
        <f t="shared" ref="BG27:BG33" ca="1" si="36">1-EXP(-BF27)</f>
        <v>0.14358482251638649</v>
      </c>
      <c r="BH27" s="26">
        <f t="shared" ca="1" si="30"/>
        <v>1.435848225163865E-2</v>
      </c>
      <c r="BI27" s="1">
        <v>1</v>
      </c>
      <c r="BJ27" s="511">
        <f t="shared" ca="1" si="31"/>
        <v>1.435848225163865E-2</v>
      </c>
      <c r="BK27" s="26">
        <f t="shared" ca="1" si="32"/>
        <v>1.4450652271075553</v>
      </c>
    </row>
    <row r="28" spans="1:63" x14ac:dyDescent="0.25">
      <c r="A28" s="6"/>
      <c r="B28" s="7" t="s">
        <v>80</v>
      </c>
      <c r="C28" s="7"/>
      <c r="D28" s="28"/>
      <c r="E28" s="28"/>
      <c r="F28" s="28"/>
      <c r="G28" s="28"/>
      <c r="H28" s="15"/>
      <c r="I28" s="7"/>
      <c r="J28" s="7" t="s">
        <v>14</v>
      </c>
      <c r="K28" s="7"/>
      <c r="L28" s="7"/>
      <c r="M28" s="7"/>
      <c r="N28" s="7"/>
      <c r="O28" s="7"/>
      <c r="P28" s="7"/>
      <c r="Q28" s="74"/>
      <c r="R28" s="7"/>
      <c r="S28" s="7"/>
      <c r="T28" s="7"/>
      <c r="U28" s="7"/>
      <c r="V28" s="7"/>
      <c r="W28" s="7"/>
      <c r="X28" s="7"/>
      <c r="Y28" s="7"/>
      <c r="Z28" s="7"/>
      <c r="AA28" s="15"/>
      <c r="AC28" s="510">
        <v>0.4</v>
      </c>
      <c r="AD28" s="521">
        <f t="shared" si="17"/>
        <v>4</v>
      </c>
      <c r="AE28" s="26">
        <f t="array" aca="1" ref="AE28" ca="1">TREND(OFFSET(AD$6:AD$7,AD28,0),OFFSET(AH$6:AH$7,AD28,0),AC28)</f>
        <v>9.000000000000008E-2</v>
      </c>
      <c r="AF28" s="21">
        <f t="shared" ca="1" si="33"/>
        <v>8.6068814728771925E-2</v>
      </c>
      <c r="AG28" s="26">
        <f t="shared" ca="1" si="18"/>
        <v>8.6068814728771925E-3</v>
      </c>
      <c r="AH28" s="1">
        <v>0.78800000000000003</v>
      </c>
      <c r="AI28" s="511">
        <f t="shared" ca="1" si="19"/>
        <v>6.7822226006272277E-3</v>
      </c>
      <c r="AJ28" s="26">
        <f t="shared" ca="1" si="20"/>
        <v>0.68257590676416213</v>
      </c>
      <c r="AL28" s="510">
        <v>0.4</v>
      </c>
      <c r="AM28" s="521">
        <f t="shared" si="21"/>
        <v>3</v>
      </c>
      <c r="AN28" s="26">
        <f t="array" aca="1" ref="AN28" ca="1">TREND(OFFSET(AM$6:AM$7,AM28,0),OFFSET(AQ$6:AQ$7,AM28,0),AL28)</f>
        <v>0.12823529411764709</v>
      </c>
      <c r="AO28" s="21">
        <f t="shared" ca="1" si="34"/>
        <v>0.12035362082596812</v>
      </c>
      <c r="AP28" s="26">
        <f t="shared" ca="1" si="22"/>
        <v>1.2035362082596812E-2</v>
      </c>
      <c r="AQ28" s="1">
        <v>1</v>
      </c>
      <c r="AR28" s="511">
        <f t="shared" ca="1" si="23"/>
        <v>1.2035362082596812E-2</v>
      </c>
      <c r="AS28" s="26">
        <f t="shared" ca="1" si="24"/>
        <v>1.2112619520927839</v>
      </c>
      <c r="AU28" s="510">
        <v>0.4</v>
      </c>
      <c r="AV28" s="521">
        <f t="shared" si="25"/>
        <v>3</v>
      </c>
      <c r="AW28" s="26">
        <f t="array" aca="1" ref="AW28" ca="1">TREND(OFFSET(AV$6:AV$7,AV28,0),OFFSET(AZ$6:AZ$7,AV28,0),AU28)</f>
        <v>0.13727272727272732</v>
      </c>
      <c r="AX28" s="21">
        <f t="shared" ca="1" si="35"/>
        <v>0.12826755150386604</v>
      </c>
      <c r="AY28" s="26">
        <f t="shared" ca="1" si="26"/>
        <v>1.2826755150386605E-2</v>
      </c>
      <c r="AZ28" s="1">
        <v>1</v>
      </c>
      <c r="BA28" s="511">
        <f t="shared" ca="1" si="27"/>
        <v>1.2826755150386605E-2</v>
      </c>
      <c r="BB28" s="26">
        <f t="shared" ca="1" si="28"/>
        <v>1.290909270186344</v>
      </c>
      <c r="BD28" s="510">
        <v>0.4</v>
      </c>
      <c r="BE28" s="521">
        <f t="shared" si="29"/>
        <v>4</v>
      </c>
      <c r="BF28" s="26">
        <f t="array" aca="1" ref="BF28" ca="1">TREND(OFFSET(BE$6:BE$7,BE28,0),OFFSET(BI$6:BI$7,BE28,0),BD28)</f>
        <v>0.2018181818181819</v>
      </c>
      <c r="BG28" s="21">
        <f t="shared" ca="1" si="36"/>
        <v>0.18275649583707221</v>
      </c>
      <c r="BH28" s="26">
        <f t="shared" ca="1" si="30"/>
        <v>1.8275649583707219E-2</v>
      </c>
      <c r="BI28" s="1">
        <v>1</v>
      </c>
      <c r="BJ28" s="511">
        <f t="shared" ca="1" si="31"/>
        <v>1.8275649583707219E-2</v>
      </c>
      <c r="BK28" s="26">
        <f t="shared" ca="1" si="32"/>
        <v>1.839296469736835</v>
      </c>
    </row>
    <row r="29" spans="1:63" x14ac:dyDescent="0.25">
      <c r="A29" s="6"/>
      <c r="B29" s="7" t="s">
        <v>15</v>
      </c>
      <c r="C29" s="7"/>
      <c r="D29" s="28"/>
      <c r="E29" s="28"/>
      <c r="F29" s="28"/>
      <c r="G29" s="28"/>
      <c r="H29" s="15"/>
      <c r="I29" s="7"/>
      <c r="J29" s="7" t="s">
        <v>15</v>
      </c>
      <c r="K29" s="7"/>
      <c r="L29" s="7"/>
      <c r="M29" s="7"/>
      <c r="N29" s="7"/>
      <c r="O29" s="7"/>
      <c r="P29" s="7"/>
      <c r="Q29" s="75" t="s">
        <v>37</v>
      </c>
      <c r="R29" s="7"/>
      <c r="S29" s="7"/>
      <c r="T29" s="7"/>
      <c r="U29" s="7"/>
      <c r="V29" s="7"/>
      <c r="W29" s="74"/>
      <c r="X29" s="7"/>
      <c r="Y29" s="7"/>
      <c r="Z29" s="7"/>
      <c r="AA29" s="15"/>
      <c r="AC29" s="513">
        <v>0.5</v>
      </c>
      <c r="AD29" s="522">
        <f t="shared" si="17"/>
        <v>5</v>
      </c>
      <c r="AE29" s="515">
        <f t="array" aca="1" ref="AE29" ca="1">TREND(OFFSET(AD$6:AD$7,AD29,0),OFFSET(AH$6:AH$7,AD29,0),AC29)</f>
        <v>0.13478260869565217</v>
      </c>
      <c r="AF29" s="514">
        <f t="shared" ca="1" si="33"/>
        <v>0.12609412942333709</v>
      </c>
      <c r="AG29" s="515">
        <f t="shared" ca="1" si="18"/>
        <v>1.2609412942333708E-2</v>
      </c>
      <c r="AH29" s="516">
        <v>0.78800000000000003</v>
      </c>
      <c r="AI29" s="517">
        <f t="shared" ca="1" si="19"/>
        <v>9.9362173985589625E-3</v>
      </c>
      <c r="AJ29" s="525">
        <f t="shared" ca="1" si="20"/>
        <v>1</v>
      </c>
      <c r="AK29" s="65"/>
      <c r="AL29" s="523">
        <v>0.5</v>
      </c>
      <c r="AM29" s="524">
        <f t="shared" si="21"/>
        <v>3</v>
      </c>
      <c r="AN29" s="525">
        <f t="array" aca="1" ref="AN29" ca="1">TREND(OFFSET(AM$6:AM$7,AM29,0),OFFSET(AQ$6:AQ$7,AM29,0),AL29)</f>
        <v>0.17647058823529413</v>
      </c>
      <c r="AO29" s="64">
        <f t="shared" ca="1" si="34"/>
        <v>0.1617765675770001</v>
      </c>
      <c r="AP29" s="525">
        <f t="shared" ca="1" si="22"/>
        <v>1.6177656757700009E-2</v>
      </c>
      <c r="AQ29" s="65">
        <v>1</v>
      </c>
      <c r="AR29" s="526">
        <f t="shared" ca="1" si="23"/>
        <v>1.6177656757700009E-2</v>
      </c>
      <c r="AS29" s="525">
        <f t="shared" ca="1" si="24"/>
        <v>1.6281504428482245</v>
      </c>
      <c r="AT29" s="65"/>
      <c r="AU29" s="523">
        <v>0.5</v>
      </c>
      <c r="AV29" s="524">
        <f t="shared" si="25"/>
        <v>3</v>
      </c>
      <c r="AW29" s="525">
        <f t="array" aca="1" ref="AW29" ca="1">TREND(OFFSET(AV$6:AV$7,AV29,0),OFFSET(AZ$6:AZ$7,AV29,0),AU29)</f>
        <v>0.17500000000000004</v>
      </c>
      <c r="AX29" s="64">
        <f t="shared" ca="1" si="35"/>
        <v>0.16054297923079264</v>
      </c>
      <c r="AY29" s="525">
        <f t="shared" ca="1" si="26"/>
        <v>1.6054297923079264E-2</v>
      </c>
      <c r="AZ29" s="65">
        <v>1</v>
      </c>
      <c r="BA29" s="526">
        <f t="shared" ca="1" si="27"/>
        <v>1.6054297923079264E-2</v>
      </c>
      <c r="BB29" s="525">
        <f t="shared" ca="1" si="28"/>
        <v>1.61573537283993</v>
      </c>
      <c r="BC29" s="65"/>
      <c r="BD29" s="523">
        <v>0.5</v>
      </c>
      <c r="BE29" s="524">
        <f t="shared" si="29"/>
        <v>4</v>
      </c>
      <c r="BF29" s="525">
        <f t="array" aca="1" ref="BF29" ca="1">TREND(OFFSET(BE$6:BE$7,BE29,0),OFFSET(BI$6:BI$7,BE29,0),BD29)</f>
        <v>0.27727272727272734</v>
      </c>
      <c r="BG29" s="64">
        <f t="shared" ca="1" si="36"/>
        <v>0.24215221683552068</v>
      </c>
      <c r="BH29" s="525">
        <f t="shared" ca="1" si="30"/>
        <v>2.4215221683552068E-2</v>
      </c>
      <c r="BI29" s="65">
        <v>1</v>
      </c>
      <c r="BJ29" s="526">
        <f t="shared" ca="1" si="31"/>
        <v>2.4215221683552068E-2</v>
      </c>
      <c r="BK29" s="525">
        <f t="shared" ca="1" si="32"/>
        <v>2.4370664119188827</v>
      </c>
    </row>
    <row r="30" spans="1:63" x14ac:dyDescent="0.25">
      <c r="A30" s="6"/>
      <c r="B30" s="7"/>
      <c r="C30" s="7"/>
      <c r="D30" s="7"/>
      <c r="E30" s="7"/>
      <c r="F30" s="7"/>
      <c r="G30" s="7"/>
      <c r="H30" s="15"/>
      <c r="I30" s="7"/>
      <c r="J30" s="7"/>
      <c r="K30" s="7"/>
      <c r="L30" s="7"/>
      <c r="M30" s="7"/>
      <c r="N30" s="7"/>
      <c r="O30" s="7"/>
      <c r="P30" s="7"/>
      <c r="Q30" s="75" t="s">
        <v>17</v>
      </c>
      <c r="R30" s="7">
        <v>4</v>
      </c>
      <c r="S30" s="7"/>
      <c r="T30" s="7"/>
      <c r="U30" s="7"/>
      <c r="V30" s="7"/>
      <c r="W30" s="74"/>
      <c r="X30" s="7"/>
      <c r="Y30" s="7"/>
      <c r="Z30" s="7"/>
      <c r="AA30" s="15"/>
      <c r="AC30" s="510">
        <v>0.6</v>
      </c>
      <c r="AD30" s="521">
        <f t="shared" si="17"/>
        <v>5</v>
      </c>
      <c r="AE30" s="26">
        <f t="array" aca="1" ref="AE30" ca="1">TREND(OFFSET(AD$6:AD$7,AD30,0),OFFSET(AH$6:AH$7,AD30,0),AC30)</f>
        <v>0.17043478260869566</v>
      </c>
      <c r="AF30" s="21">
        <f t="shared" ca="1" si="33"/>
        <v>0.15670191446352022</v>
      </c>
      <c r="AG30" s="26">
        <f t="shared" ca="1" si="18"/>
        <v>1.5670191446352021E-2</v>
      </c>
      <c r="AH30" s="1">
        <v>0.78800000000000003</v>
      </c>
      <c r="AI30" s="511">
        <f t="shared" ca="1" si="19"/>
        <v>1.2348110859725394E-2</v>
      </c>
      <c r="AJ30" s="26">
        <f t="shared" ca="1" si="20"/>
        <v>1.242737589609928</v>
      </c>
      <c r="AL30" s="510">
        <v>0.6</v>
      </c>
      <c r="AM30" s="521">
        <f t="shared" si="21"/>
        <v>4</v>
      </c>
      <c r="AN30" s="26">
        <f t="array" aca="1" ref="AN30" ca="1">TREND(OFFSET(AM$6:AM$7,AM30,0),OFFSET(AQ$6:AQ$7,AM30,0),AL30)</f>
        <v>0.23230769230769227</v>
      </c>
      <c r="AO30" s="21">
        <f t="shared" ca="1" si="34"/>
        <v>0.20729782258381058</v>
      </c>
      <c r="AP30" s="26">
        <f t="shared" ca="1" si="22"/>
        <v>2.0729782258381058E-2</v>
      </c>
      <c r="AQ30" s="1">
        <v>1</v>
      </c>
      <c r="AR30" s="511">
        <f t="shared" ca="1" si="23"/>
        <v>2.0729782258381058E-2</v>
      </c>
      <c r="AS30" s="26">
        <f t="shared" ca="1" si="24"/>
        <v>2.0862850949081966</v>
      </c>
      <c r="AU30" s="510">
        <v>0.6</v>
      </c>
      <c r="AV30" s="521">
        <f t="shared" si="25"/>
        <v>4</v>
      </c>
      <c r="AW30" s="26">
        <f t="array" aca="1" ref="AW30" ca="1">TREND(OFFSET(AV$6:AV$7,AV30,0),OFFSET(AZ$6:AZ$7,AV30,0),AU30)</f>
        <v>0.21866666666666668</v>
      </c>
      <c r="AX30" s="21">
        <f t="shared" ca="1" si="35"/>
        <v>0.19641046330637879</v>
      </c>
      <c r="AY30" s="26">
        <f t="shared" ca="1" si="26"/>
        <v>1.964104633063788E-2</v>
      </c>
      <c r="AZ30" s="1">
        <v>1</v>
      </c>
      <c r="BA30" s="511">
        <f t="shared" ca="1" si="27"/>
        <v>1.964104633063788E-2</v>
      </c>
      <c r="BB30" s="26">
        <f t="shared" ca="1" si="28"/>
        <v>1.9767126203867478</v>
      </c>
      <c r="BD30" s="510">
        <v>0.6</v>
      </c>
      <c r="BE30" s="521">
        <f t="shared" si="29"/>
        <v>5</v>
      </c>
      <c r="BF30" s="26">
        <f t="array" aca="1" ref="BF30" ca="1">TREND(OFFSET(BE$6:BE$7,BE30,0),OFFSET(BI$6:BI$7,BE30,0),BD30)</f>
        <v>0.33624999999999999</v>
      </c>
      <c r="BG30" s="21">
        <f t="shared" ca="1" si="36"/>
        <v>0.28555552763028547</v>
      </c>
      <c r="BH30" s="26">
        <f t="shared" ca="1" si="30"/>
        <v>2.8555552763028548E-2</v>
      </c>
      <c r="BI30" s="1">
        <v>1</v>
      </c>
      <c r="BJ30" s="511">
        <f t="shared" ca="1" si="31"/>
        <v>2.8555552763028548E-2</v>
      </c>
      <c r="BK30" s="26">
        <f t="shared" ca="1" si="32"/>
        <v>2.8738856667095392</v>
      </c>
    </row>
    <row r="31" spans="1:63" x14ac:dyDescent="0.25">
      <c r="A31" s="6"/>
      <c r="B31" s="7" t="s">
        <v>30</v>
      </c>
      <c r="C31" s="7"/>
      <c r="D31" s="7"/>
      <c r="E31" s="7"/>
      <c r="F31" s="7"/>
      <c r="G31" s="7"/>
      <c r="H31" s="15"/>
      <c r="I31" s="7"/>
      <c r="J31" s="7" t="s">
        <v>30</v>
      </c>
      <c r="K31" s="7"/>
      <c r="L31" s="7"/>
      <c r="M31" s="7"/>
      <c r="N31" s="7"/>
      <c r="O31" s="7"/>
      <c r="P31" s="7"/>
      <c r="Q31" s="7" t="s">
        <v>39</v>
      </c>
      <c r="R31" s="7">
        <v>2</v>
      </c>
      <c r="S31" s="7" t="s">
        <v>38</v>
      </c>
      <c r="U31" s="7"/>
      <c r="V31" s="7"/>
      <c r="W31" s="74"/>
      <c r="X31" s="7"/>
      <c r="Y31" s="7"/>
      <c r="Z31" s="7"/>
      <c r="AA31" s="15"/>
      <c r="AC31" s="510">
        <v>0.7</v>
      </c>
      <c r="AD31" s="521">
        <f t="shared" si="17"/>
        <v>6</v>
      </c>
      <c r="AE31" s="26">
        <f t="array" aca="1" ref="AE31" ca="1">TREND(OFFSET(AD$6:AD$7,AD31,0),OFFSET(AH$6:AH$7,AD31,0),AC31)</f>
        <v>0.21399999999999997</v>
      </c>
      <c r="AF31" s="21">
        <f t="shared" ca="1" si="33"/>
        <v>0.19265161497731853</v>
      </c>
      <c r="AG31" s="26">
        <f t="shared" ca="1" si="18"/>
        <v>1.9265161497731852E-2</v>
      </c>
      <c r="AH31" s="1">
        <v>0.78800000000000003</v>
      </c>
      <c r="AI31" s="511">
        <f t="shared" ca="1" si="19"/>
        <v>1.5180947260212701E-2</v>
      </c>
      <c r="AJ31" s="26">
        <f t="shared" ca="1" si="20"/>
        <v>1.5278396849906257</v>
      </c>
      <c r="AL31" s="510">
        <v>0.7</v>
      </c>
      <c r="AM31" s="521">
        <f t="shared" si="21"/>
        <v>4</v>
      </c>
      <c r="AN31" s="26">
        <f t="array" aca="1" ref="AN31" ca="1">TREND(OFFSET(AM$6:AM$7,AM31,0),OFFSET(AQ$6:AQ$7,AM31,0),AL31)</f>
        <v>0.29538461538461541</v>
      </c>
      <c r="AO31" s="21">
        <f t="shared" ca="1" si="34"/>
        <v>0.25575471577511721</v>
      </c>
      <c r="AP31" s="26">
        <f t="shared" ca="1" si="22"/>
        <v>2.5575471577511721E-2</v>
      </c>
      <c r="AQ31" s="1">
        <v>1</v>
      </c>
      <c r="AR31" s="511">
        <f t="shared" ca="1" si="23"/>
        <v>2.5575471577511721E-2</v>
      </c>
      <c r="AS31" s="26">
        <f t="shared" ca="1" si="24"/>
        <v>2.5739645734020375</v>
      </c>
      <c r="AU31" s="510">
        <v>0.7</v>
      </c>
      <c r="AV31" s="521">
        <f t="shared" si="25"/>
        <v>4</v>
      </c>
      <c r="AW31" s="26">
        <f t="array" aca="1" ref="AW31" ca="1">TREND(OFFSET(AV$6:AV$7,AV31,0),OFFSET(AZ$6:AZ$7,AV31,0),AU31)</f>
        <v>0.27399999999999997</v>
      </c>
      <c r="AX31" s="21">
        <f t="shared" ca="1" si="35"/>
        <v>0.23966792473911791</v>
      </c>
      <c r="AY31" s="26">
        <f t="shared" ca="1" si="26"/>
        <v>2.3966792473911792E-2</v>
      </c>
      <c r="AZ31" s="1">
        <v>1</v>
      </c>
      <c r="BA31" s="511">
        <f t="shared" ca="1" si="27"/>
        <v>2.3966792473911792E-2</v>
      </c>
      <c r="BB31" s="26">
        <f t="shared" ca="1" si="28"/>
        <v>2.4120640191898044</v>
      </c>
      <c r="BD31" s="510">
        <v>0.7</v>
      </c>
      <c r="BE31" s="521">
        <f t="shared" si="29"/>
        <v>5</v>
      </c>
      <c r="BF31" s="26">
        <f t="array" aca="1" ref="BF31" ca="1">TREND(OFFSET(BE$6:BE$7,BE31,0),OFFSET(BI$6:BI$7,BE31,0),BD31)</f>
        <v>0.38812499999999994</v>
      </c>
      <c r="BG31" s="21">
        <f t="shared" ca="1" si="36"/>
        <v>0.32167245297892832</v>
      </c>
      <c r="BH31" s="26">
        <f t="shared" ca="1" si="30"/>
        <v>3.2167245297892832E-2</v>
      </c>
      <c r="BI31" s="1">
        <v>1</v>
      </c>
      <c r="BJ31" s="511">
        <f t="shared" ca="1" si="31"/>
        <v>3.2167245297892832E-2</v>
      </c>
      <c r="BK31" s="26">
        <f t="shared" ca="1" si="32"/>
        <v>3.2373733391298392</v>
      </c>
    </row>
    <row r="32" spans="1:63" x14ac:dyDescent="0.25">
      <c r="A32" s="6"/>
      <c r="B32" s="8"/>
      <c r="C32" s="8"/>
      <c r="D32" s="8">
        <v>5</v>
      </c>
      <c r="E32" s="8">
        <v>5</v>
      </c>
      <c r="F32" s="8">
        <v>5</v>
      </c>
      <c r="G32" s="8">
        <v>5</v>
      </c>
      <c r="H32" s="15"/>
      <c r="I32" s="7"/>
      <c r="J32" s="8"/>
      <c r="K32" s="8"/>
      <c r="L32" s="8">
        <v>5</v>
      </c>
      <c r="M32" s="8">
        <v>5</v>
      </c>
      <c r="N32" s="8">
        <v>5</v>
      </c>
      <c r="O32" s="8">
        <v>5</v>
      </c>
      <c r="P32" s="7"/>
      <c r="Q32" s="7" t="s">
        <v>40</v>
      </c>
      <c r="R32" s="7">
        <v>26</v>
      </c>
      <c r="S32" s="7" t="s">
        <v>41</v>
      </c>
      <c r="U32" s="7"/>
      <c r="V32" s="7"/>
      <c r="W32" s="74"/>
      <c r="X32" s="7"/>
      <c r="Y32" s="7"/>
      <c r="Z32" s="7"/>
      <c r="AA32" s="15"/>
      <c r="AC32" s="510">
        <v>0.8</v>
      </c>
      <c r="AD32" s="521">
        <f t="shared" si="17"/>
        <v>6</v>
      </c>
      <c r="AE32" s="26">
        <f t="array" aca="1" ref="AE32" ca="1">TREND(OFFSET(AD$6:AD$7,AD32,0),OFFSET(AH$6:AH$7,AD32,0),AC32)</f>
        <v>0.29599999999999993</v>
      </c>
      <c r="AF32" s="21">
        <f t="shared" ca="1" si="33"/>
        <v>0.25621257197982039</v>
      </c>
      <c r="AG32" s="26">
        <f t="shared" ca="1" si="18"/>
        <v>2.5621257197982038E-2</v>
      </c>
      <c r="AH32" s="1">
        <v>0.78800000000000003</v>
      </c>
      <c r="AI32" s="511">
        <f t="shared" ca="1" si="19"/>
        <v>2.0189550672009848E-2</v>
      </c>
      <c r="AJ32" s="26">
        <f t="shared" ca="1" si="20"/>
        <v>2.0319151506224</v>
      </c>
      <c r="AL32" s="510">
        <v>0.8</v>
      </c>
      <c r="AM32" s="521">
        <f t="shared" si="21"/>
        <v>5</v>
      </c>
      <c r="AN32" s="26">
        <f t="array" aca="1" ref="AN32" ca="1">TREND(OFFSET(AM$6:AM$7,AM32,0),OFFSET(AQ$6:AQ$7,AM32,0),AL32)</f>
        <v>0.30690909090909091</v>
      </c>
      <c r="AO32" s="21">
        <f t="shared" ca="1" si="34"/>
        <v>0.26428251872542086</v>
      </c>
      <c r="AP32" s="26">
        <f t="shared" ca="1" si="22"/>
        <v>2.6428251872542087E-2</v>
      </c>
      <c r="AQ32" s="1">
        <v>1</v>
      </c>
      <c r="AR32" s="511">
        <f t="shared" ca="1" si="23"/>
        <v>2.6428251872542087E-2</v>
      </c>
      <c r="AS32" s="26">
        <f t="shared" ca="1" si="24"/>
        <v>2.6597900199300133</v>
      </c>
      <c r="AU32" s="510">
        <v>0.8</v>
      </c>
      <c r="AV32" s="521">
        <f t="shared" si="25"/>
        <v>5</v>
      </c>
      <c r="AW32" s="26">
        <f t="array" aca="1" ref="AW32" ca="1">TREND(OFFSET(AV$6:AV$7,AV32,0),OFFSET(AZ$6:AZ$7,AV32,0),AU32)</f>
        <v>0.30733333333333335</v>
      </c>
      <c r="AX32" s="21">
        <f t="shared" ca="1" si="35"/>
        <v>0.26459457509477857</v>
      </c>
      <c r="AY32" s="26">
        <f t="shared" ca="1" si="26"/>
        <v>2.6459457509477858E-2</v>
      </c>
      <c r="AZ32" s="1">
        <v>1</v>
      </c>
      <c r="BA32" s="511">
        <f t="shared" ca="1" si="27"/>
        <v>2.6459457509477858E-2</v>
      </c>
      <c r="BB32" s="26">
        <f t="shared" ca="1" si="28"/>
        <v>2.6629306151569549</v>
      </c>
      <c r="BD32" s="510">
        <v>0.8</v>
      </c>
      <c r="BE32" s="521">
        <f t="shared" si="29"/>
        <v>7</v>
      </c>
      <c r="BF32" s="26">
        <f t="array" aca="1" ref="BF32" ca="1">TREND(OFFSET(BE$6:BE$7,BE32,0),OFFSET(BI$6:BI$7,BE32,0),BD32)</f>
        <v>0.52</v>
      </c>
      <c r="BG32" s="21">
        <f t="shared" ca="1" si="36"/>
        <v>0.40547945202980562</v>
      </c>
      <c r="BH32" s="26">
        <f t="shared" ca="1" si="30"/>
        <v>4.0547945202980565E-2</v>
      </c>
      <c r="BI32" s="1">
        <v>1</v>
      </c>
      <c r="BJ32" s="511">
        <f t="shared" ca="1" si="31"/>
        <v>4.0547945202980565E-2</v>
      </c>
      <c r="BK32" s="26">
        <f t="shared" ca="1" si="32"/>
        <v>4.0808230714498244</v>
      </c>
    </row>
    <row r="33" spans="1:63" x14ac:dyDescent="0.25">
      <c r="A33" s="10"/>
      <c r="B33" s="11" t="s">
        <v>19</v>
      </c>
      <c r="C33" s="11" t="s">
        <v>21</v>
      </c>
      <c r="D33" s="527" t="s">
        <v>0</v>
      </c>
      <c r="E33" s="528" t="s">
        <v>1</v>
      </c>
      <c r="F33" s="529" t="s">
        <v>2</v>
      </c>
      <c r="G33" s="530" t="s">
        <v>3</v>
      </c>
      <c r="H33" s="19"/>
      <c r="I33" s="7"/>
      <c r="J33" s="11" t="s">
        <v>19</v>
      </c>
      <c r="K33" s="11" t="s">
        <v>21</v>
      </c>
      <c r="L33" s="527" t="s">
        <v>0</v>
      </c>
      <c r="M33" s="528" t="s">
        <v>1</v>
      </c>
      <c r="N33" s="529" t="s">
        <v>2</v>
      </c>
      <c r="O33" s="530" t="s">
        <v>3</v>
      </c>
      <c r="P33" s="7"/>
      <c r="Q33" s="75" t="s">
        <v>42</v>
      </c>
      <c r="R33" s="7">
        <v>1</v>
      </c>
      <c r="S33" s="7" t="s">
        <v>43</v>
      </c>
      <c r="U33" s="7"/>
      <c r="V33" s="7"/>
      <c r="W33" s="74"/>
      <c r="X33" s="7"/>
      <c r="Y33" s="7"/>
      <c r="Z33" s="7"/>
      <c r="AA33" s="15"/>
      <c r="AC33" s="510">
        <v>0.9</v>
      </c>
      <c r="AD33" s="521">
        <f t="shared" si="17"/>
        <v>9</v>
      </c>
      <c r="AE33" s="26">
        <f t="array" aca="1" ref="AE33" ca="1">TREND(OFFSET(AD$6:AD$7,AD33,0),OFFSET(AH$6:AH$7,AD33,0),AC33)</f>
        <v>0.51600000000000001</v>
      </c>
      <c r="AF33" s="21">
        <f t="shared" ca="1" si="33"/>
        <v>0.40309660732564201</v>
      </c>
      <c r="AG33" s="26">
        <f t="shared" ca="1" si="18"/>
        <v>4.0309660732564201E-2</v>
      </c>
      <c r="AH33" s="1">
        <v>0.78800000000000003</v>
      </c>
      <c r="AI33" s="511">
        <f t="shared" ca="1" si="19"/>
        <v>3.1764012657260594E-2</v>
      </c>
      <c r="AJ33" s="26">
        <f t="shared" ca="1" si="20"/>
        <v>3.1967912318290552</v>
      </c>
      <c r="AL33" s="510">
        <v>0.9</v>
      </c>
      <c r="AM33" s="521">
        <f t="shared" si="21"/>
        <v>8</v>
      </c>
      <c r="AN33" s="26">
        <f t="array" aca="1" ref="AN33" ca="1">TREND(OFFSET(AM$6:AM$7,AM33,0),OFFSET(AQ$6:AQ$7,AM33,0),AL33)</f>
        <v>0.52</v>
      </c>
      <c r="AO33" s="21">
        <f t="shared" ca="1" si="34"/>
        <v>0.40547945202980562</v>
      </c>
      <c r="AP33" s="26">
        <f t="shared" ca="1" si="22"/>
        <v>4.0547945202980565E-2</v>
      </c>
      <c r="AQ33" s="1">
        <v>1</v>
      </c>
      <c r="AR33" s="511">
        <f t="shared" ca="1" si="23"/>
        <v>4.0547945202980565E-2</v>
      </c>
      <c r="AS33" s="26">
        <f t="shared" ca="1" si="24"/>
        <v>4.0808230714498244</v>
      </c>
      <c r="AU33" s="510">
        <v>0.9</v>
      </c>
      <c r="AV33" s="521">
        <f t="shared" si="25"/>
        <v>8</v>
      </c>
      <c r="AW33" s="26">
        <f t="array" aca="1" ref="AW33" ca="1">TREND(OFFSET(AV$6:AV$7,AV33,0),OFFSET(AZ$6:AZ$7,AV33,0),AU33)</f>
        <v>0.5385714285714287</v>
      </c>
      <c r="AX33" s="21">
        <f t="shared" ca="1" si="35"/>
        <v>0.41641865519828158</v>
      </c>
      <c r="AY33" s="26">
        <f t="shared" ca="1" si="26"/>
        <v>4.164186551982816E-2</v>
      </c>
      <c r="AZ33" s="1">
        <v>1</v>
      </c>
      <c r="BA33" s="511">
        <f t="shared" ca="1" si="27"/>
        <v>4.164186551982816E-2</v>
      </c>
      <c r="BB33" s="26">
        <f t="shared" ca="1" si="28"/>
        <v>4.1909173128465795</v>
      </c>
      <c r="BD33" s="510">
        <v>0.9</v>
      </c>
      <c r="BE33" s="521">
        <f t="shared" si="29"/>
        <v>7</v>
      </c>
      <c r="BF33" s="26">
        <f t="array" aca="1" ref="BF33" ca="1">TREND(OFFSET(BE$6:BE$7,BE33,0),OFFSET(BI$6:BI$7,BE33,0),BD33)</f>
        <v>0.58916666666666673</v>
      </c>
      <c r="BG33" s="21">
        <f t="shared" ca="1" si="36"/>
        <v>0.44521058333331953</v>
      </c>
      <c r="BH33" s="26">
        <f t="shared" ca="1" si="30"/>
        <v>4.4521058333331955E-2</v>
      </c>
      <c r="BI33" s="1">
        <v>1</v>
      </c>
      <c r="BJ33" s="511">
        <f t="shared" ca="1" si="31"/>
        <v>4.4521058333331955E-2</v>
      </c>
      <c r="BK33" s="26">
        <f t="shared" ca="1" si="32"/>
        <v>4.4806848066537661</v>
      </c>
    </row>
    <row r="34" spans="1:63" x14ac:dyDescent="0.25">
      <c r="A34" s="6"/>
      <c r="B34" s="8">
        <v>0</v>
      </c>
      <c r="C34" s="8">
        <v>0</v>
      </c>
      <c r="D34" s="8">
        <v>4</v>
      </c>
      <c r="E34" s="8">
        <v>3</v>
      </c>
      <c r="F34" s="8">
        <v>2</v>
      </c>
      <c r="G34" s="8">
        <v>4</v>
      </c>
      <c r="H34" s="15"/>
      <c r="I34" s="7"/>
      <c r="J34" s="8">
        <v>0</v>
      </c>
      <c r="K34" s="8">
        <v>0</v>
      </c>
      <c r="L34" s="8">
        <f>SUM(D34:D$45)</f>
        <v>83</v>
      </c>
      <c r="M34" s="8">
        <f>SUM(E34:E$45)</f>
        <v>83</v>
      </c>
      <c r="N34" s="8">
        <f>SUM(F34:F$45)</f>
        <v>83</v>
      </c>
      <c r="O34" s="8">
        <f>SUM(G34:G$45)</f>
        <v>82</v>
      </c>
      <c r="P34" s="7"/>
      <c r="Q34" s="75"/>
      <c r="R34" s="7"/>
      <c r="S34" s="7"/>
      <c r="T34" s="7"/>
      <c r="U34" s="7"/>
      <c r="V34" s="7"/>
      <c r="W34" s="74"/>
      <c r="X34" s="7"/>
      <c r="Y34" s="7"/>
      <c r="Z34" s="7"/>
      <c r="AA34" s="15"/>
      <c r="AC34" s="510"/>
      <c r="AD34" s="510"/>
      <c r="AE34" s="21"/>
      <c r="AF34" s="21"/>
      <c r="AG34" s="26"/>
      <c r="AI34" s="511"/>
      <c r="BK34" s="5"/>
    </row>
    <row r="35" spans="1:63" x14ac:dyDescent="0.25">
      <c r="A35" s="6"/>
      <c r="B35" s="8">
        <v>0</v>
      </c>
      <c r="C35" s="8">
        <v>9</v>
      </c>
      <c r="D35" s="8">
        <v>25</v>
      </c>
      <c r="E35" s="8">
        <v>22</v>
      </c>
      <c r="F35" s="8">
        <v>13</v>
      </c>
      <c r="G35" s="8">
        <v>29</v>
      </c>
      <c r="H35" s="15"/>
      <c r="I35" s="7"/>
      <c r="J35" s="8">
        <v>0</v>
      </c>
      <c r="K35" s="8">
        <v>9</v>
      </c>
      <c r="L35" s="8">
        <f>SUM(D35:D$45)</f>
        <v>79</v>
      </c>
      <c r="M35" s="8">
        <f>SUM(E35:E$45)</f>
        <v>80</v>
      </c>
      <c r="N35" s="8">
        <f>SUM(F35:F$45)</f>
        <v>81</v>
      </c>
      <c r="O35" s="8">
        <f>SUM(G35:G$45)</f>
        <v>78</v>
      </c>
      <c r="P35" s="7"/>
      <c r="Q35" s="75" t="s">
        <v>48</v>
      </c>
      <c r="R35" s="7"/>
      <c r="S35" s="7"/>
      <c r="T35" s="7"/>
      <c r="U35" s="7"/>
      <c r="V35" s="7"/>
      <c r="W35" s="74"/>
      <c r="X35" s="7"/>
      <c r="Y35" s="7"/>
      <c r="Z35" s="7"/>
      <c r="AA35" s="15"/>
      <c r="BK35" s="5"/>
    </row>
    <row r="36" spans="1:63" x14ac:dyDescent="0.25">
      <c r="A36" s="6"/>
      <c r="B36" s="8">
        <v>10</v>
      </c>
      <c r="C36" s="8">
        <f>C35+10</f>
        <v>19</v>
      </c>
      <c r="D36" s="20">
        <v>17</v>
      </c>
      <c r="E36" s="20">
        <v>22</v>
      </c>
      <c r="F36" s="8">
        <v>18</v>
      </c>
      <c r="G36" s="20">
        <v>23</v>
      </c>
      <c r="H36" s="15"/>
      <c r="I36" s="7"/>
      <c r="J36" s="8">
        <v>10</v>
      </c>
      <c r="K36" s="8">
        <f>K35+10</f>
        <v>19</v>
      </c>
      <c r="L36" s="8">
        <f>SUM(D36:D$45)</f>
        <v>54</v>
      </c>
      <c r="M36" s="8">
        <f>SUM(E36:E$45)</f>
        <v>58</v>
      </c>
      <c r="N36" s="8">
        <f>SUM(F36:F$45)</f>
        <v>68</v>
      </c>
      <c r="O36" s="8">
        <f>SUM(G36:G$45)</f>
        <v>49</v>
      </c>
      <c r="P36" s="7"/>
      <c r="Q36" s="75" t="s">
        <v>49</v>
      </c>
      <c r="R36" s="7">
        <v>43</v>
      </c>
      <c r="S36" s="7" t="s">
        <v>50</v>
      </c>
      <c r="T36" s="7"/>
      <c r="U36" s="7"/>
      <c r="V36" s="7"/>
      <c r="W36" s="74"/>
      <c r="X36" s="7"/>
      <c r="Y36" s="7"/>
      <c r="Z36" s="7"/>
      <c r="AA36" s="15"/>
      <c r="BK36" s="5"/>
    </row>
    <row r="37" spans="1:63" x14ac:dyDescent="0.25">
      <c r="A37" s="6"/>
      <c r="B37" s="8">
        <v>20</v>
      </c>
      <c r="C37" s="8">
        <f t="shared" ref="C37:C44" si="37">C36+10</f>
        <v>29</v>
      </c>
      <c r="D37" s="8">
        <v>13</v>
      </c>
      <c r="E37" s="8">
        <v>15</v>
      </c>
      <c r="F37" s="20">
        <v>11</v>
      </c>
      <c r="G37" s="8">
        <v>10</v>
      </c>
      <c r="H37" s="15"/>
      <c r="I37" s="7"/>
      <c r="J37" s="8">
        <v>20</v>
      </c>
      <c r="K37" s="8">
        <f t="shared" ref="K37:K44" si="38">K36+10</f>
        <v>29</v>
      </c>
      <c r="L37" s="23">
        <f>SUM(D37:D$45)</f>
        <v>37</v>
      </c>
      <c r="M37" s="23">
        <f>SUM(E37:E$45)</f>
        <v>36</v>
      </c>
      <c r="N37" s="8">
        <f>SUM(F37:F$45)</f>
        <v>50</v>
      </c>
      <c r="O37" s="23">
        <f>SUM(G37:G$45)</f>
        <v>26</v>
      </c>
      <c r="P37" s="7"/>
      <c r="Q37" s="76" t="s">
        <v>52</v>
      </c>
      <c r="R37" s="7">
        <v>37</v>
      </c>
      <c r="S37" s="7" t="s">
        <v>51</v>
      </c>
      <c r="T37" s="7"/>
      <c r="U37" s="7"/>
      <c r="V37" s="7"/>
      <c r="W37" s="74"/>
      <c r="X37" s="7"/>
      <c r="Y37" s="7"/>
      <c r="Z37" s="7"/>
      <c r="AA37" s="15"/>
      <c r="BK37" s="5"/>
    </row>
    <row r="38" spans="1:63" x14ac:dyDescent="0.25">
      <c r="A38" s="6"/>
      <c r="B38" s="8">
        <v>30</v>
      </c>
      <c r="C38" s="8">
        <f t="shared" si="37"/>
        <v>39</v>
      </c>
      <c r="D38" s="8">
        <v>11</v>
      </c>
      <c r="E38" s="8">
        <v>7</v>
      </c>
      <c r="F38" s="8">
        <v>16</v>
      </c>
      <c r="G38" s="8">
        <v>6</v>
      </c>
      <c r="H38" s="15"/>
      <c r="I38" s="7"/>
      <c r="J38" s="8">
        <v>30</v>
      </c>
      <c r="K38" s="8">
        <f t="shared" si="38"/>
        <v>39</v>
      </c>
      <c r="L38" s="8">
        <f>SUM(D38:D$45)</f>
        <v>24</v>
      </c>
      <c r="M38" s="8">
        <f>SUM(E38:E$45)</f>
        <v>21</v>
      </c>
      <c r="N38" s="8">
        <f>SUM(F38:F$45)</f>
        <v>39</v>
      </c>
      <c r="O38" s="8">
        <f>SUM(G38:G$45)</f>
        <v>16</v>
      </c>
      <c r="P38" s="7"/>
      <c r="Q38" s="77">
        <v>0.3</v>
      </c>
      <c r="R38" s="7">
        <v>6</v>
      </c>
      <c r="S38" s="7" t="s">
        <v>53</v>
      </c>
      <c r="T38" s="7"/>
      <c r="U38" s="7"/>
      <c r="V38" s="7"/>
      <c r="W38" s="74"/>
      <c r="X38" s="7"/>
      <c r="Y38" s="7"/>
      <c r="Z38" s="7"/>
      <c r="AA38" s="15"/>
    </row>
    <row r="39" spans="1:63" x14ac:dyDescent="0.25">
      <c r="A39" s="6"/>
      <c r="B39" s="8">
        <v>40</v>
      </c>
      <c r="C39" s="8">
        <f t="shared" si="37"/>
        <v>49</v>
      </c>
      <c r="D39" s="8">
        <v>4</v>
      </c>
      <c r="E39" s="8">
        <v>3</v>
      </c>
      <c r="F39" s="8">
        <v>4</v>
      </c>
      <c r="G39" s="8">
        <v>1</v>
      </c>
      <c r="H39" s="15"/>
      <c r="I39" s="7"/>
      <c r="J39" s="8">
        <v>40</v>
      </c>
      <c r="K39" s="8">
        <f t="shared" si="38"/>
        <v>49</v>
      </c>
      <c r="L39" s="8">
        <f>SUM(D39:D$45)</f>
        <v>13</v>
      </c>
      <c r="M39" s="8">
        <f>SUM(E39:E$45)</f>
        <v>14</v>
      </c>
      <c r="N39" s="23">
        <f>SUM(F39:F$45)</f>
        <v>23</v>
      </c>
      <c r="O39" s="8">
        <f>SUM(G39:G$45)</f>
        <v>10</v>
      </c>
      <c r="P39" s="7"/>
      <c r="Q39" s="76" t="s">
        <v>55</v>
      </c>
      <c r="R39" s="7">
        <v>1</v>
      </c>
      <c r="S39" s="7" t="s">
        <v>54</v>
      </c>
      <c r="T39" s="7"/>
      <c r="U39" s="7"/>
      <c r="V39" s="7"/>
      <c r="W39" s="74"/>
      <c r="X39" s="7"/>
      <c r="Y39" s="7"/>
      <c r="Z39" s="7"/>
      <c r="AA39" s="15"/>
    </row>
    <row r="40" spans="1:63" x14ac:dyDescent="0.25">
      <c r="A40" s="6"/>
      <c r="B40" s="8">
        <v>50</v>
      </c>
      <c r="C40" s="8">
        <f t="shared" si="37"/>
        <v>59</v>
      </c>
      <c r="D40" s="8">
        <v>4</v>
      </c>
      <c r="E40" s="8">
        <v>7</v>
      </c>
      <c r="F40" s="8">
        <v>12</v>
      </c>
      <c r="G40" s="8">
        <v>5</v>
      </c>
      <c r="H40" s="15"/>
      <c r="I40" s="7"/>
      <c r="J40" s="8">
        <v>50</v>
      </c>
      <c r="K40" s="8">
        <f t="shared" si="38"/>
        <v>59</v>
      </c>
      <c r="L40" s="8">
        <f>SUM(D40:D$45)</f>
        <v>9</v>
      </c>
      <c r="M40" s="8">
        <f>SUM(E40:E$45)</f>
        <v>11</v>
      </c>
      <c r="N40" s="22">
        <f>SUM(F40:F$45)</f>
        <v>19</v>
      </c>
      <c r="O40" s="8">
        <f>SUM(G40:G$45)</f>
        <v>9</v>
      </c>
      <c r="P40" s="7"/>
      <c r="Q40" s="77">
        <v>0.75</v>
      </c>
      <c r="R40" s="7">
        <v>1</v>
      </c>
      <c r="S40" s="7" t="s">
        <v>56</v>
      </c>
      <c r="T40" s="7"/>
      <c r="U40" s="7"/>
      <c r="V40" s="7"/>
      <c r="W40" s="74"/>
      <c r="X40" s="7"/>
      <c r="Y40" s="7"/>
      <c r="Z40" s="7"/>
      <c r="AA40" s="15"/>
    </row>
    <row r="41" spans="1:63" x14ac:dyDescent="0.25">
      <c r="A41" s="6"/>
      <c r="B41" s="8">
        <v>60</v>
      </c>
      <c r="C41" s="8">
        <f t="shared" si="37"/>
        <v>69</v>
      </c>
      <c r="D41" s="8">
        <v>1</v>
      </c>
      <c r="E41" s="8">
        <v>1</v>
      </c>
      <c r="F41" s="8">
        <v>1</v>
      </c>
      <c r="G41" s="8">
        <v>1</v>
      </c>
      <c r="H41" s="15"/>
      <c r="I41" s="7"/>
      <c r="J41" s="8">
        <v>60</v>
      </c>
      <c r="K41" s="8">
        <f t="shared" si="38"/>
        <v>69</v>
      </c>
      <c r="L41" s="8">
        <f>SUM(D41:D$45)</f>
        <v>5</v>
      </c>
      <c r="M41" s="8">
        <f>SUM(E41:E$45)</f>
        <v>4</v>
      </c>
      <c r="N41" s="8">
        <f>SUM(F41:F$45)</f>
        <v>7</v>
      </c>
      <c r="O41" s="8">
        <f>SUM(G41:G$45)</f>
        <v>4</v>
      </c>
      <c r="P41" s="7"/>
      <c r="Q41" s="76" t="s">
        <v>57</v>
      </c>
      <c r="R41" s="7">
        <v>0</v>
      </c>
      <c r="S41" s="7" t="s">
        <v>53</v>
      </c>
      <c r="T41" s="7"/>
      <c r="U41" s="7"/>
      <c r="V41" s="7"/>
      <c r="W41" s="74"/>
      <c r="X41" s="7"/>
      <c r="Y41" s="7"/>
      <c r="Z41" s="7"/>
      <c r="AA41" s="15"/>
    </row>
    <row r="42" spans="1:63" x14ac:dyDescent="0.25">
      <c r="A42" s="6"/>
      <c r="B42" s="8">
        <v>70</v>
      </c>
      <c r="C42" s="8">
        <f t="shared" si="37"/>
        <v>79</v>
      </c>
      <c r="D42" s="8">
        <v>0</v>
      </c>
      <c r="E42" s="8">
        <v>1</v>
      </c>
      <c r="F42" s="8">
        <v>4</v>
      </c>
      <c r="G42" s="8">
        <v>1</v>
      </c>
      <c r="H42" s="15"/>
      <c r="I42" s="7"/>
      <c r="J42" s="8">
        <v>70</v>
      </c>
      <c r="K42" s="8">
        <f t="shared" si="38"/>
        <v>79</v>
      </c>
      <c r="L42" s="8">
        <f>SUM(D42:D$45)</f>
        <v>4</v>
      </c>
      <c r="M42" s="8">
        <f>SUM(E42:E$45)</f>
        <v>3</v>
      </c>
      <c r="N42" s="8">
        <f>SUM(F42:F$45)</f>
        <v>6</v>
      </c>
      <c r="O42" s="8">
        <f>SUM(G42:G$45)</f>
        <v>3</v>
      </c>
      <c r="P42" s="7"/>
      <c r="Q42" s="7"/>
      <c r="R42" s="7"/>
      <c r="S42" s="7"/>
      <c r="T42" s="7"/>
      <c r="U42" s="7"/>
      <c r="V42" s="7"/>
      <c r="W42" s="74"/>
      <c r="X42" s="7"/>
      <c r="Y42" s="7"/>
      <c r="Z42" s="7"/>
      <c r="AA42" s="15"/>
    </row>
    <row r="43" spans="1:63" x14ac:dyDescent="0.25">
      <c r="A43" s="6"/>
      <c r="B43" s="8">
        <v>80</v>
      </c>
      <c r="C43" s="8">
        <f>C42+10</f>
        <v>89</v>
      </c>
      <c r="D43" s="8">
        <v>4</v>
      </c>
      <c r="E43" s="8">
        <v>2</v>
      </c>
      <c r="F43" s="8">
        <v>0</v>
      </c>
      <c r="G43" s="8">
        <v>0</v>
      </c>
      <c r="H43" s="15"/>
      <c r="I43" s="7"/>
      <c r="J43" s="8">
        <v>80</v>
      </c>
      <c r="K43" s="8">
        <f>K42+10</f>
        <v>89</v>
      </c>
      <c r="L43" s="8">
        <f>SUM(D43:D$45)</f>
        <v>4</v>
      </c>
      <c r="M43" s="8">
        <f>SUM(E43:E$45)</f>
        <v>2</v>
      </c>
      <c r="N43" s="8">
        <f>SUM(F43:F$45)</f>
        <v>2</v>
      </c>
      <c r="O43" s="8">
        <f>SUM(G43:G$45)</f>
        <v>2</v>
      </c>
      <c r="P43" s="7"/>
      <c r="Q43" s="75" t="s">
        <v>65</v>
      </c>
      <c r="R43" s="7"/>
      <c r="S43" s="7"/>
      <c r="T43" s="7"/>
      <c r="U43" s="7"/>
      <c r="V43" s="7"/>
      <c r="W43" s="74"/>
      <c r="X43" s="7"/>
      <c r="Y43" s="7"/>
      <c r="Z43" s="7"/>
      <c r="AA43" s="15"/>
    </row>
    <row r="44" spans="1:63" x14ac:dyDescent="0.25">
      <c r="A44" s="6"/>
      <c r="B44" s="8">
        <v>90</v>
      </c>
      <c r="C44" s="8">
        <f t="shared" si="37"/>
        <v>99</v>
      </c>
      <c r="D44" s="8">
        <v>0</v>
      </c>
      <c r="E44" s="8">
        <v>0</v>
      </c>
      <c r="F44" s="8">
        <v>2</v>
      </c>
      <c r="G44" s="8">
        <v>1</v>
      </c>
      <c r="H44" s="15"/>
      <c r="I44" s="7"/>
      <c r="J44" s="8">
        <v>90</v>
      </c>
      <c r="K44" s="8">
        <f t="shared" si="38"/>
        <v>99</v>
      </c>
      <c r="L44" s="8">
        <f>SUM(D44:D$45)</f>
        <v>0</v>
      </c>
      <c r="M44" s="8">
        <f>SUM(E44:E$45)</f>
        <v>0</v>
      </c>
      <c r="N44" s="8">
        <f>SUM(F44:F$45)</f>
        <v>2</v>
      </c>
      <c r="O44" s="8">
        <f>SUM(G44:G$45)</f>
        <v>2</v>
      </c>
      <c r="P44" s="7"/>
      <c r="Q44" s="75" t="s">
        <v>49</v>
      </c>
      <c r="R44" s="7">
        <v>41</v>
      </c>
      <c r="S44" s="7"/>
      <c r="T44" s="7"/>
      <c r="U44" s="7"/>
      <c r="V44" s="7"/>
      <c r="W44" s="74"/>
      <c r="X44" s="7"/>
      <c r="Y44" s="7"/>
      <c r="Z44" s="7"/>
      <c r="AA44" s="15"/>
    </row>
    <row r="45" spans="1:63" x14ac:dyDescent="0.25">
      <c r="A45" s="6"/>
      <c r="B45" s="8">
        <v>100</v>
      </c>
      <c r="C45" s="8">
        <v>100</v>
      </c>
      <c r="D45" s="8">
        <v>0</v>
      </c>
      <c r="E45" s="8">
        <v>0</v>
      </c>
      <c r="F45" s="8">
        <v>0</v>
      </c>
      <c r="G45" s="8">
        <v>1</v>
      </c>
      <c r="H45" s="15"/>
      <c r="I45" s="7"/>
      <c r="J45" s="8">
        <v>100</v>
      </c>
      <c r="K45" s="8">
        <v>100</v>
      </c>
      <c r="L45" s="8">
        <f>SUM(D45:D$45)</f>
        <v>0</v>
      </c>
      <c r="M45" s="8">
        <f>SUM(E45:E$45)</f>
        <v>0</v>
      </c>
      <c r="N45" s="8">
        <f>SUM(F45:F$45)</f>
        <v>0</v>
      </c>
      <c r="O45" s="8">
        <f>SUM(G45:G$45)</f>
        <v>1</v>
      </c>
      <c r="P45" s="7"/>
      <c r="Q45" s="78">
        <v>0.3</v>
      </c>
      <c r="R45" s="7">
        <v>11</v>
      </c>
      <c r="S45" s="7" t="s">
        <v>66</v>
      </c>
      <c r="T45" s="7"/>
      <c r="U45" s="7"/>
      <c r="V45" s="7"/>
      <c r="W45" s="74"/>
      <c r="X45" s="7"/>
      <c r="Y45" s="7"/>
      <c r="Z45" s="7"/>
      <c r="AA45" s="15"/>
    </row>
    <row r="46" spans="1:63" x14ac:dyDescent="0.25">
      <c r="A46" s="6"/>
      <c r="B46" s="7"/>
      <c r="C46" s="7" t="s">
        <v>29</v>
      </c>
      <c r="D46" s="7">
        <f>SUM(D34:D45)</f>
        <v>83</v>
      </c>
      <c r="E46" s="7">
        <f>SUM(E34:E45)</f>
        <v>83</v>
      </c>
      <c r="F46" s="7">
        <f>SUM(F34:F45)</f>
        <v>83</v>
      </c>
      <c r="G46" s="7">
        <f>SUM(G34:G45)</f>
        <v>82</v>
      </c>
      <c r="H46" s="15"/>
      <c r="I46" s="7"/>
      <c r="J46" s="7"/>
      <c r="K46" s="7"/>
      <c r="L46" s="7"/>
      <c r="M46" s="7"/>
      <c r="N46" s="7"/>
      <c r="O46" s="7"/>
      <c r="P46" s="7"/>
      <c r="Q46" s="78" t="s">
        <v>55</v>
      </c>
      <c r="R46" s="7">
        <v>0</v>
      </c>
      <c r="S46" s="7" t="s">
        <v>53</v>
      </c>
      <c r="T46" s="7"/>
      <c r="U46" s="7"/>
      <c r="V46" s="7"/>
      <c r="W46" s="74"/>
      <c r="X46" s="7"/>
      <c r="Y46" s="7"/>
      <c r="Z46" s="7"/>
      <c r="AA46" s="15"/>
    </row>
    <row r="47" spans="1:63" x14ac:dyDescent="0.25">
      <c r="A47" s="6" t="s">
        <v>25</v>
      </c>
      <c r="B47" s="7"/>
      <c r="C47" s="7"/>
      <c r="D47" s="7"/>
      <c r="E47" s="7"/>
      <c r="F47" s="7"/>
      <c r="G47" s="7"/>
      <c r="H47" s="15"/>
      <c r="I47" s="7"/>
      <c r="J47" s="7"/>
      <c r="K47" s="7" t="s">
        <v>26</v>
      </c>
      <c r="L47" s="7">
        <v>40.5</v>
      </c>
      <c r="M47" s="7">
        <v>40</v>
      </c>
      <c r="N47" s="7">
        <v>41.5</v>
      </c>
      <c r="O47" s="7">
        <v>40</v>
      </c>
      <c r="P47" s="7"/>
      <c r="Q47" s="76"/>
      <c r="R47" s="7"/>
      <c r="S47" s="7"/>
      <c r="T47" s="7"/>
      <c r="U47" s="7"/>
      <c r="V47" s="7"/>
      <c r="W47" s="74"/>
      <c r="X47" s="7"/>
      <c r="Y47" s="7"/>
      <c r="Z47" s="7"/>
      <c r="AA47" s="15"/>
    </row>
    <row r="48" spans="1:63" x14ac:dyDescent="0.25">
      <c r="A48" s="6" t="s">
        <v>27</v>
      </c>
      <c r="B48" s="7"/>
      <c r="C48" s="7"/>
      <c r="D48" s="27">
        <v>15</v>
      </c>
      <c r="E48" s="27">
        <v>10</v>
      </c>
      <c r="F48" s="27">
        <v>25</v>
      </c>
      <c r="G48" s="27">
        <v>10</v>
      </c>
      <c r="H48" s="15"/>
      <c r="I48" s="7"/>
      <c r="J48" s="7"/>
      <c r="K48" s="7" t="s">
        <v>31</v>
      </c>
      <c r="L48" s="7"/>
      <c r="M48" s="7"/>
      <c r="N48" s="7"/>
      <c r="O48" s="7"/>
      <c r="P48" s="7"/>
      <c r="Q48" s="75" t="s">
        <v>70</v>
      </c>
      <c r="R48" s="79" t="s">
        <v>71</v>
      </c>
      <c r="S48" s="7"/>
      <c r="T48" s="7"/>
      <c r="U48" s="7"/>
      <c r="V48" s="7"/>
      <c r="W48" s="74"/>
      <c r="X48" s="7"/>
      <c r="Y48" s="7"/>
      <c r="Z48" s="7"/>
      <c r="AA48" s="15"/>
    </row>
    <row r="49" spans="1:27" x14ac:dyDescent="0.25">
      <c r="A49" s="6" t="s">
        <v>28</v>
      </c>
      <c r="B49" s="7"/>
      <c r="C49" s="7"/>
      <c r="D49" s="28">
        <v>20.100000000000001</v>
      </c>
      <c r="E49" s="28">
        <v>19.7</v>
      </c>
      <c r="F49" s="28">
        <v>27.1</v>
      </c>
      <c r="G49" s="28">
        <v>16.399999999999999</v>
      </c>
      <c r="H49" s="15"/>
      <c r="I49" s="7"/>
      <c r="J49" s="7"/>
      <c r="K49" s="7"/>
      <c r="L49" s="7"/>
      <c r="M49" s="7"/>
      <c r="N49" s="7"/>
      <c r="O49" s="7"/>
      <c r="X49" s="7"/>
      <c r="Y49" s="7"/>
      <c r="Z49" s="7"/>
      <c r="AA49" s="15"/>
    </row>
    <row r="50" spans="1:27" ht="12.75" thickBot="1" x14ac:dyDescent="0.3">
      <c r="A50" s="80"/>
      <c r="B50" s="81"/>
      <c r="C50" s="81"/>
      <c r="D50" s="81"/>
      <c r="E50" s="81"/>
      <c r="F50" s="81"/>
      <c r="G50" s="81"/>
      <c r="H50" s="82"/>
      <c r="I50" s="81"/>
      <c r="J50" s="81"/>
      <c r="K50" s="81"/>
      <c r="L50" s="81"/>
      <c r="M50" s="81"/>
      <c r="N50" s="81"/>
      <c r="O50" s="81"/>
      <c r="P50" s="81"/>
      <c r="Q50" s="83"/>
      <c r="R50" s="81"/>
      <c r="S50" s="81"/>
      <c r="T50" s="81"/>
      <c r="U50" s="81"/>
      <c r="V50" s="81"/>
      <c r="W50" s="81"/>
      <c r="X50" s="81"/>
      <c r="Y50" s="81"/>
      <c r="Z50" s="81"/>
      <c r="AA50" s="82"/>
    </row>
    <row r="51" spans="1:27" x14ac:dyDescent="0.25">
      <c r="K51" s="58"/>
    </row>
    <row r="52" spans="1:27" x14ac:dyDescent="0.25">
      <c r="K52" s="58"/>
    </row>
    <row r="53" spans="1:27" x14ac:dyDescent="0.25">
      <c r="K53" s="29"/>
    </row>
    <row r="54" spans="1:27" x14ac:dyDescent="0.25">
      <c r="K54" s="48"/>
    </row>
    <row r="60" spans="1:27" x14ac:dyDescent="0.25">
      <c r="K60" s="49"/>
    </row>
    <row r="61" spans="1:27" x14ac:dyDescent="0.25">
      <c r="K61" s="49"/>
    </row>
    <row r="80" spans="11:11" x14ac:dyDescent="0.25">
      <c r="K80" s="49"/>
    </row>
    <row r="81" spans="11:14" x14ac:dyDescent="0.25">
      <c r="K81" s="49"/>
    </row>
    <row r="82" spans="11:14" x14ac:dyDescent="0.25">
      <c r="K82" s="49"/>
    </row>
    <row r="83" spans="11:14" x14ac:dyDescent="0.25">
      <c r="K83" s="49"/>
    </row>
    <row r="84" spans="11:14" x14ac:dyDescent="0.25">
      <c r="K84" s="49"/>
    </row>
    <row r="85" spans="11:14" x14ac:dyDescent="0.25">
      <c r="K85" s="49"/>
    </row>
    <row r="86" spans="11:14" x14ac:dyDescent="0.25">
      <c r="K86" s="49"/>
    </row>
    <row r="87" spans="11:14" x14ac:dyDescent="0.25">
      <c r="K87" s="49"/>
    </row>
    <row r="88" spans="11:14" x14ac:dyDescent="0.25">
      <c r="K88" s="49"/>
    </row>
    <row r="89" spans="11:14" x14ac:dyDescent="0.25">
      <c r="K89" s="49"/>
    </row>
    <row r="90" spans="11:14" x14ac:dyDescent="0.25">
      <c r="K90" s="49"/>
    </row>
    <row r="91" spans="11:14" x14ac:dyDescent="0.25">
      <c r="K91" s="49"/>
      <c r="N91" s="26"/>
    </row>
    <row r="92" spans="11:14" x14ac:dyDescent="0.25">
      <c r="K92" s="49"/>
    </row>
    <row r="93" spans="11:14" x14ac:dyDescent="0.25">
      <c r="K93" s="49"/>
    </row>
    <row r="94" spans="11:14" x14ac:dyDescent="0.25">
      <c r="K9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M94"/>
  <sheetViews>
    <sheetView zoomScale="90" zoomScaleNormal="90" workbookViewId="0">
      <selection activeCell="I6" sqref="I6"/>
    </sheetView>
  </sheetViews>
  <sheetFormatPr defaultColWidth="8.85546875" defaultRowHeight="12" x14ac:dyDescent="0.25"/>
  <cols>
    <col min="1" max="15" width="5" style="1" customWidth="1"/>
    <col min="16" max="16" width="7.85546875" style="1" customWidth="1"/>
    <col min="17" max="17" width="5" style="2" customWidth="1"/>
    <col min="18" max="27" width="5" style="1" customWidth="1"/>
    <col min="28" max="28" width="3" style="1" customWidth="1"/>
    <col min="29" max="34" width="6.42578125" style="1" customWidth="1"/>
    <col min="35" max="36" width="6.42578125" style="5" customWidth="1"/>
    <col min="37" max="43" width="6.42578125" style="1" customWidth="1"/>
    <col min="44" max="45" width="6.42578125" style="5" customWidth="1"/>
    <col min="46" max="52" width="6.42578125" style="1" customWidth="1"/>
    <col min="53" max="54" width="6.42578125" style="5" customWidth="1"/>
    <col min="55" max="61" width="6.42578125" style="1" customWidth="1"/>
    <col min="62" max="62" width="6.42578125" style="5" customWidth="1"/>
    <col min="63" max="63" width="7.5703125" style="1" customWidth="1"/>
    <col min="64" max="16384" width="8.85546875" style="1"/>
  </cols>
  <sheetData>
    <row r="1" spans="1:65" x14ac:dyDescent="0.25">
      <c r="A1" s="1" t="s">
        <v>13</v>
      </c>
      <c r="Q1" s="49" t="s">
        <v>76</v>
      </c>
      <c r="AB1" s="3"/>
      <c r="AC1" s="4" t="s">
        <v>77</v>
      </c>
      <c r="AD1" s="4"/>
      <c r="AE1" s="4"/>
      <c r="AO1" s="1" t="s">
        <v>79</v>
      </c>
      <c r="AR1" s="1"/>
      <c r="AS1" s="1"/>
      <c r="BA1" s="1"/>
      <c r="BB1" s="1"/>
    </row>
    <row r="2" spans="1:65" ht="12.75" thickBot="1" x14ac:dyDescent="0.3">
      <c r="AB2" s="6"/>
      <c r="AC2" s="23">
        <v>0.1</v>
      </c>
      <c r="AD2" s="7" t="s">
        <v>78</v>
      </c>
      <c r="AR2" s="1"/>
      <c r="AS2" s="1"/>
      <c r="BA2" s="1"/>
      <c r="BB2" s="1"/>
    </row>
    <row r="3" spans="1:65" x14ac:dyDescent="0.25">
      <c r="A3" s="3"/>
      <c r="B3" s="4"/>
      <c r="C3" s="4"/>
      <c r="D3" s="4"/>
      <c r="E3" s="4"/>
      <c r="F3" s="4"/>
      <c r="G3" s="4"/>
      <c r="H3" s="9"/>
      <c r="I3" s="4"/>
      <c r="J3" s="4"/>
      <c r="K3" s="4"/>
      <c r="L3" s="4"/>
      <c r="M3" s="4"/>
      <c r="N3" s="4"/>
      <c r="O3" s="4"/>
      <c r="P3" s="4"/>
      <c r="Q3" s="84" t="s">
        <v>16</v>
      </c>
      <c r="R3" s="4"/>
      <c r="S3" s="4"/>
      <c r="T3" s="4"/>
      <c r="U3" s="4"/>
      <c r="V3" s="4"/>
      <c r="W3" s="4"/>
      <c r="X3" s="4"/>
      <c r="Y3" s="4"/>
      <c r="Z3" s="4"/>
      <c r="AA3" s="9"/>
      <c r="AB3" s="7"/>
      <c r="AC3" s="7" t="s">
        <v>18</v>
      </c>
      <c r="AD3" s="7"/>
      <c r="AN3" s="1">
        <f>SUM(AN7:AN20)</f>
        <v>80</v>
      </c>
      <c r="AR3" s="1"/>
      <c r="AS3" s="1"/>
      <c r="AW3" s="1">
        <f>SUM(AW7:AW20)</f>
        <v>79</v>
      </c>
      <c r="BA3" s="1"/>
      <c r="BB3" s="1"/>
      <c r="BF3" s="1">
        <f>SUM(BF7:BF20)</f>
        <v>82</v>
      </c>
    </row>
    <row r="4" spans="1:65" x14ac:dyDescent="0.25">
      <c r="A4" s="6"/>
      <c r="B4" s="7" t="s">
        <v>80</v>
      </c>
      <c r="C4" s="7"/>
      <c r="D4" s="7"/>
      <c r="E4" s="7"/>
      <c r="F4" s="7"/>
      <c r="G4" s="7"/>
      <c r="H4" s="15"/>
      <c r="I4" s="7"/>
      <c r="J4" s="7" t="s">
        <v>14</v>
      </c>
      <c r="K4" s="7"/>
      <c r="L4" s="7"/>
      <c r="M4" s="7"/>
      <c r="N4" s="7"/>
      <c r="O4" s="7"/>
      <c r="P4" s="7"/>
      <c r="Q4" s="75" t="s">
        <v>17</v>
      </c>
      <c r="R4" s="7">
        <v>1</v>
      </c>
      <c r="S4" s="7"/>
      <c r="T4" s="7"/>
      <c r="U4" s="7"/>
      <c r="V4" s="7"/>
      <c r="W4" s="7"/>
      <c r="X4" s="7"/>
      <c r="Y4" s="7"/>
      <c r="Z4" s="7"/>
      <c r="AA4" s="15"/>
      <c r="AB4" s="7"/>
      <c r="AC4" s="7"/>
      <c r="AD4" s="7"/>
      <c r="AE4" s="7"/>
    </row>
    <row r="5" spans="1:65" x14ac:dyDescent="0.25">
      <c r="A5" s="6"/>
      <c r="B5" s="7" t="s">
        <v>15</v>
      </c>
      <c r="C5" s="7"/>
      <c r="D5" s="7"/>
      <c r="E5" s="7"/>
      <c r="F5" s="7"/>
      <c r="G5" s="7"/>
      <c r="H5" s="15"/>
      <c r="I5" s="7"/>
      <c r="J5" s="7" t="s">
        <v>15</v>
      </c>
      <c r="K5" s="7"/>
      <c r="L5" s="7"/>
      <c r="M5" s="7"/>
      <c r="N5" s="7"/>
      <c r="O5" s="7"/>
      <c r="P5" s="7"/>
      <c r="Q5" s="75" t="s">
        <v>45</v>
      </c>
      <c r="R5" s="7">
        <v>12</v>
      </c>
      <c r="S5" s="7" t="s">
        <v>44</v>
      </c>
      <c r="T5" s="7"/>
      <c r="U5" s="7"/>
      <c r="V5" s="7"/>
      <c r="W5" s="7"/>
      <c r="X5" s="7"/>
      <c r="Y5" s="7"/>
      <c r="Z5" s="7"/>
      <c r="AA5" s="15"/>
      <c r="AB5" s="76"/>
      <c r="AC5" s="8"/>
      <c r="AD5" s="8"/>
      <c r="AE5" s="8">
        <v>10</v>
      </c>
      <c r="AL5" s="8"/>
      <c r="AM5" s="8"/>
      <c r="AN5" s="8">
        <v>10</v>
      </c>
      <c r="AU5" s="8"/>
      <c r="AV5" s="8"/>
      <c r="AW5" s="8">
        <v>10</v>
      </c>
      <c r="BD5" s="8"/>
      <c r="BE5" s="8"/>
      <c r="BF5" s="8">
        <v>10</v>
      </c>
    </row>
    <row r="6" spans="1:65" x14ac:dyDescent="0.25">
      <c r="A6" s="6"/>
      <c r="B6" s="7"/>
      <c r="C6" s="7"/>
      <c r="D6" s="7"/>
      <c r="E6" s="7"/>
      <c r="F6" s="7"/>
      <c r="G6" s="7"/>
      <c r="H6" s="15"/>
      <c r="I6" s="7"/>
      <c r="J6" s="7"/>
      <c r="K6" s="7"/>
      <c r="L6" s="7"/>
      <c r="M6" s="7"/>
      <c r="N6" s="7"/>
      <c r="O6" s="7"/>
      <c r="P6" s="7"/>
      <c r="Q6" s="75" t="s">
        <v>46</v>
      </c>
      <c r="R6" s="7">
        <v>1</v>
      </c>
      <c r="S6" s="7" t="s">
        <v>47</v>
      </c>
      <c r="T6" s="7"/>
      <c r="U6" s="7"/>
      <c r="V6" s="7"/>
      <c r="W6" s="7"/>
      <c r="X6" s="7"/>
      <c r="Y6" s="7"/>
      <c r="Z6" s="7"/>
      <c r="AA6" s="15"/>
      <c r="AB6" s="7"/>
      <c r="AC6" s="11" t="s">
        <v>19</v>
      </c>
      <c r="AD6" s="11" t="s">
        <v>293</v>
      </c>
      <c r="AE6" s="530" t="s">
        <v>3</v>
      </c>
      <c r="AF6" s="7"/>
      <c r="AI6" s="5" t="s">
        <v>20</v>
      </c>
      <c r="AL6" s="11" t="s">
        <v>19</v>
      </c>
      <c r="AM6" s="11" t="s">
        <v>293</v>
      </c>
      <c r="AN6" s="527" t="s">
        <v>0</v>
      </c>
      <c r="AO6" s="7"/>
      <c r="AR6" s="5" t="s">
        <v>20</v>
      </c>
      <c r="AU6" s="11" t="s">
        <v>19</v>
      </c>
      <c r="AV6" s="11" t="s">
        <v>293</v>
      </c>
      <c r="AW6" s="528" t="s">
        <v>1</v>
      </c>
      <c r="BA6" s="5" t="s">
        <v>20</v>
      </c>
      <c r="BD6" s="11" t="s">
        <v>19</v>
      </c>
      <c r="BE6" s="11" t="s">
        <v>293</v>
      </c>
      <c r="BF6" s="529" t="s">
        <v>2</v>
      </c>
      <c r="BJ6" s="5" t="s">
        <v>20</v>
      </c>
    </row>
    <row r="7" spans="1:65" x14ac:dyDescent="0.25">
      <c r="A7" s="6"/>
      <c r="B7" s="7" t="s">
        <v>18</v>
      </c>
      <c r="C7" s="7"/>
      <c r="D7" s="7"/>
      <c r="E7" s="7"/>
      <c r="F7" s="7"/>
      <c r="G7" s="7"/>
      <c r="H7" s="15"/>
      <c r="I7" s="7"/>
      <c r="J7" s="7" t="s">
        <v>18</v>
      </c>
      <c r="K7" s="7"/>
      <c r="L7" s="7"/>
      <c r="M7" s="7"/>
      <c r="N7" s="7"/>
      <c r="O7" s="7"/>
      <c r="P7" s="7"/>
      <c r="Q7" s="75"/>
      <c r="R7" s="7"/>
      <c r="S7" s="7"/>
      <c r="T7" s="7"/>
      <c r="U7" s="7"/>
      <c r="V7" s="7"/>
      <c r="W7" s="7"/>
      <c r="X7" s="7"/>
      <c r="Y7" s="7"/>
      <c r="Z7" s="7"/>
      <c r="AA7" s="15"/>
      <c r="AB7" s="7"/>
      <c r="AC7" s="8">
        <v>0</v>
      </c>
      <c r="AD7" s="531">
        <f>AC7/100</f>
        <v>0</v>
      </c>
      <c r="AE7" s="8">
        <v>1</v>
      </c>
      <c r="AF7" s="1">
        <f>SUM(AE7:AE$19)</f>
        <v>79</v>
      </c>
      <c r="AG7" s="48">
        <f>AF7/AF$7</f>
        <v>1</v>
      </c>
      <c r="AH7" s="17">
        <f>1-AG7</f>
        <v>0</v>
      </c>
      <c r="AL7" s="8">
        <v>0</v>
      </c>
      <c r="AM7" s="531">
        <f>AL7/100</f>
        <v>0</v>
      </c>
      <c r="AN7" s="8">
        <v>3</v>
      </c>
      <c r="AO7" s="7">
        <f>SUM(AN7:AN$19)</f>
        <v>80</v>
      </c>
      <c r="AP7" s="48">
        <f>AO7/AO$7</f>
        <v>1</v>
      </c>
      <c r="AQ7" s="17">
        <f>1-AP7</f>
        <v>0</v>
      </c>
      <c r="AU7" s="8">
        <v>0</v>
      </c>
      <c r="AV7" s="531">
        <f>AU7/100</f>
        <v>0</v>
      </c>
      <c r="AW7" s="8">
        <v>1</v>
      </c>
      <c r="AX7" s="1">
        <f>SUM(AW7:AW$19)</f>
        <v>79</v>
      </c>
      <c r="AY7" s="48">
        <f>AX7/AX$7</f>
        <v>1</v>
      </c>
      <c r="AZ7" s="17">
        <f>1-AY7</f>
        <v>0</v>
      </c>
      <c r="BD7" s="8">
        <v>0</v>
      </c>
      <c r="BE7" s="531">
        <f>BD7/100</f>
        <v>0</v>
      </c>
      <c r="BF7" s="8">
        <v>2</v>
      </c>
      <c r="BG7" s="1">
        <f>SUM(BF7:BF$19)</f>
        <v>82</v>
      </c>
      <c r="BH7" s="48">
        <f>BG7/BG$7</f>
        <v>1</v>
      </c>
      <c r="BI7" s="17">
        <f>1-BH7</f>
        <v>0</v>
      </c>
    </row>
    <row r="8" spans="1:65" x14ac:dyDescent="0.25">
      <c r="A8" s="6"/>
      <c r="B8" s="8"/>
      <c r="C8" s="8"/>
      <c r="D8" s="8">
        <v>10</v>
      </c>
      <c r="E8" s="8">
        <v>10</v>
      </c>
      <c r="F8" s="8">
        <v>10</v>
      </c>
      <c r="G8" s="8">
        <v>10</v>
      </c>
      <c r="H8" s="15"/>
      <c r="I8" s="7"/>
      <c r="J8" s="8"/>
      <c r="K8" s="8"/>
      <c r="L8" s="8">
        <v>10</v>
      </c>
      <c r="M8" s="8">
        <v>10</v>
      </c>
      <c r="N8" s="8">
        <v>10</v>
      </c>
      <c r="O8" s="8">
        <v>10</v>
      </c>
      <c r="P8" s="7"/>
      <c r="Q8" s="74" t="s">
        <v>23</v>
      </c>
      <c r="R8" s="7"/>
      <c r="S8" s="7"/>
      <c r="T8" s="7"/>
      <c r="U8" s="7"/>
      <c r="V8" s="7"/>
      <c r="W8" s="7"/>
      <c r="X8" s="7"/>
      <c r="Y8" s="7"/>
      <c r="Z8" s="7"/>
      <c r="AA8" s="15"/>
      <c r="AB8" s="7"/>
      <c r="AC8" s="8">
        <f>$AC$2</f>
        <v>0.1</v>
      </c>
      <c r="AD8" s="531">
        <f t="shared" ref="AD8:AD19" si="0">AC8/100</f>
        <v>1E-3</v>
      </c>
      <c r="AE8" s="8">
        <v>18</v>
      </c>
      <c r="AF8" s="1">
        <f>SUM(AE8:AE$19)</f>
        <v>78</v>
      </c>
      <c r="AG8" s="48">
        <f t="shared" ref="AG8:AG19" si="1">AF8/AF$7</f>
        <v>0.98734177215189878</v>
      </c>
      <c r="AH8" s="60">
        <f t="shared" ref="AH8:AH19" si="2">1-AG8</f>
        <v>1.2658227848101222E-2</v>
      </c>
      <c r="AI8" s="61">
        <f>SUM(AE$7:AE7)</f>
        <v>1</v>
      </c>
      <c r="AJ8" s="61"/>
      <c r="AK8" s="59"/>
      <c r="AL8" s="8">
        <f>$AC$2</f>
        <v>0.1</v>
      </c>
      <c r="AM8" s="531">
        <f t="shared" ref="AM8:AM19" si="3">AL8/100</f>
        <v>1E-3</v>
      </c>
      <c r="AN8" s="8">
        <v>11</v>
      </c>
      <c r="AO8" s="7">
        <f>SUM(AN8:AN$19)</f>
        <v>77</v>
      </c>
      <c r="AP8" s="48">
        <f t="shared" ref="AP8:AP19" si="4">AO8/AO$7</f>
        <v>0.96250000000000002</v>
      </c>
      <c r="AQ8" s="60">
        <f t="shared" ref="AQ8:AQ19" si="5">1-AP8</f>
        <v>3.7499999999999978E-2</v>
      </c>
      <c r="AR8" s="61">
        <f>SUM(AN$7:AN7)</f>
        <v>3</v>
      </c>
      <c r="AS8" s="61"/>
      <c r="AT8" s="59"/>
      <c r="AU8" s="8">
        <f>$AC$2</f>
        <v>0.1</v>
      </c>
      <c r="AV8" s="531">
        <f t="shared" ref="AV8:AV19" si="6">AU8/100</f>
        <v>1E-3</v>
      </c>
      <c r="AW8" s="8">
        <v>2</v>
      </c>
      <c r="AX8" s="1">
        <f>SUM(AW8:AW$19)</f>
        <v>78</v>
      </c>
      <c r="AY8" s="48">
        <f t="shared" ref="AY8:AY19" si="7">AX8/AX$7</f>
        <v>0.98734177215189878</v>
      </c>
      <c r="AZ8" s="60">
        <f t="shared" ref="AZ8:AZ19" si="8">1-AY8</f>
        <v>1.2658227848101222E-2</v>
      </c>
      <c r="BA8" s="61">
        <f>SUM(AW$7:AW7)</f>
        <v>1</v>
      </c>
      <c r="BB8" s="61"/>
      <c r="BC8" s="59"/>
      <c r="BD8" s="8">
        <f>$AC$2</f>
        <v>0.1</v>
      </c>
      <c r="BE8" s="531">
        <f t="shared" ref="BE8:BE19" si="9">BD8/100</f>
        <v>1E-3</v>
      </c>
      <c r="BF8" s="8">
        <v>7</v>
      </c>
      <c r="BG8" s="1">
        <f>SUM(BF8:BF$19)</f>
        <v>80</v>
      </c>
      <c r="BH8" s="48">
        <f t="shared" ref="BH8:BH19" si="10">BG8/BG$7</f>
        <v>0.97560975609756095</v>
      </c>
      <c r="BI8" s="60">
        <f t="shared" ref="BI8:BI17" si="11">1-BH8</f>
        <v>2.4390243902439046E-2</v>
      </c>
      <c r="BJ8" s="61">
        <f>SUM(BF$7:BF7)</f>
        <v>2</v>
      </c>
      <c r="BK8" s="59"/>
      <c r="BL8" s="59"/>
      <c r="BM8" s="59"/>
    </row>
    <row r="9" spans="1:65" x14ac:dyDescent="0.25">
      <c r="A9" s="10"/>
      <c r="B9" s="11" t="s">
        <v>19</v>
      </c>
      <c r="C9" s="11" t="s">
        <v>21</v>
      </c>
      <c r="D9" s="527" t="s">
        <v>0</v>
      </c>
      <c r="E9" s="528" t="s">
        <v>1</v>
      </c>
      <c r="F9" s="529" t="s">
        <v>2</v>
      </c>
      <c r="G9" s="530" t="s">
        <v>3</v>
      </c>
      <c r="H9" s="19"/>
      <c r="I9" s="7"/>
      <c r="J9" s="11" t="s">
        <v>19</v>
      </c>
      <c r="K9" s="11" t="s">
        <v>21</v>
      </c>
      <c r="L9" s="527" t="s">
        <v>0</v>
      </c>
      <c r="M9" s="528" t="s">
        <v>1</v>
      </c>
      <c r="N9" s="529" t="s">
        <v>2</v>
      </c>
      <c r="O9" s="530" t="s">
        <v>3</v>
      </c>
      <c r="P9" s="7"/>
      <c r="Q9" s="75" t="s">
        <v>58</v>
      </c>
      <c r="R9" s="7">
        <v>3</v>
      </c>
      <c r="S9" s="7" t="s">
        <v>59</v>
      </c>
      <c r="T9" s="7"/>
      <c r="U9" s="7"/>
      <c r="V9" s="7"/>
      <c r="W9" s="75"/>
      <c r="X9" s="7"/>
      <c r="Y9" s="7"/>
      <c r="Z9" s="7"/>
      <c r="AA9" s="15"/>
      <c r="AB9" s="7"/>
      <c r="AC9" s="22">
        <v>10</v>
      </c>
      <c r="AD9" s="532">
        <f t="shared" si="0"/>
        <v>0.1</v>
      </c>
      <c r="AE9" s="22">
        <v>16</v>
      </c>
      <c r="AF9" s="1">
        <f>SUM(AE9:AE$19)</f>
        <v>60</v>
      </c>
      <c r="AG9" s="48">
        <f t="shared" si="1"/>
        <v>0.759493670886076</v>
      </c>
      <c r="AH9" s="60">
        <f t="shared" si="2"/>
        <v>0.240506329113924</v>
      </c>
      <c r="AI9" s="61">
        <f>SUM(AE$7:AE8)</f>
        <v>19</v>
      </c>
      <c r="AJ9" s="25"/>
      <c r="AK9" s="59"/>
      <c r="AL9" s="18">
        <v>6</v>
      </c>
      <c r="AM9" s="535">
        <f t="shared" si="3"/>
        <v>0.06</v>
      </c>
      <c r="AN9" s="18">
        <v>3</v>
      </c>
      <c r="AO9" s="7">
        <f>SUM(AN9:AN$19)</f>
        <v>66</v>
      </c>
      <c r="AP9" s="48">
        <f t="shared" si="4"/>
        <v>0.82499999999999996</v>
      </c>
      <c r="AQ9" s="60">
        <f t="shared" si="5"/>
        <v>0.17500000000000004</v>
      </c>
      <c r="AR9" s="61">
        <f>SUM(AN$7:AN8)</f>
        <v>14</v>
      </c>
      <c r="AS9" s="61"/>
      <c r="AT9" s="59"/>
      <c r="AU9" s="8">
        <v>4</v>
      </c>
      <c r="AV9" s="531">
        <f t="shared" si="6"/>
        <v>0.04</v>
      </c>
      <c r="AW9" s="8">
        <v>13</v>
      </c>
      <c r="AX9" s="1">
        <f>SUM(AW9:AW$19)</f>
        <v>76</v>
      </c>
      <c r="AY9" s="48">
        <f t="shared" si="7"/>
        <v>0.96202531645569622</v>
      </c>
      <c r="AZ9" s="60">
        <f t="shared" si="8"/>
        <v>3.7974683544303778E-2</v>
      </c>
      <c r="BA9" s="61">
        <f>SUM(AW$7:AW8)</f>
        <v>3</v>
      </c>
      <c r="BB9" s="61"/>
      <c r="BC9" s="59"/>
      <c r="BD9" s="18">
        <v>4</v>
      </c>
      <c r="BE9" s="535">
        <f t="shared" si="9"/>
        <v>0.04</v>
      </c>
      <c r="BF9" s="18">
        <v>2</v>
      </c>
      <c r="BG9" s="1">
        <f>SUM(BF9:BF$19)</f>
        <v>73</v>
      </c>
      <c r="BH9" s="48">
        <f t="shared" si="10"/>
        <v>0.8902439024390244</v>
      </c>
      <c r="BI9" s="60">
        <f t="shared" si="11"/>
        <v>0.1097560975609756</v>
      </c>
      <c r="BJ9" s="61">
        <f>SUM(BF$7:BF8)</f>
        <v>9</v>
      </c>
      <c r="BK9" s="59"/>
      <c r="BL9" s="59"/>
      <c r="BM9" s="59"/>
    </row>
    <row r="10" spans="1:65" x14ac:dyDescent="0.25">
      <c r="A10" s="6"/>
      <c r="B10" s="8">
        <v>0</v>
      </c>
      <c r="C10" s="8">
        <v>0</v>
      </c>
      <c r="D10" s="8">
        <v>3</v>
      </c>
      <c r="E10" s="8">
        <v>1</v>
      </c>
      <c r="F10" s="8">
        <v>2</v>
      </c>
      <c r="G10" s="8">
        <v>1</v>
      </c>
      <c r="H10" s="15"/>
      <c r="I10" s="7"/>
      <c r="J10" s="8">
        <v>0</v>
      </c>
      <c r="K10" s="8">
        <v>0</v>
      </c>
      <c r="L10" s="8">
        <f>SUM(D10:D$21)</f>
        <v>80</v>
      </c>
      <c r="M10" s="8">
        <f>SUM(E10:E$21)</f>
        <v>79</v>
      </c>
      <c r="N10" s="8">
        <f>SUM(F10:F$21)</f>
        <v>82</v>
      </c>
      <c r="O10" s="8">
        <f>SUM(G10:G$21)</f>
        <v>79</v>
      </c>
      <c r="P10" s="7"/>
      <c r="Q10" s="78">
        <v>0</v>
      </c>
      <c r="R10" s="7">
        <v>1</v>
      </c>
      <c r="S10" s="7"/>
      <c r="T10" s="7"/>
      <c r="U10" s="7"/>
      <c r="V10" s="7"/>
      <c r="W10" s="75"/>
      <c r="X10" s="7"/>
      <c r="Y10" s="7"/>
      <c r="Z10" s="7"/>
      <c r="AA10" s="15"/>
      <c r="AB10" s="7"/>
      <c r="AC10" s="8">
        <v>20</v>
      </c>
      <c r="AD10" s="533">
        <f t="shared" si="0"/>
        <v>0.2</v>
      </c>
      <c r="AE10" s="20">
        <v>12</v>
      </c>
      <c r="AF10" s="1">
        <f>SUM(AE10:AE$19)</f>
        <v>44</v>
      </c>
      <c r="AG10" s="48">
        <f t="shared" si="1"/>
        <v>0.55696202531645567</v>
      </c>
      <c r="AH10" s="60">
        <f t="shared" si="2"/>
        <v>0.44303797468354433</v>
      </c>
      <c r="AI10" s="61">
        <f>SUM(AE$7:AE9)</f>
        <v>35</v>
      </c>
      <c r="AJ10" s="25"/>
      <c r="AK10" s="59"/>
      <c r="AL10" s="22">
        <v>10</v>
      </c>
      <c r="AM10" s="532">
        <f t="shared" si="3"/>
        <v>0.1</v>
      </c>
      <c r="AN10" s="22">
        <v>18</v>
      </c>
      <c r="AO10" s="7">
        <f>SUM(AN10:AN$19)</f>
        <v>63</v>
      </c>
      <c r="AP10" s="48">
        <f t="shared" si="4"/>
        <v>0.78749999999999998</v>
      </c>
      <c r="AQ10" s="60">
        <f t="shared" si="5"/>
        <v>0.21250000000000002</v>
      </c>
      <c r="AR10" s="61">
        <f>SUM(AN$7:AN9)</f>
        <v>17</v>
      </c>
      <c r="AS10" s="25"/>
      <c r="AT10" s="59"/>
      <c r="AU10" s="22">
        <v>10</v>
      </c>
      <c r="AV10" s="532">
        <f t="shared" si="6"/>
        <v>0.1</v>
      </c>
      <c r="AW10" s="22">
        <v>14</v>
      </c>
      <c r="AX10" s="1">
        <f>SUM(AW10:AW$19)</f>
        <v>63</v>
      </c>
      <c r="AY10" s="48">
        <f t="shared" si="7"/>
        <v>0.79746835443037978</v>
      </c>
      <c r="AZ10" s="60">
        <f t="shared" si="8"/>
        <v>0.20253164556962022</v>
      </c>
      <c r="BA10" s="61">
        <f>SUM(AW$7:AW9)</f>
        <v>16</v>
      </c>
      <c r="BB10" s="25"/>
      <c r="BC10" s="59"/>
      <c r="BD10" s="22">
        <v>10</v>
      </c>
      <c r="BE10" s="532">
        <f t="shared" si="9"/>
        <v>0.1</v>
      </c>
      <c r="BF10" s="22">
        <v>12</v>
      </c>
      <c r="BG10" s="1">
        <f>SUM(BF10:BF$19)</f>
        <v>71</v>
      </c>
      <c r="BH10" s="48">
        <f t="shared" si="10"/>
        <v>0.86585365853658536</v>
      </c>
      <c r="BI10" s="60">
        <f t="shared" si="11"/>
        <v>0.13414634146341464</v>
      </c>
      <c r="BJ10" s="61">
        <f>SUM(BF$7:BF9)</f>
        <v>11</v>
      </c>
      <c r="BK10" s="25"/>
      <c r="BL10" s="59"/>
      <c r="BM10" s="59"/>
    </row>
    <row r="11" spans="1:65" x14ac:dyDescent="0.25">
      <c r="A11" s="6"/>
      <c r="B11" s="8">
        <v>0</v>
      </c>
      <c r="C11" s="8">
        <v>9</v>
      </c>
      <c r="D11" s="8">
        <v>14</v>
      </c>
      <c r="E11" s="8">
        <v>15</v>
      </c>
      <c r="F11" s="8">
        <v>9</v>
      </c>
      <c r="G11" s="8">
        <v>18</v>
      </c>
      <c r="H11" s="15"/>
      <c r="I11" s="7"/>
      <c r="J11" s="8">
        <v>0</v>
      </c>
      <c r="K11" s="8">
        <v>9</v>
      </c>
      <c r="L11" s="8">
        <f>SUM(D11:D$21)</f>
        <v>77</v>
      </c>
      <c r="M11" s="8">
        <f>SUM(E11:E$21)</f>
        <v>78</v>
      </c>
      <c r="N11" s="8">
        <f>SUM(F11:F$21)</f>
        <v>80</v>
      </c>
      <c r="O11" s="8">
        <f>SUM(G11:G$21)</f>
        <v>78</v>
      </c>
      <c r="P11" s="7"/>
      <c r="Q11" s="75" t="s">
        <v>61</v>
      </c>
      <c r="R11" s="7">
        <v>2</v>
      </c>
      <c r="S11" s="7"/>
      <c r="T11" s="7"/>
      <c r="U11" s="7"/>
      <c r="V11" s="7"/>
      <c r="W11" s="75"/>
      <c r="X11" s="7"/>
      <c r="Y11" s="7"/>
      <c r="Z11" s="7"/>
      <c r="AA11" s="15"/>
      <c r="AB11" s="7"/>
      <c r="AC11" s="8">
        <v>30</v>
      </c>
      <c r="AD11" s="531">
        <f t="shared" si="0"/>
        <v>0.3</v>
      </c>
      <c r="AE11" s="8">
        <v>8</v>
      </c>
      <c r="AF11" s="1">
        <f>SUM(AE11:AE$19)</f>
        <v>32</v>
      </c>
      <c r="AG11" s="48">
        <f t="shared" si="1"/>
        <v>0.4050632911392405</v>
      </c>
      <c r="AH11" s="60">
        <f t="shared" si="2"/>
        <v>0.59493670886075956</v>
      </c>
      <c r="AI11" s="61">
        <f>SUM(AE$7:AE10)</f>
        <v>47</v>
      </c>
      <c r="AJ11" s="25"/>
      <c r="AK11" s="59"/>
      <c r="AL11" s="8">
        <v>20</v>
      </c>
      <c r="AM11" s="533">
        <f t="shared" si="3"/>
        <v>0.2</v>
      </c>
      <c r="AN11" s="20">
        <v>8</v>
      </c>
      <c r="AO11" s="7">
        <f>SUM(AN11:AN$19)</f>
        <v>45</v>
      </c>
      <c r="AP11" s="48">
        <f t="shared" si="4"/>
        <v>0.5625</v>
      </c>
      <c r="AQ11" s="60">
        <f t="shared" si="5"/>
        <v>0.4375</v>
      </c>
      <c r="AR11" s="61">
        <f>SUM(AN$7:AN10)</f>
        <v>35</v>
      </c>
      <c r="AS11" s="25"/>
      <c r="AT11" s="59"/>
      <c r="AU11" s="8">
        <v>20</v>
      </c>
      <c r="AV11" s="533">
        <f t="shared" si="6"/>
        <v>0.2</v>
      </c>
      <c r="AW11" s="20">
        <v>13</v>
      </c>
      <c r="AX11" s="1">
        <f>SUM(AW11:AW$19)</f>
        <v>49</v>
      </c>
      <c r="AY11" s="48">
        <f t="shared" si="7"/>
        <v>0.620253164556962</v>
      </c>
      <c r="AZ11" s="60">
        <f t="shared" si="8"/>
        <v>0.379746835443038</v>
      </c>
      <c r="BA11" s="61">
        <f>SUM(AW$7:AW10)</f>
        <v>30</v>
      </c>
      <c r="BB11" s="25"/>
      <c r="BC11" s="59"/>
      <c r="BD11" s="8">
        <v>20</v>
      </c>
      <c r="BE11" s="532">
        <f t="shared" si="9"/>
        <v>0.2</v>
      </c>
      <c r="BF11" s="22">
        <v>10</v>
      </c>
      <c r="BG11" s="1">
        <f>SUM(BF11:BF$19)</f>
        <v>59</v>
      </c>
      <c r="BH11" s="48">
        <f t="shared" si="10"/>
        <v>0.71951219512195119</v>
      </c>
      <c r="BI11" s="60">
        <f t="shared" si="11"/>
        <v>0.28048780487804881</v>
      </c>
      <c r="BJ11" s="61">
        <f>SUM(BF$7:BF10)</f>
        <v>23</v>
      </c>
      <c r="BK11" s="25"/>
      <c r="BL11" s="59"/>
      <c r="BM11" s="59"/>
    </row>
    <row r="12" spans="1:65" x14ac:dyDescent="0.25">
      <c r="A12" s="6"/>
      <c r="B12" s="8">
        <f>C11+1</f>
        <v>10</v>
      </c>
      <c r="C12" s="8">
        <f>C11+10</f>
        <v>19</v>
      </c>
      <c r="D12" s="22">
        <v>18</v>
      </c>
      <c r="E12" s="22">
        <v>14</v>
      </c>
      <c r="F12" s="8">
        <v>12</v>
      </c>
      <c r="G12" s="22">
        <v>16</v>
      </c>
      <c r="H12" s="15"/>
      <c r="I12" s="7"/>
      <c r="J12" s="8">
        <f>K11+1</f>
        <v>10</v>
      </c>
      <c r="K12" s="8">
        <f>K11+10</f>
        <v>19</v>
      </c>
      <c r="L12" s="8">
        <f>SUM(D12:D$21)</f>
        <v>63</v>
      </c>
      <c r="M12" s="8">
        <f>SUM(E12:E$21)</f>
        <v>63</v>
      </c>
      <c r="N12" s="8">
        <f>SUM(F12:F$21)</f>
        <v>71</v>
      </c>
      <c r="O12" s="8">
        <f>SUM(G12:G$21)</f>
        <v>60</v>
      </c>
      <c r="P12" s="7"/>
      <c r="Q12" s="75" t="s">
        <v>60</v>
      </c>
      <c r="R12" s="7">
        <v>13</v>
      </c>
      <c r="S12" s="7" t="s">
        <v>53</v>
      </c>
      <c r="T12" s="7"/>
      <c r="U12" s="7"/>
      <c r="V12" s="7"/>
      <c r="W12" s="75"/>
      <c r="X12" s="7"/>
      <c r="Y12" s="7"/>
      <c r="Z12" s="7"/>
      <c r="AA12" s="15"/>
      <c r="AB12" s="7"/>
      <c r="AC12" s="8">
        <v>40</v>
      </c>
      <c r="AD12" s="531">
        <f t="shared" si="0"/>
        <v>0.4</v>
      </c>
      <c r="AE12" s="8">
        <v>1</v>
      </c>
      <c r="AF12" s="1">
        <f>SUM(AE12:AE$19)</f>
        <v>24</v>
      </c>
      <c r="AG12" s="48">
        <f t="shared" si="1"/>
        <v>0.30379746835443039</v>
      </c>
      <c r="AH12" s="60">
        <f t="shared" si="2"/>
        <v>0.69620253164556956</v>
      </c>
      <c r="AI12" s="61">
        <f>SUM(AE$7:AE11)</f>
        <v>55</v>
      </c>
      <c r="AJ12" s="25"/>
      <c r="AK12" s="59"/>
      <c r="AL12" s="8">
        <v>30</v>
      </c>
      <c r="AM12" s="531">
        <f t="shared" si="3"/>
        <v>0.3</v>
      </c>
      <c r="AN12" s="8">
        <v>8</v>
      </c>
      <c r="AO12" s="7">
        <f>SUM(AN12:AN$19)</f>
        <v>37</v>
      </c>
      <c r="AP12" s="48">
        <f t="shared" si="4"/>
        <v>0.46250000000000002</v>
      </c>
      <c r="AQ12" s="60">
        <f t="shared" si="5"/>
        <v>0.53749999999999998</v>
      </c>
      <c r="AR12" s="61">
        <f>SUM(AN$7:AN11)</f>
        <v>43</v>
      </c>
      <c r="AS12" s="25"/>
      <c r="AT12" s="59"/>
      <c r="AU12" s="8">
        <v>30</v>
      </c>
      <c r="AV12" s="531">
        <f t="shared" si="6"/>
        <v>0.3</v>
      </c>
      <c r="AW12" s="8">
        <v>4</v>
      </c>
      <c r="AX12" s="1">
        <f>SUM(AW12:AW$19)</f>
        <v>36</v>
      </c>
      <c r="AY12" s="48">
        <f t="shared" si="7"/>
        <v>0.45569620253164556</v>
      </c>
      <c r="AZ12" s="60">
        <f t="shared" si="8"/>
        <v>0.54430379746835444</v>
      </c>
      <c r="BA12" s="61">
        <f>SUM(AW$7:AW11)</f>
        <v>43</v>
      </c>
      <c r="BB12" s="25"/>
      <c r="BC12" s="59"/>
      <c r="BD12" s="8">
        <v>30</v>
      </c>
      <c r="BE12" s="531">
        <f t="shared" si="9"/>
        <v>0.3</v>
      </c>
      <c r="BF12" s="8">
        <v>4</v>
      </c>
      <c r="BG12" s="1">
        <f>SUM(BF12:BF$19)</f>
        <v>49</v>
      </c>
      <c r="BH12" s="48">
        <f t="shared" si="10"/>
        <v>0.59756097560975607</v>
      </c>
      <c r="BI12" s="60">
        <f t="shared" si="11"/>
        <v>0.40243902439024393</v>
      </c>
      <c r="BJ12" s="61">
        <f>SUM(BF$7:BF11)</f>
        <v>33</v>
      </c>
      <c r="BK12" s="25"/>
      <c r="BL12" s="59"/>
      <c r="BM12" s="59"/>
    </row>
    <row r="13" spans="1:65" x14ac:dyDescent="0.25">
      <c r="A13" s="6"/>
      <c r="B13" s="8">
        <f t="shared" ref="B13:B20" si="12">C12+1</f>
        <v>20</v>
      </c>
      <c r="C13" s="8">
        <f t="shared" ref="C13:C20" si="13">C12+10</f>
        <v>29</v>
      </c>
      <c r="D13" s="20">
        <v>8</v>
      </c>
      <c r="E13" s="20">
        <v>13</v>
      </c>
      <c r="F13" s="22">
        <v>10</v>
      </c>
      <c r="G13" s="20">
        <v>12</v>
      </c>
      <c r="H13" s="15"/>
      <c r="I13" s="7"/>
      <c r="J13" s="8">
        <f t="shared" ref="J13:J18" si="14">K12+1</f>
        <v>20</v>
      </c>
      <c r="K13" s="8">
        <f t="shared" ref="K13:K20" si="15">K12+10</f>
        <v>29</v>
      </c>
      <c r="L13" s="23">
        <f>SUM(D13:D$21)</f>
        <v>45</v>
      </c>
      <c r="M13" s="23">
        <f>SUM(E13:E$21)</f>
        <v>49</v>
      </c>
      <c r="N13" s="8">
        <f>SUM(F13:F$21)</f>
        <v>59</v>
      </c>
      <c r="O13" s="23">
        <f>SUM(G13:G$21)</f>
        <v>44</v>
      </c>
      <c r="P13" s="7"/>
      <c r="Q13" s="75" t="s">
        <v>62</v>
      </c>
      <c r="R13" s="7">
        <v>4</v>
      </c>
      <c r="S13" s="7"/>
      <c r="T13" s="7"/>
      <c r="U13" s="7"/>
      <c r="V13" s="7"/>
      <c r="W13" s="75"/>
      <c r="X13" s="7"/>
      <c r="Y13" s="7"/>
      <c r="Z13" s="7"/>
      <c r="AA13" s="15"/>
      <c r="AB13" s="7"/>
      <c r="AC13" s="24">
        <v>50</v>
      </c>
      <c r="AD13" s="534">
        <f t="shared" si="0"/>
        <v>0.5</v>
      </c>
      <c r="AE13" s="24">
        <v>12</v>
      </c>
      <c r="AF13" s="65">
        <f>SUM(AE13:AE$19)</f>
        <v>23</v>
      </c>
      <c r="AG13" s="520">
        <f t="shared" si="1"/>
        <v>0.29113924050632911</v>
      </c>
      <c r="AH13" s="62">
        <f t="shared" si="2"/>
        <v>0.70886075949367089</v>
      </c>
      <c r="AI13" s="63">
        <f>SUM(AE$7:AE12)</f>
        <v>56</v>
      </c>
      <c r="AJ13" s="64"/>
      <c r="AK13" s="59"/>
      <c r="AL13" s="8">
        <v>40</v>
      </c>
      <c r="AM13" s="531">
        <f t="shared" si="3"/>
        <v>0.4</v>
      </c>
      <c r="AN13" s="8">
        <v>4</v>
      </c>
      <c r="AO13" s="7">
        <f>SUM(AN13:AN$19)</f>
        <v>29</v>
      </c>
      <c r="AP13" s="48">
        <f t="shared" si="4"/>
        <v>0.36249999999999999</v>
      </c>
      <c r="AQ13" s="60">
        <f t="shared" si="5"/>
        <v>0.63749999999999996</v>
      </c>
      <c r="AR13" s="61">
        <f>SUM(AN$7:AN12)</f>
        <v>51</v>
      </c>
      <c r="AS13" s="25"/>
      <c r="AT13" s="59"/>
      <c r="AU13" s="8">
        <v>40</v>
      </c>
      <c r="AV13" s="531">
        <f t="shared" si="6"/>
        <v>0.4</v>
      </c>
      <c r="AW13" s="8">
        <v>7</v>
      </c>
      <c r="AX13" s="1">
        <f>SUM(AW13:AW$19)</f>
        <v>32</v>
      </c>
      <c r="AY13" s="48">
        <f t="shared" si="7"/>
        <v>0.4050632911392405</v>
      </c>
      <c r="AZ13" s="60">
        <f t="shared" si="8"/>
        <v>0.59493670886075956</v>
      </c>
      <c r="BA13" s="61">
        <f>SUM(AW$7:AW12)</f>
        <v>47</v>
      </c>
      <c r="BB13" s="25"/>
      <c r="BC13" s="59"/>
      <c r="BD13" s="8">
        <v>40</v>
      </c>
      <c r="BE13" s="533">
        <f t="shared" si="9"/>
        <v>0.4</v>
      </c>
      <c r="BF13" s="20">
        <v>5</v>
      </c>
      <c r="BG13" s="1">
        <f>SUM(BF13:BF$19)</f>
        <v>45</v>
      </c>
      <c r="BH13" s="48">
        <f t="shared" si="10"/>
        <v>0.54878048780487809</v>
      </c>
      <c r="BI13" s="60">
        <f t="shared" si="11"/>
        <v>0.45121951219512191</v>
      </c>
      <c r="BJ13" s="61">
        <f>SUM(BF$7:BF12)</f>
        <v>37</v>
      </c>
      <c r="BK13" s="25"/>
      <c r="BL13" s="59"/>
      <c r="BM13" s="59"/>
    </row>
    <row r="14" spans="1:65" x14ac:dyDescent="0.25">
      <c r="A14" s="6"/>
      <c r="B14" s="8">
        <f t="shared" si="12"/>
        <v>30</v>
      </c>
      <c r="C14" s="8">
        <f t="shared" si="13"/>
        <v>39</v>
      </c>
      <c r="D14" s="8">
        <v>8</v>
      </c>
      <c r="E14" s="8">
        <v>4</v>
      </c>
      <c r="F14" s="8">
        <v>4</v>
      </c>
      <c r="G14" s="8">
        <v>8</v>
      </c>
      <c r="H14" s="15"/>
      <c r="I14" s="7"/>
      <c r="J14" s="8">
        <f t="shared" si="14"/>
        <v>30</v>
      </c>
      <c r="K14" s="8">
        <f t="shared" si="15"/>
        <v>39</v>
      </c>
      <c r="L14" s="8">
        <f>SUM(D14:D$21)</f>
        <v>37</v>
      </c>
      <c r="M14" s="8">
        <f>SUM(E14:E$21)</f>
        <v>36</v>
      </c>
      <c r="N14" s="8">
        <f>SUM(F14:F$21)</f>
        <v>49</v>
      </c>
      <c r="O14" s="8">
        <f>SUM(G14:G$21)</f>
        <v>32</v>
      </c>
      <c r="P14" s="7"/>
      <c r="Q14" s="75" t="s">
        <v>63</v>
      </c>
      <c r="R14" s="7">
        <v>0</v>
      </c>
      <c r="S14" s="7" t="s">
        <v>53</v>
      </c>
      <c r="T14" s="7"/>
      <c r="U14" s="7"/>
      <c r="V14" s="7"/>
      <c r="W14" s="75"/>
      <c r="X14" s="7"/>
      <c r="Y14" s="7"/>
      <c r="Z14" s="7"/>
      <c r="AA14" s="15"/>
      <c r="AB14" s="7"/>
      <c r="AC14" s="18">
        <v>51</v>
      </c>
      <c r="AD14" s="535">
        <f t="shared" si="0"/>
        <v>0.51</v>
      </c>
      <c r="AE14" s="18">
        <v>1</v>
      </c>
      <c r="AF14" s="1">
        <f>SUM(AE14:AE$19)</f>
        <v>11</v>
      </c>
      <c r="AG14" s="48">
        <f t="shared" si="1"/>
        <v>0.13924050632911392</v>
      </c>
      <c r="AH14" s="60">
        <f t="shared" si="2"/>
        <v>0.86075949367088611</v>
      </c>
      <c r="AI14" s="61">
        <f>SUM(AE$7:AE13)</f>
        <v>68</v>
      </c>
      <c r="AJ14" s="25"/>
      <c r="AK14" s="65"/>
      <c r="AL14" s="66">
        <v>50</v>
      </c>
      <c r="AM14" s="536">
        <f t="shared" si="3"/>
        <v>0.5</v>
      </c>
      <c r="AN14" s="66">
        <v>11</v>
      </c>
      <c r="AO14" s="519">
        <f>SUM(AN14:AN$19)</f>
        <v>25</v>
      </c>
      <c r="AP14" s="520">
        <f t="shared" si="4"/>
        <v>0.3125</v>
      </c>
      <c r="AQ14" s="62">
        <f t="shared" si="5"/>
        <v>0.6875</v>
      </c>
      <c r="AR14" s="63">
        <f>SUM(AN$7:AN13)</f>
        <v>55</v>
      </c>
      <c r="AS14" s="64"/>
      <c r="AT14" s="65"/>
      <c r="AU14" s="66">
        <v>50</v>
      </c>
      <c r="AV14" s="536">
        <f t="shared" si="6"/>
        <v>0.5</v>
      </c>
      <c r="AW14" s="66">
        <v>11</v>
      </c>
      <c r="AX14" s="65">
        <f>SUM(AW14:AW$19)</f>
        <v>25</v>
      </c>
      <c r="AY14" s="520">
        <f t="shared" si="7"/>
        <v>0.31645569620253167</v>
      </c>
      <c r="AZ14" s="62">
        <f t="shared" si="8"/>
        <v>0.68354430379746833</v>
      </c>
      <c r="BA14" s="63">
        <f>SUM(AW$7:AW13)</f>
        <v>54</v>
      </c>
      <c r="BB14" s="64"/>
      <c r="BC14" s="65"/>
      <c r="BD14" s="66">
        <v>50</v>
      </c>
      <c r="BE14" s="536">
        <f t="shared" si="9"/>
        <v>0.5</v>
      </c>
      <c r="BF14" s="66">
        <v>17</v>
      </c>
      <c r="BG14" s="65">
        <f>SUM(BF14:BF$19)</f>
        <v>40</v>
      </c>
      <c r="BH14" s="520">
        <f t="shared" si="10"/>
        <v>0.48780487804878048</v>
      </c>
      <c r="BI14" s="62">
        <f t="shared" si="11"/>
        <v>0.51219512195121952</v>
      </c>
      <c r="BJ14" s="63">
        <f>SUM(BF$7:BF13)</f>
        <v>42</v>
      </c>
      <c r="BK14" s="25"/>
      <c r="BL14" s="59"/>
      <c r="BM14" s="59"/>
    </row>
    <row r="15" spans="1:65" x14ac:dyDescent="0.25">
      <c r="A15" s="6"/>
      <c r="B15" s="8">
        <f t="shared" si="12"/>
        <v>40</v>
      </c>
      <c r="C15" s="8">
        <f t="shared" si="13"/>
        <v>49</v>
      </c>
      <c r="D15" s="8">
        <v>4</v>
      </c>
      <c r="E15" s="8">
        <v>7</v>
      </c>
      <c r="F15" s="20">
        <v>5</v>
      </c>
      <c r="G15" s="8">
        <v>1</v>
      </c>
      <c r="H15" s="15"/>
      <c r="I15" s="7"/>
      <c r="J15" s="8">
        <f t="shared" si="14"/>
        <v>40</v>
      </c>
      <c r="K15" s="8">
        <f t="shared" si="15"/>
        <v>49</v>
      </c>
      <c r="L15" s="8">
        <f>SUM(D15:D$21)</f>
        <v>29</v>
      </c>
      <c r="M15" s="8">
        <f>SUM(E15:E$21)</f>
        <v>32</v>
      </c>
      <c r="N15" s="23">
        <f>SUM(F15:F$21)</f>
        <v>45</v>
      </c>
      <c r="O15" s="8">
        <f>SUM(G15:G$21)</f>
        <v>24</v>
      </c>
      <c r="P15" s="7"/>
      <c r="Q15" s="75" t="s">
        <v>64</v>
      </c>
      <c r="R15" s="7">
        <v>2</v>
      </c>
      <c r="S15" s="7"/>
      <c r="T15" s="7"/>
      <c r="U15" s="7"/>
      <c r="V15" s="7"/>
      <c r="W15" s="75"/>
      <c r="X15" s="7"/>
      <c r="Y15" s="7"/>
      <c r="Z15" s="7"/>
      <c r="AA15" s="15"/>
      <c r="AB15" s="7"/>
      <c r="AC15" s="22">
        <v>60</v>
      </c>
      <c r="AD15" s="532">
        <f t="shared" si="0"/>
        <v>0.6</v>
      </c>
      <c r="AE15" s="22">
        <v>1</v>
      </c>
      <c r="AF15" s="1">
        <f>SUM(AE15:AE$19)</f>
        <v>10</v>
      </c>
      <c r="AG15" s="48">
        <f t="shared" si="1"/>
        <v>0.12658227848101267</v>
      </c>
      <c r="AH15" s="60">
        <f t="shared" si="2"/>
        <v>0.87341772151898733</v>
      </c>
      <c r="AI15" s="61">
        <f>SUM(AE$7:AE14)</f>
        <v>69</v>
      </c>
      <c r="AJ15" s="25"/>
      <c r="AK15" s="59"/>
      <c r="AL15" s="22">
        <v>60</v>
      </c>
      <c r="AM15" s="532">
        <f t="shared" si="3"/>
        <v>0.6</v>
      </c>
      <c r="AN15" s="22">
        <v>6</v>
      </c>
      <c r="AO15" s="7">
        <f>SUM(AN15:AN$19)</f>
        <v>14</v>
      </c>
      <c r="AP15" s="48">
        <f t="shared" si="4"/>
        <v>0.17499999999999999</v>
      </c>
      <c r="AQ15" s="60">
        <f t="shared" si="5"/>
        <v>0.82499999999999996</v>
      </c>
      <c r="AR15" s="61">
        <f>SUM(AN$7:AN14)</f>
        <v>66</v>
      </c>
      <c r="AS15" s="25"/>
      <c r="AT15" s="59"/>
      <c r="AU15" s="22">
        <v>60</v>
      </c>
      <c r="AV15" s="532">
        <f t="shared" si="6"/>
        <v>0.6</v>
      </c>
      <c r="AW15" s="22">
        <v>3</v>
      </c>
      <c r="AX15" s="1">
        <f>SUM(AW15:AW$19)</f>
        <v>14</v>
      </c>
      <c r="AY15" s="48">
        <f t="shared" si="7"/>
        <v>0.17721518987341772</v>
      </c>
      <c r="AZ15" s="60">
        <f t="shared" si="8"/>
        <v>0.82278481012658222</v>
      </c>
      <c r="BA15" s="61">
        <f>SUM(AW$7:AW14)</f>
        <v>65</v>
      </c>
      <c r="BB15" s="25"/>
      <c r="BC15" s="59"/>
      <c r="BD15" s="22">
        <v>60</v>
      </c>
      <c r="BE15" s="532">
        <f t="shared" si="9"/>
        <v>0.6</v>
      </c>
      <c r="BF15" s="22">
        <v>10</v>
      </c>
      <c r="BG15" s="1">
        <f>SUM(BF15:BF$19)</f>
        <v>23</v>
      </c>
      <c r="BH15" s="48">
        <f t="shared" si="10"/>
        <v>0.28048780487804881</v>
      </c>
      <c r="BI15" s="60">
        <f t="shared" si="11"/>
        <v>0.71951219512195119</v>
      </c>
      <c r="BJ15" s="61">
        <f>SUM(BF$7:BF14)</f>
        <v>59</v>
      </c>
      <c r="BK15" s="25"/>
      <c r="BL15" s="59"/>
      <c r="BM15" s="59"/>
    </row>
    <row r="16" spans="1:65" x14ac:dyDescent="0.25">
      <c r="A16" s="6"/>
      <c r="B16" s="8">
        <f t="shared" si="12"/>
        <v>50</v>
      </c>
      <c r="C16" s="8">
        <f t="shared" si="13"/>
        <v>59</v>
      </c>
      <c r="D16" s="8">
        <v>11</v>
      </c>
      <c r="E16" s="8">
        <v>11</v>
      </c>
      <c r="F16" s="22">
        <v>17</v>
      </c>
      <c r="G16" s="8">
        <v>13</v>
      </c>
      <c r="H16" s="15"/>
      <c r="I16" s="7"/>
      <c r="J16" s="8">
        <f t="shared" si="14"/>
        <v>50</v>
      </c>
      <c r="K16" s="8">
        <f t="shared" si="15"/>
        <v>59</v>
      </c>
      <c r="L16" s="8">
        <f>SUM(D16:D$21)</f>
        <v>25</v>
      </c>
      <c r="M16" s="8">
        <f>SUM(E16:E$21)</f>
        <v>25</v>
      </c>
      <c r="N16" s="22">
        <f>SUM(F16:F$21)</f>
        <v>40</v>
      </c>
      <c r="O16" s="8">
        <f>SUM(G16:G$21)</f>
        <v>23</v>
      </c>
      <c r="P16" s="7"/>
      <c r="Q16" s="74"/>
      <c r="R16" s="7"/>
      <c r="S16" s="7"/>
      <c r="T16" s="7"/>
      <c r="U16" s="7"/>
      <c r="V16" s="7"/>
      <c r="W16" s="75"/>
      <c r="X16" s="7"/>
      <c r="Y16" s="7"/>
      <c r="Z16" s="7"/>
      <c r="AA16" s="15"/>
      <c r="AB16" s="7"/>
      <c r="AC16" s="8">
        <v>70</v>
      </c>
      <c r="AD16" s="531">
        <f t="shared" si="0"/>
        <v>0.7</v>
      </c>
      <c r="AE16" s="8">
        <v>2</v>
      </c>
      <c r="AF16" s="1">
        <f>SUM(AE16:AE$19)</f>
        <v>9</v>
      </c>
      <c r="AG16" s="48">
        <f t="shared" si="1"/>
        <v>0.11392405063291139</v>
      </c>
      <c r="AH16" s="60">
        <f t="shared" si="2"/>
        <v>0.88607594936708867</v>
      </c>
      <c r="AI16" s="61">
        <f>SUM(AE$7:AE15)</f>
        <v>70</v>
      </c>
      <c r="AJ16" s="25"/>
      <c r="AK16" s="59"/>
      <c r="AL16" s="8">
        <v>70</v>
      </c>
      <c r="AM16" s="531">
        <f t="shared" si="3"/>
        <v>0.7</v>
      </c>
      <c r="AN16" s="8">
        <v>0</v>
      </c>
      <c r="AO16" s="7">
        <f>SUM(AN16:AN$19)</f>
        <v>8</v>
      </c>
      <c r="AP16" s="48">
        <f t="shared" si="4"/>
        <v>0.1</v>
      </c>
      <c r="AQ16" s="60">
        <f t="shared" si="5"/>
        <v>0.9</v>
      </c>
      <c r="AR16" s="61">
        <f>SUM(AN$7:AN15)</f>
        <v>72</v>
      </c>
      <c r="AS16" s="25"/>
      <c r="AT16" s="59"/>
      <c r="AU16" s="8">
        <v>70</v>
      </c>
      <c r="AV16" s="531">
        <f t="shared" si="6"/>
        <v>0.7</v>
      </c>
      <c r="AW16" s="8">
        <v>6</v>
      </c>
      <c r="AX16" s="1">
        <f>SUM(AW16:AW$19)</f>
        <v>11</v>
      </c>
      <c r="AY16" s="48">
        <f t="shared" si="7"/>
        <v>0.13924050632911392</v>
      </c>
      <c r="AZ16" s="60">
        <f t="shared" si="8"/>
        <v>0.86075949367088611</v>
      </c>
      <c r="BA16" s="61">
        <f>SUM(AW$7:AW15)</f>
        <v>68</v>
      </c>
      <c r="BB16" s="25"/>
      <c r="BC16" s="59"/>
      <c r="BD16" s="8">
        <v>70</v>
      </c>
      <c r="BE16" s="531">
        <f t="shared" si="9"/>
        <v>0.7</v>
      </c>
      <c r="BF16" s="8">
        <v>4</v>
      </c>
      <c r="BG16" s="1">
        <f>SUM(BF16:BF$19)</f>
        <v>13</v>
      </c>
      <c r="BH16" s="48">
        <f t="shared" si="10"/>
        <v>0.15853658536585366</v>
      </c>
      <c r="BI16" s="60">
        <f t="shared" si="11"/>
        <v>0.84146341463414631</v>
      </c>
      <c r="BJ16" s="61">
        <f>SUM(BF$7:BF15)</f>
        <v>69</v>
      </c>
      <c r="BK16" s="25"/>
      <c r="BL16" s="59"/>
      <c r="BM16" s="59"/>
    </row>
    <row r="17" spans="1:65" x14ac:dyDescent="0.25">
      <c r="A17" s="6"/>
      <c r="B17" s="8">
        <f t="shared" si="12"/>
        <v>60</v>
      </c>
      <c r="C17" s="8">
        <f t="shared" si="13"/>
        <v>69</v>
      </c>
      <c r="D17" s="8">
        <v>6</v>
      </c>
      <c r="E17" s="8">
        <v>3</v>
      </c>
      <c r="F17" s="8">
        <v>10</v>
      </c>
      <c r="G17" s="8">
        <v>1</v>
      </c>
      <c r="H17" s="15"/>
      <c r="I17" s="7"/>
      <c r="J17" s="8">
        <f t="shared" si="14"/>
        <v>60</v>
      </c>
      <c r="K17" s="8">
        <f t="shared" si="15"/>
        <v>69</v>
      </c>
      <c r="L17" s="8">
        <f>SUM(D17:D$21)</f>
        <v>14</v>
      </c>
      <c r="M17" s="8">
        <f>SUM(E17:E$21)</f>
        <v>14</v>
      </c>
      <c r="N17" s="8">
        <f>SUM(F17:F$21)</f>
        <v>23</v>
      </c>
      <c r="O17" s="8">
        <f>SUM(G17:G$21)</f>
        <v>10</v>
      </c>
      <c r="P17" s="7"/>
      <c r="Q17" s="74" t="s">
        <v>22</v>
      </c>
      <c r="R17" s="7"/>
      <c r="S17" s="7"/>
      <c r="T17" s="7"/>
      <c r="U17" s="7"/>
      <c r="V17" s="7"/>
      <c r="W17" s="75"/>
      <c r="X17" s="7"/>
      <c r="Y17" s="7"/>
      <c r="Z17" s="7"/>
      <c r="AA17" s="15"/>
      <c r="AB17" s="7"/>
      <c r="AC17" s="8">
        <v>80</v>
      </c>
      <c r="AD17" s="531">
        <f t="shared" si="0"/>
        <v>0.8</v>
      </c>
      <c r="AE17" s="8">
        <v>0</v>
      </c>
      <c r="AF17" s="1">
        <f>SUM(AE17:AE$19)</f>
        <v>7</v>
      </c>
      <c r="AG17" s="48">
        <f t="shared" si="1"/>
        <v>8.8607594936708861E-2</v>
      </c>
      <c r="AH17" s="60">
        <f t="shared" si="2"/>
        <v>0.91139240506329111</v>
      </c>
      <c r="AI17" s="61">
        <f>SUM(AE$7:AE16)</f>
        <v>72</v>
      </c>
      <c r="AJ17" s="25"/>
      <c r="AK17" s="59"/>
      <c r="AL17" s="8">
        <v>80</v>
      </c>
      <c r="AM17" s="531">
        <f t="shared" si="3"/>
        <v>0.8</v>
      </c>
      <c r="AN17" s="8">
        <v>4</v>
      </c>
      <c r="AO17" s="7">
        <f>SUM(AN17:AN$19)</f>
        <v>8</v>
      </c>
      <c r="AP17" s="48">
        <f t="shared" si="4"/>
        <v>0.1</v>
      </c>
      <c r="AQ17" s="60">
        <f t="shared" si="5"/>
        <v>0.9</v>
      </c>
      <c r="AR17" s="61">
        <f>SUM(AN$7:AN16)</f>
        <v>72</v>
      </c>
      <c r="AS17" s="25"/>
      <c r="AT17" s="59"/>
      <c r="AU17" s="8">
        <v>80</v>
      </c>
      <c r="AV17" s="531">
        <f t="shared" si="6"/>
        <v>0.8</v>
      </c>
      <c r="AW17" s="8">
        <v>1</v>
      </c>
      <c r="AX17" s="1">
        <f>SUM(AW17:AW$19)</f>
        <v>5</v>
      </c>
      <c r="AY17" s="48">
        <f t="shared" si="7"/>
        <v>6.3291139240506333E-2</v>
      </c>
      <c r="AZ17" s="60">
        <f t="shared" si="8"/>
        <v>0.93670886075949367</v>
      </c>
      <c r="BA17" s="61">
        <f>SUM(AW$7:AW16)</f>
        <v>74</v>
      </c>
      <c r="BB17" s="25"/>
      <c r="BC17" s="59"/>
      <c r="BD17" s="8">
        <v>80</v>
      </c>
      <c r="BE17" s="531">
        <f t="shared" si="9"/>
        <v>0.8</v>
      </c>
      <c r="BF17" s="8">
        <v>4</v>
      </c>
      <c r="BG17" s="1">
        <f>SUM(BF17:BF$19)</f>
        <v>9</v>
      </c>
      <c r="BH17" s="48">
        <f t="shared" si="10"/>
        <v>0.10975609756097561</v>
      </c>
      <c r="BI17" s="60">
        <f t="shared" si="11"/>
        <v>0.8902439024390244</v>
      </c>
      <c r="BJ17" s="61">
        <f>SUM(BF$7:BF16)</f>
        <v>73</v>
      </c>
      <c r="BK17" s="25"/>
      <c r="BL17" s="59"/>
      <c r="BM17" s="59"/>
    </row>
    <row r="18" spans="1:65" x14ac:dyDescent="0.25">
      <c r="A18" s="6"/>
      <c r="B18" s="8">
        <f t="shared" si="12"/>
        <v>70</v>
      </c>
      <c r="C18" s="8">
        <f t="shared" si="13"/>
        <v>79</v>
      </c>
      <c r="D18" s="8">
        <v>0</v>
      </c>
      <c r="E18" s="8">
        <v>6</v>
      </c>
      <c r="F18" s="8">
        <v>4</v>
      </c>
      <c r="G18" s="8">
        <v>2</v>
      </c>
      <c r="H18" s="15"/>
      <c r="I18" s="7"/>
      <c r="J18" s="8">
        <f t="shared" si="14"/>
        <v>70</v>
      </c>
      <c r="K18" s="8">
        <f t="shared" si="15"/>
        <v>79</v>
      </c>
      <c r="L18" s="8">
        <f>SUM(D18:D$21)</f>
        <v>8</v>
      </c>
      <c r="M18" s="8">
        <f>SUM(E18:E$21)</f>
        <v>11</v>
      </c>
      <c r="N18" s="8">
        <f>SUM(F18:F$21)</f>
        <v>13</v>
      </c>
      <c r="O18" s="8">
        <f>SUM(G18:G$21)</f>
        <v>9</v>
      </c>
      <c r="P18" s="7"/>
      <c r="Q18" s="75" t="s">
        <v>67</v>
      </c>
      <c r="R18" s="7">
        <v>11</v>
      </c>
      <c r="S18" s="7" t="s">
        <v>68</v>
      </c>
      <c r="T18" s="7"/>
      <c r="U18" s="7"/>
      <c r="V18" s="7"/>
      <c r="W18" s="75"/>
      <c r="X18" s="7"/>
      <c r="Y18" s="7"/>
      <c r="Z18" s="7"/>
      <c r="AA18" s="15"/>
      <c r="AB18" s="7"/>
      <c r="AC18" s="8">
        <v>90</v>
      </c>
      <c r="AD18" s="531">
        <f t="shared" si="0"/>
        <v>0.9</v>
      </c>
      <c r="AE18" s="8">
        <v>3</v>
      </c>
      <c r="AF18" s="1">
        <f>SUM(AE18:AE$19)</f>
        <v>7</v>
      </c>
      <c r="AG18" s="48">
        <f t="shared" si="1"/>
        <v>8.8607594936708861E-2</v>
      </c>
      <c r="AH18" s="60">
        <f t="shared" si="2"/>
        <v>0.91139240506329111</v>
      </c>
      <c r="AI18" s="61">
        <f>SUM(AE$7:AE17)</f>
        <v>72</v>
      </c>
      <c r="AJ18" s="25"/>
      <c r="AK18" s="59"/>
      <c r="AL18" s="8">
        <v>90</v>
      </c>
      <c r="AM18" s="531">
        <f t="shared" si="3"/>
        <v>0.9</v>
      </c>
      <c r="AN18" s="8">
        <v>1</v>
      </c>
      <c r="AO18" s="7">
        <f>SUM(AN18:AN$19)</f>
        <v>4</v>
      </c>
      <c r="AP18" s="48">
        <f t="shared" si="4"/>
        <v>0.05</v>
      </c>
      <c r="AQ18" s="60">
        <f t="shared" si="5"/>
        <v>0.95</v>
      </c>
      <c r="AR18" s="61">
        <f>SUM(AN$7:AN17)</f>
        <v>76</v>
      </c>
      <c r="AS18" s="25"/>
      <c r="AT18" s="59"/>
      <c r="AU18" s="18">
        <v>97</v>
      </c>
      <c r="AV18" s="535">
        <f t="shared" si="6"/>
        <v>0.97</v>
      </c>
      <c r="AW18" s="18">
        <v>2</v>
      </c>
      <c r="AX18" s="1">
        <f>SUM(AW18:AW$19)</f>
        <v>4</v>
      </c>
      <c r="AY18" s="48">
        <f t="shared" si="7"/>
        <v>5.0632911392405063E-2</v>
      </c>
      <c r="AZ18" s="60">
        <f t="shared" si="8"/>
        <v>0.94936708860759489</v>
      </c>
      <c r="BA18" s="61">
        <f>SUM(AW$7:AW17)</f>
        <v>75</v>
      </c>
      <c r="BB18" s="25"/>
      <c r="BC18" s="59"/>
      <c r="BD18" s="8">
        <v>90</v>
      </c>
      <c r="BE18" s="531">
        <f t="shared" si="9"/>
        <v>0.9</v>
      </c>
      <c r="BF18" s="8">
        <v>2</v>
      </c>
      <c r="BG18" s="1">
        <f>SUM(BF18:BF$19)</f>
        <v>5</v>
      </c>
      <c r="BH18" s="48">
        <f t="shared" si="10"/>
        <v>6.097560975609756E-2</v>
      </c>
      <c r="BI18" s="60">
        <f t="shared" ref="BI18:BI19" si="16">1-BH18</f>
        <v>0.93902439024390238</v>
      </c>
      <c r="BJ18" s="61">
        <f>SUM(BF$7:BF17)</f>
        <v>77</v>
      </c>
      <c r="BK18" s="25"/>
      <c r="BL18" s="59"/>
      <c r="BM18" s="59"/>
    </row>
    <row r="19" spans="1:65" x14ac:dyDescent="0.25">
      <c r="A19" s="6"/>
      <c r="B19" s="8">
        <f>C18+1</f>
        <v>80</v>
      </c>
      <c r="C19" s="8">
        <f>C18+10</f>
        <v>89</v>
      </c>
      <c r="D19" s="8">
        <v>4</v>
      </c>
      <c r="E19" s="8">
        <v>1</v>
      </c>
      <c r="F19" s="8">
        <v>4</v>
      </c>
      <c r="G19" s="8">
        <v>0</v>
      </c>
      <c r="H19" s="15"/>
      <c r="I19" s="7"/>
      <c r="J19" s="8">
        <f>K18+1</f>
        <v>80</v>
      </c>
      <c r="K19" s="8">
        <f>K18+10</f>
        <v>89</v>
      </c>
      <c r="L19" s="8">
        <f>SUM(D19:D$21)</f>
        <v>8</v>
      </c>
      <c r="M19" s="8">
        <f>SUM(E19:E$21)</f>
        <v>5</v>
      </c>
      <c r="N19" s="8">
        <f>SUM(F19:F$21)</f>
        <v>9</v>
      </c>
      <c r="O19" s="8">
        <f>SUM(G19:G$21)</f>
        <v>7</v>
      </c>
      <c r="P19" s="7"/>
      <c r="Q19" s="75" t="s">
        <v>69</v>
      </c>
      <c r="R19" s="7">
        <v>3</v>
      </c>
      <c r="S19" s="7" t="s">
        <v>53</v>
      </c>
      <c r="T19" s="7"/>
      <c r="U19" s="7"/>
      <c r="V19" s="7"/>
      <c r="W19" s="75"/>
      <c r="X19" s="7"/>
      <c r="Y19" s="7"/>
      <c r="Z19" s="7"/>
      <c r="AA19" s="15"/>
      <c r="AC19" s="8">
        <v>100</v>
      </c>
      <c r="AD19" s="531">
        <f t="shared" si="0"/>
        <v>1</v>
      </c>
      <c r="AE19" s="8">
        <v>4</v>
      </c>
      <c r="AF19" s="1">
        <f>SUM(AE19:AE$19)</f>
        <v>4</v>
      </c>
      <c r="AG19" s="48">
        <f t="shared" si="1"/>
        <v>5.0632911392405063E-2</v>
      </c>
      <c r="AH19" s="60">
        <f t="shared" si="2"/>
        <v>0.94936708860759489</v>
      </c>
      <c r="AI19" s="61">
        <f>SUM(AE$7:AE18)</f>
        <v>75</v>
      </c>
      <c r="AJ19" s="25"/>
      <c r="AK19" s="59"/>
      <c r="AL19" s="8">
        <v>100</v>
      </c>
      <c r="AM19" s="531">
        <f t="shared" si="3"/>
        <v>1</v>
      </c>
      <c r="AN19" s="8">
        <v>3</v>
      </c>
      <c r="AO19" s="7">
        <f>SUM(AN19:AN$19)</f>
        <v>3</v>
      </c>
      <c r="AP19" s="48">
        <f t="shared" si="4"/>
        <v>3.7499999999999999E-2</v>
      </c>
      <c r="AQ19" s="60">
        <f t="shared" si="5"/>
        <v>0.96250000000000002</v>
      </c>
      <c r="AR19" s="61">
        <f>SUM(AN$7:AN18)</f>
        <v>77</v>
      </c>
      <c r="AS19" s="25"/>
      <c r="AT19" s="59"/>
      <c r="AU19" s="8">
        <v>100</v>
      </c>
      <c r="AV19" s="531">
        <f t="shared" si="6"/>
        <v>1</v>
      </c>
      <c r="AW19" s="8">
        <v>2</v>
      </c>
      <c r="AX19" s="1">
        <f>SUM(AW19:AW$19)</f>
        <v>2</v>
      </c>
      <c r="AY19" s="48">
        <f t="shared" si="7"/>
        <v>2.5316455696202531E-2</v>
      </c>
      <c r="AZ19" s="60">
        <f t="shared" si="8"/>
        <v>0.97468354430379744</v>
      </c>
      <c r="BA19" s="61">
        <f>SUM(AW$7:AW18)</f>
        <v>77</v>
      </c>
      <c r="BB19" s="25"/>
      <c r="BC19" s="59"/>
      <c r="BD19" s="8">
        <v>100</v>
      </c>
      <c r="BE19" s="531">
        <f t="shared" si="9"/>
        <v>1</v>
      </c>
      <c r="BF19" s="8">
        <v>3</v>
      </c>
      <c r="BG19" s="1">
        <f>SUM(BF19:BF$19)</f>
        <v>3</v>
      </c>
      <c r="BH19" s="48">
        <f t="shared" si="10"/>
        <v>3.6585365853658534E-2</v>
      </c>
      <c r="BI19" s="60">
        <f t="shared" si="16"/>
        <v>0.96341463414634143</v>
      </c>
      <c r="BJ19" s="61">
        <f>SUM(BF$7:BF18)</f>
        <v>79</v>
      </c>
      <c r="BK19" s="59"/>
      <c r="BL19" s="59"/>
      <c r="BM19" s="59"/>
    </row>
    <row r="20" spans="1:65" x14ac:dyDescent="0.25">
      <c r="A20" s="6"/>
      <c r="B20" s="8">
        <f t="shared" si="12"/>
        <v>90</v>
      </c>
      <c r="C20" s="8">
        <f t="shared" si="13"/>
        <v>99</v>
      </c>
      <c r="D20" s="8">
        <v>1</v>
      </c>
      <c r="E20" s="8">
        <v>2</v>
      </c>
      <c r="F20" s="8">
        <v>2</v>
      </c>
      <c r="G20" s="8">
        <v>3</v>
      </c>
      <c r="H20" s="15"/>
      <c r="I20" s="7"/>
      <c r="J20" s="8">
        <f>K19+1</f>
        <v>90</v>
      </c>
      <c r="K20" s="8">
        <f t="shared" si="15"/>
        <v>99</v>
      </c>
      <c r="L20" s="8">
        <f>SUM(D20:D$21)</f>
        <v>4</v>
      </c>
      <c r="M20" s="8">
        <f>SUM(E20:E$21)</f>
        <v>4</v>
      </c>
      <c r="N20" s="8">
        <f>SUM(F20:F$21)</f>
        <v>5</v>
      </c>
      <c r="O20" s="8">
        <f>SUM(G20:G$21)</f>
        <v>7</v>
      </c>
      <c r="P20" s="7"/>
      <c r="Q20" s="75"/>
      <c r="R20" s="7"/>
      <c r="S20" s="7"/>
      <c r="T20" s="7"/>
      <c r="U20" s="7"/>
      <c r="V20" s="7"/>
      <c r="W20" s="75"/>
      <c r="X20" s="7"/>
      <c r="Y20" s="7"/>
      <c r="Z20" s="7"/>
      <c r="AA20" s="15"/>
      <c r="AF20" s="59"/>
      <c r="AG20" s="59"/>
      <c r="AH20" s="59"/>
      <c r="AI20" s="59"/>
      <c r="AJ20" s="61"/>
      <c r="AK20" s="59"/>
      <c r="AL20" s="518"/>
      <c r="AM20" s="518"/>
      <c r="AN20" s="518"/>
      <c r="AO20" s="518"/>
      <c r="AP20" s="518"/>
      <c r="AQ20" s="518"/>
      <c r="AR20" s="518"/>
      <c r="AS20" s="25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18"/>
      <c r="BE20" s="518"/>
      <c r="BF20" s="518"/>
      <c r="BG20" s="59"/>
      <c r="BH20" s="59"/>
      <c r="BI20" s="59"/>
      <c r="BJ20" s="61"/>
      <c r="BK20" s="25"/>
      <c r="BL20" s="59"/>
      <c r="BM20" s="59"/>
    </row>
    <row r="21" spans="1:65" x14ac:dyDescent="0.25">
      <c r="A21" s="6"/>
      <c r="B21" s="8">
        <v>100</v>
      </c>
      <c r="C21" s="8">
        <v>100</v>
      </c>
      <c r="D21" s="8">
        <v>3</v>
      </c>
      <c r="E21" s="8">
        <v>2</v>
      </c>
      <c r="F21" s="8">
        <v>3</v>
      </c>
      <c r="G21" s="8">
        <v>4</v>
      </c>
      <c r="H21" s="15"/>
      <c r="I21" s="7"/>
      <c r="J21" s="8">
        <v>100</v>
      </c>
      <c r="K21" s="8">
        <v>100</v>
      </c>
      <c r="L21" s="8">
        <f>SUM(D21:D$21)</f>
        <v>3</v>
      </c>
      <c r="M21" s="8">
        <f>SUM(E21:E$21)</f>
        <v>2</v>
      </c>
      <c r="N21" s="8">
        <f>SUM(F21:F$21)</f>
        <v>3</v>
      </c>
      <c r="O21" s="8">
        <f>SUM(G21:G$21)</f>
        <v>4</v>
      </c>
      <c r="P21" s="7"/>
      <c r="Q21" s="74" t="s">
        <v>24</v>
      </c>
      <c r="R21" s="7"/>
      <c r="S21" s="7"/>
      <c r="T21" s="7"/>
      <c r="U21" s="7"/>
      <c r="V21" s="7"/>
      <c r="W21" s="75"/>
      <c r="X21" s="7"/>
      <c r="Y21" s="7"/>
      <c r="Z21" s="85"/>
      <c r="AA21" s="15"/>
      <c r="AC21" s="7"/>
      <c r="AD21" s="7"/>
      <c r="AE21" s="7"/>
      <c r="AF21" s="7"/>
      <c r="AG21" s="7"/>
      <c r="AH21" s="7"/>
      <c r="AI21" s="7"/>
      <c r="AL21" s="7"/>
      <c r="AM21" s="7"/>
      <c r="AN21" s="7"/>
      <c r="AS21" s="21"/>
      <c r="AU21" s="7"/>
      <c r="AV21" s="7"/>
      <c r="AW21" s="7"/>
      <c r="BB21" s="21"/>
      <c r="BD21" s="7"/>
      <c r="BE21" s="7"/>
      <c r="BF21" s="7"/>
      <c r="BK21" s="21"/>
    </row>
    <row r="22" spans="1:65" x14ac:dyDescent="0.25">
      <c r="A22" s="6"/>
      <c r="B22" s="7"/>
      <c r="C22" s="7" t="s">
        <v>29</v>
      </c>
      <c r="D22" s="7">
        <f>SUM(D10:D21)</f>
        <v>80</v>
      </c>
      <c r="E22" s="7">
        <f>SUM(E10:E21)</f>
        <v>79</v>
      </c>
      <c r="F22" s="7">
        <f>SUM(F10:F21)</f>
        <v>82</v>
      </c>
      <c r="G22" s="7">
        <f>SUM(G10:G21)</f>
        <v>79</v>
      </c>
      <c r="H22" s="15"/>
      <c r="I22" s="7"/>
      <c r="J22" s="7"/>
      <c r="K22" s="7"/>
      <c r="L22" s="7"/>
      <c r="M22" s="7"/>
      <c r="N22" s="7"/>
      <c r="O22" s="7"/>
      <c r="P22" s="7"/>
      <c r="Q22" s="75" t="s">
        <v>72</v>
      </c>
      <c r="R22" s="7">
        <v>8</v>
      </c>
      <c r="S22" s="7" t="s">
        <v>283</v>
      </c>
      <c r="T22" s="7"/>
      <c r="U22" s="7"/>
      <c r="V22" s="7"/>
      <c r="W22" s="75"/>
      <c r="X22" s="7"/>
      <c r="Y22" s="7"/>
      <c r="Z22" s="7"/>
      <c r="AA22" s="15"/>
      <c r="AC22" s="7"/>
      <c r="AD22" s="7"/>
      <c r="AE22" s="7"/>
      <c r="AL22" s="7"/>
      <c r="AM22" s="7"/>
      <c r="AN22" s="7"/>
      <c r="AS22" s="21"/>
      <c r="AU22" s="7"/>
      <c r="AV22" s="7"/>
      <c r="AW22" s="7"/>
      <c r="BB22" s="21"/>
      <c r="BD22" s="7"/>
      <c r="BE22" s="7"/>
      <c r="BF22" s="7"/>
      <c r="BK22" s="21"/>
    </row>
    <row r="23" spans="1:65" x14ac:dyDescent="0.25">
      <c r="A23" s="6" t="s">
        <v>25</v>
      </c>
      <c r="B23" s="7"/>
      <c r="C23" s="7"/>
      <c r="D23" s="7"/>
      <c r="E23" s="7"/>
      <c r="F23" s="7"/>
      <c r="G23" s="7"/>
      <c r="H23" s="15"/>
      <c r="I23" s="7"/>
      <c r="J23" s="7"/>
      <c r="K23" s="7" t="s">
        <v>26</v>
      </c>
      <c r="L23" s="7">
        <v>40.5</v>
      </c>
      <c r="M23" s="7">
        <v>40</v>
      </c>
      <c r="N23" s="7">
        <v>41.5</v>
      </c>
      <c r="O23" s="7">
        <v>40</v>
      </c>
      <c r="P23" s="7"/>
      <c r="Q23" s="75" t="s">
        <v>73</v>
      </c>
      <c r="R23" s="7">
        <v>2</v>
      </c>
      <c r="S23" s="7" t="s">
        <v>53</v>
      </c>
      <c r="T23" s="7"/>
      <c r="U23" s="7"/>
      <c r="V23" s="7"/>
      <c r="W23" s="75"/>
      <c r="X23" s="7"/>
      <c r="Y23" s="7"/>
      <c r="Z23" s="7"/>
      <c r="AA23" s="15"/>
      <c r="AU23" s="7"/>
      <c r="AV23" s="7"/>
      <c r="AW23" s="7"/>
      <c r="BB23" s="21"/>
    </row>
    <row r="24" spans="1:65" x14ac:dyDescent="0.25">
      <c r="A24" s="6" t="s">
        <v>27</v>
      </c>
      <c r="B24" s="7"/>
      <c r="C24" s="7"/>
      <c r="D24" s="27">
        <v>15</v>
      </c>
      <c r="E24" s="27">
        <v>20</v>
      </c>
      <c r="F24" s="27">
        <v>40</v>
      </c>
      <c r="G24" s="27">
        <v>20</v>
      </c>
      <c r="H24" s="15"/>
      <c r="I24" s="7"/>
      <c r="J24" s="7"/>
      <c r="K24" s="7" t="s">
        <v>31</v>
      </c>
      <c r="L24" s="7"/>
      <c r="M24" s="7"/>
      <c r="N24" s="7"/>
      <c r="O24" s="7"/>
      <c r="P24" s="7"/>
      <c r="Q24" s="75" t="s">
        <v>61</v>
      </c>
      <c r="R24" s="7">
        <v>8</v>
      </c>
      <c r="S24" s="7" t="s">
        <v>74</v>
      </c>
      <c r="T24" s="7"/>
      <c r="U24" s="7"/>
      <c r="V24" s="7"/>
      <c r="W24" s="75"/>
      <c r="X24" s="7"/>
      <c r="Y24" s="7"/>
      <c r="Z24" s="7"/>
      <c r="AA24" s="15"/>
      <c r="AC24" s="29" t="s">
        <v>284</v>
      </c>
      <c r="AD24" s="29" t="s">
        <v>292</v>
      </c>
      <c r="AE24" s="29" t="s">
        <v>285</v>
      </c>
      <c r="AF24" s="29" t="s">
        <v>286</v>
      </c>
      <c r="AG24" s="29" t="s">
        <v>288</v>
      </c>
      <c r="AH24" s="29" t="s">
        <v>287</v>
      </c>
      <c r="AI24" s="512" t="s">
        <v>288</v>
      </c>
      <c r="AJ24" s="5" t="s">
        <v>289</v>
      </c>
      <c r="AL24" s="29" t="s">
        <v>284</v>
      </c>
      <c r="AM24" s="29" t="s">
        <v>292</v>
      </c>
      <c r="AN24" s="29" t="s">
        <v>285</v>
      </c>
      <c r="AO24" s="29" t="s">
        <v>286</v>
      </c>
      <c r="AP24" s="29" t="s">
        <v>288</v>
      </c>
      <c r="AQ24" s="29" t="s">
        <v>287</v>
      </c>
      <c r="AR24" s="512" t="s">
        <v>288</v>
      </c>
      <c r="AS24" s="5" t="s">
        <v>289</v>
      </c>
      <c r="AU24" s="29" t="s">
        <v>284</v>
      </c>
      <c r="AV24" s="29" t="s">
        <v>292</v>
      </c>
      <c r="AW24" s="29" t="s">
        <v>285</v>
      </c>
      <c r="AX24" s="29" t="s">
        <v>286</v>
      </c>
      <c r="AY24" s="29" t="s">
        <v>288</v>
      </c>
      <c r="AZ24" s="29" t="s">
        <v>287</v>
      </c>
      <c r="BA24" s="512" t="s">
        <v>288</v>
      </c>
      <c r="BB24" s="5" t="s">
        <v>289</v>
      </c>
      <c r="BD24" s="29" t="s">
        <v>284</v>
      </c>
      <c r="BE24" s="29" t="s">
        <v>292</v>
      </c>
      <c r="BF24" s="29" t="s">
        <v>285</v>
      </c>
      <c r="BG24" s="29" t="s">
        <v>286</v>
      </c>
      <c r="BH24" s="29" t="s">
        <v>288</v>
      </c>
      <c r="BI24" s="29" t="s">
        <v>287</v>
      </c>
      <c r="BJ24" s="512" t="s">
        <v>288</v>
      </c>
      <c r="BK24" s="5" t="s">
        <v>289</v>
      </c>
    </row>
    <row r="25" spans="1:65" x14ac:dyDescent="0.25">
      <c r="A25" s="6" t="s">
        <v>28</v>
      </c>
      <c r="B25" s="7"/>
      <c r="C25" s="7"/>
      <c r="D25" s="28">
        <v>30.5</v>
      </c>
      <c r="E25" s="28">
        <v>32.6</v>
      </c>
      <c r="F25" s="28">
        <v>39.799999999999997</v>
      </c>
      <c r="G25" s="28">
        <v>29.2</v>
      </c>
      <c r="H25" s="15"/>
      <c r="I25" s="7"/>
      <c r="J25" s="7"/>
      <c r="K25" s="7"/>
      <c r="L25" s="7"/>
      <c r="M25" s="7"/>
      <c r="N25" s="7"/>
      <c r="O25" s="7"/>
      <c r="P25" s="7"/>
      <c r="Q25" s="75" t="s">
        <v>60</v>
      </c>
      <c r="R25" s="7">
        <v>3</v>
      </c>
      <c r="S25" s="7" t="s">
        <v>75</v>
      </c>
      <c r="T25" s="7"/>
      <c r="U25" s="7"/>
      <c r="V25" s="7"/>
      <c r="W25" s="74"/>
      <c r="X25" s="7"/>
      <c r="Y25" s="7"/>
      <c r="Z25" s="7"/>
      <c r="AA25" s="15"/>
      <c r="AC25" s="510">
        <v>0.1</v>
      </c>
      <c r="AD25" s="521">
        <f>MATCH(AC25,AH$7:AH$20,1)</f>
        <v>2</v>
      </c>
      <c r="AE25" s="26">
        <f ca="1">TREND(OFFSET(AD$6:AD$7,AD25,0),OFFSET(AH$6:AH$7,AD25,0),AC25)</f>
        <v>3.8950000000000026E-2</v>
      </c>
      <c r="AF25" s="21">
        <f ca="1">1-EXP(-AE25)</f>
        <v>3.8201202115967559E-2</v>
      </c>
      <c r="AG25" s="26">
        <f ca="1">AF25/10</f>
        <v>3.8201202115967559E-3</v>
      </c>
      <c r="AH25" s="1">
        <v>0.78800000000000003</v>
      </c>
      <c r="AI25" s="511">
        <f ca="1">AG25*AH25</f>
        <v>3.0102547267382438E-3</v>
      </c>
      <c r="AJ25" s="26">
        <f ca="1">AI25/$AI$29</f>
        <v>0.18070312349355305</v>
      </c>
      <c r="AL25" s="510">
        <v>0.1</v>
      </c>
      <c r="AM25" s="521">
        <f>MATCH(AL25,AQ$7:AQ$20,1)</f>
        <v>2</v>
      </c>
      <c r="AN25" s="26">
        <f ca="1">TREND(OFFSET(AM$6:AM$7,AM25,0),OFFSET(AQ$6:AQ$7,AM25,0),AL25)</f>
        <v>2.7818181818181811E-2</v>
      </c>
      <c r="AO25" s="21">
        <f ca="1">1-EXP(-AN25)</f>
        <v>2.7434819240371056E-2</v>
      </c>
      <c r="AP25" s="26">
        <f ca="1">AO25/10</f>
        <v>2.7434819240371054E-3</v>
      </c>
      <c r="AQ25" s="1">
        <v>1</v>
      </c>
      <c r="AR25" s="511">
        <f ca="1">AP25*AQ25</f>
        <v>2.7434819240371054E-3</v>
      </c>
      <c r="AS25" s="26">
        <f ca="1">AR25/$AI$29</f>
        <v>0.16468897084293688</v>
      </c>
      <c r="AU25" s="510">
        <v>0.1</v>
      </c>
      <c r="AV25" s="521">
        <f>MATCH(AU25,AZ$7:AZ$20,1)</f>
        <v>3</v>
      </c>
      <c r="AW25" s="26">
        <f ca="1">TREND(OFFSET(AV$6:AV$7,AV25,0),OFFSET(AZ$6:AZ$7,AV25,0),AU25)</f>
        <v>6.2615384615384628E-2</v>
      </c>
      <c r="AX25" s="21">
        <f ca="1">1-EXP(-AW25)</f>
        <v>6.0695324748215485E-2</v>
      </c>
      <c r="AY25" s="26">
        <f ca="1">AX25/10</f>
        <v>6.0695324748215483E-3</v>
      </c>
      <c r="AZ25" s="1">
        <v>1</v>
      </c>
      <c r="BA25" s="511">
        <f ca="1">AY25*AZ25</f>
        <v>6.0695324748215483E-3</v>
      </c>
      <c r="BB25" s="26">
        <f ca="1">BA25/$AI$29</f>
        <v>0.36434905877026119</v>
      </c>
      <c r="BD25" s="510">
        <v>0.1</v>
      </c>
      <c r="BE25" s="521">
        <f>MATCH(BD25,BI$7:BI$20,1)</f>
        <v>2</v>
      </c>
      <c r="BF25" s="26">
        <f ca="1">TREND(OFFSET(BE$6:BE$7,BE25,0),OFFSET(BI$6:BI$7,BE25,0),BD25)</f>
        <v>3.5542857142857154E-2</v>
      </c>
      <c r="BG25" s="21">
        <f ca="1">1-EXP(-BF25)</f>
        <v>3.491862728657058E-2</v>
      </c>
      <c r="BH25" s="26">
        <f ca="1">BG25/10</f>
        <v>3.491862728657058E-3</v>
      </c>
      <c r="BI25" s="1">
        <v>1</v>
      </c>
      <c r="BJ25" s="511">
        <f ca="1">BH25*BI25</f>
        <v>3.491862728657058E-3</v>
      </c>
      <c r="BK25" s="26">
        <f ca="1">BJ25/$AI$29</f>
        <v>0.20961365703518389</v>
      </c>
    </row>
    <row r="26" spans="1:65" ht="12.75" thickBot="1" x14ac:dyDescent="0.3">
      <c r="A26" s="80"/>
      <c r="B26" s="81"/>
      <c r="C26" s="81"/>
      <c r="D26" s="86"/>
      <c r="E26" s="86"/>
      <c r="F26" s="86"/>
      <c r="G26" s="86"/>
      <c r="H26" s="82"/>
      <c r="I26" s="81"/>
      <c r="J26" s="81"/>
      <c r="K26" s="81"/>
      <c r="L26" s="81"/>
      <c r="M26" s="81"/>
      <c r="N26" s="81"/>
      <c r="O26" s="81"/>
      <c r="P26" s="81"/>
      <c r="Q26" s="83"/>
      <c r="R26" s="81"/>
      <c r="S26" s="81"/>
      <c r="T26" s="81"/>
      <c r="U26" s="81"/>
      <c r="V26" s="81"/>
      <c r="W26" s="81"/>
      <c r="X26" s="81"/>
      <c r="Y26" s="81"/>
      <c r="Z26" s="81"/>
      <c r="AA26" s="82"/>
      <c r="AC26" s="510">
        <v>0.2</v>
      </c>
      <c r="AD26" s="521">
        <f t="shared" ref="AD26:AD33" si="17">MATCH(AC26,AH$7:AH$20,1)</f>
        <v>2</v>
      </c>
      <c r="AE26" s="26">
        <f t="shared" ref="AE26:AE33" ca="1" si="18">TREND(OFFSET(AD$6:AD$7,AD26,0),OFFSET(AH$6:AH$7,AD26,0),AC26)</f>
        <v>8.2400000000000029E-2</v>
      </c>
      <c r="AF26" s="21">
        <f ca="1">1-EXP(-AE26)</f>
        <v>7.9096476395199122E-2</v>
      </c>
      <c r="AG26" s="26">
        <f t="shared" ref="AG26:AG33" ca="1" si="19">AF26/10</f>
        <v>7.9096476395199115E-3</v>
      </c>
      <c r="AH26" s="1">
        <v>0.78800000000000003</v>
      </c>
      <c r="AI26" s="511">
        <f t="shared" ref="AI26:AI33" ca="1" si="20">AG26*AH26</f>
        <v>6.2328023399416902E-3</v>
      </c>
      <c r="AJ26" s="26">
        <f t="shared" ref="AJ26:AJ33" ca="1" si="21">AI26/$AI$29</f>
        <v>0.37415001492773198</v>
      </c>
      <c r="AL26" s="510">
        <v>0.2</v>
      </c>
      <c r="AM26" s="521">
        <f t="shared" ref="AM26:AM32" si="22">MATCH(AL26,AQ$7:AQ$20,1)</f>
        <v>3</v>
      </c>
      <c r="AN26" s="26">
        <f t="shared" ref="AN26:AN33" ca="1" si="23">TREND(OFFSET(AM$6:AM$7,AM26,0),OFFSET(AQ$6:AQ$7,AM26,0),AL26)</f>
        <v>8.666666666666667E-2</v>
      </c>
      <c r="AO26" s="21">
        <f ca="1">1-EXP(-AN26)</f>
        <v>8.3017294402805697E-2</v>
      </c>
      <c r="AP26" s="26">
        <f t="shared" ref="AP26:AP33" ca="1" si="24">AO26/10</f>
        <v>8.3017294402805697E-3</v>
      </c>
      <c r="AQ26" s="1">
        <v>1</v>
      </c>
      <c r="AR26" s="511">
        <f t="shared" ref="AR26:AR33" ca="1" si="25">AP26*AQ26</f>
        <v>8.3017294402805697E-3</v>
      </c>
      <c r="AS26" s="26">
        <f t="shared" ref="AS26:AS33" ca="1" si="26">AR26/$AI$29</f>
        <v>0.49834601269194517</v>
      </c>
      <c r="AU26" s="510">
        <v>0.2</v>
      </c>
      <c r="AV26" s="521">
        <f t="shared" ref="AV26:AV33" si="27">MATCH(AU26,AZ$7:AZ$20,1)</f>
        <v>3</v>
      </c>
      <c r="AW26" s="26">
        <f t="shared" ref="AW26:AW33" ca="1" si="28">TREND(OFFSET(AV$6:AV$7,AV26,0),OFFSET(AZ$6:AZ$7,AV26,0),AU26)</f>
        <v>9.907692307692309E-2</v>
      </c>
      <c r="AX26" s="21">
        <f ca="1">1-EXP(-AW26)</f>
        <v>9.4326961812809862E-2</v>
      </c>
      <c r="AY26" s="26">
        <f t="shared" ref="AY26:AY33" ca="1" si="29">AX26/10</f>
        <v>9.4326961812809858E-3</v>
      </c>
      <c r="AZ26" s="1">
        <v>1</v>
      </c>
      <c r="BA26" s="511">
        <f t="shared" ref="BA26:BA33" ca="1" si="30">AY26*AZ26</f>
        <v>9.4326961812809858E-3</v>
      </c>
      <c r="BB26" s="26">
        <f t="shared" ref="BB26:BB33" ca="1" si="31">BA26/$AI$29</f>
        <v>0.56623701900805956</v>
      </c>
      <c r="BD26" s="510">
        <v>0.2</v>
      </c>
      <c r="BE26" s="521">
        <f t="shared" ref="BE26:BE33" si="32">MATCH(BD26,BI$7:BI$20,1)</f>
        <v>4</v>
      </c>
      <c r="BF26" s="26">
        <f t="shared" ref="BF26:BF33" ca="1" si="33">TREND(OFFSET(BE$6:BE$7,BE26,0),OFFSET(BI$6:BI$7,BE26,0),BD26)</f>
        <v>0.14500000000000002</v>
      </c>
      <c r="BG26" s="21">
        <f ca="1">1-EXP(-BF26)</f>
        <v>0.1349777068892587</v>
      </c>
      <c r="BH26" s="26">
        <f t="shared" ref="BH26:BH33" ca="1" si="34">BG26/10</f>
        <v>1.349777068892587E-2</v>
      </c>
      <c r="BI26" s="1">
        <v>1</v>
      </c>
      <c r="BJ26" s="511">
        <f t="shared" ref="BJ26:BJ33" ca="1" si="35">BH26*BI26</f>
        <v>1.349777068892587E-2</v>
      </c>
      <c r="BK26" s="26">
        <f t="shared" ref="BK26:BK33" ca="1" si="36">BJ26/$AI$29</f>
        <v>0.8102601092272026</v>
      </c>
    </row>
    <row r="27" spans="1:65" x14ac:dyDescent="0.25">
      <c r="A27" s="3"/>
      <c r="B27" s="4"/>
      <c r="C27" s="4"/>
      <c r="D27" s="72"/>
      <c r="E27" s="72"/>
      <c r="F27" s="72"/>
      <c r="G27" s="72"/>
      <c r="H27" s="9"/>
      <c r="I27" s="4"/>
      <c r="J27" s="4"/>
      <c r="K27" s="4"/>
      <c r="L27" s="4"/>
      <c r="M27" s="4"/>
      <c r="N27" s="4"/>
      <c r="O27" s="4"/>
      <c r="P27" s="4"/>
      <c r="Q27" s="73"/>
      <c r="R27" s="4"/>
      <c r="S27" s="4"/>
      <c r="T27" s="4"/>
      <c r="U27" s="4"/>
      <c r="V27" s="4"/>
      <c r="W27" s="4"/>
      <c r="X27" s="4"/>
      <c r="Y27" s="4"/>
      <c r="Z27" s="4"/>
      <c r="AA27" s="9"/>
      <c r="AC27" s="510">
        <v>0.3</v>
      </c>
      <c r="AD27" s="521">
        <f t="shared" si="17"/>
        <v>3</v>
      </c>
      <c r="AE27" s="26">
        <f t="shared" ca="1" si="18"/>
        <v>0.12937500000000002</v>
      </c>
      <c r="AF27" s="21">
        <f t="shared" ref="AF27:AF33" ca="1" si="37">1-EXP(-AE27)</f>
        <v>0.12135558789636414</v>
      </c>
      <c r="AG27" s="26">
        <f t="shared" ca="1" si="19"/>
        <v>1.2135558789636413E-2</v>
      </c>
      <c r="AH27" s="1">
        <v>0.78800000000000003</v>
      </c>
      <c r="AI27" s="511">
        <f t="shared" ca="1" si="20"/>
        <v>9.562820326233493E-3</v>
      </c>
      <c r="AJ27" s="26">
        <f t="shared" ca="1" si="21"/>
        <v>0.57404826475613102</v>
      </c>
      <c r="AL27" s="510">
        <v>0.3</v>
      </c>
      <c r="AM27" s="521">
        <f t="shared" si="22"/>
        <v>4</v>
      </c>
      <c r="AN27" s="26">
        <f t="shared" ca="1" si="23"/>
        <v>0.1388888888888889</v>
      </c>
      <c r="AO27" s="21">
        <f t="shared" ref="AO27:AO33" ca="1" si="38">1-EXP(-AN27)</f>
        <v>0.12967527416660951</v>
      </c>
      <c r="AP27" s="26">
        <f t="shared" ca="1" si="24"/>
        <v>1.2967527416660952E-2</v>
      </c>
      <c r="AQ27" s="1">
        <v>1</v>
      </c>
      <c r="AR27" s="511">
        <f t="shared" ca="1" si="25"/>
        <v>1.2967527416660952E-2</v>
      </c>
      <c r="AS27" s="26">
        <f t="shared" ca="1" si="26"/>
        <v>0.77843004027701268</v>
      </c>
      <c r="AU27" s="510">
        <v>0.3</v>
      </c>
      <c r="AV27" s="521">
        <f t="shared" si="27"/>
        <v>4</v>
      </c>
      <c r="AW27" s="26">
        <f t="shared" ca="1" si="28"/>
        <v>0.155</v>
      </c>
      <c r="AX27" s="21">
        <f t="shared" ref="AX27:AX33" ca="1" si="39">1-EXP(-AW27)</f>
        <v>0.14358482251638649</v>
      </c>
      <c r="AY27" s="26">
        <f t="shared" ca="1" si="29"/>
        <v>1.435848225163865E-2</v>
      </c>
      <c r="AZ27" s="1">
        <v>1</v>
      </c>
      <c r="BA27" s="511">
        <f t="shared" ca="1" si="30"/>
        <v>1.435848225163865E-2</v>
      </c>
      <c r="BB27" s="26">
        <f t="shared" ca="1" si="31"/>
        <v>0.86192791874103203</v>
      </c>
      <c r="BD27" s="510">
        <v>0.3</v>
      </c>
      <c r="BE27" s="521">
        <f t="shared" si="32"/>
        <v>5</v>
      </c>
      <c r="BF27" s="26">
        <f t="shared" ca="1" si="33"/>
        <v>0.21599999999999997</v>
      </c>
      <c r="BG27" s="21">
        <f t="shared" ref="BG27:BG33" ca="1" si="40">1-EXP(-BF27)</f>
        <v>0.19426469812652036</v>
      </c>
      <c r="BH27" s="26">
        <f t="shared" ca="1" si="34"/>
        <v>1.9426469812652038E-2</v>
      </c>
      <c r="BI27" s="1">
        <v>1</v>
      </c>
      <c r="BJ27" s="511">
        <f t="shared" ca="1" si="35"/>
        <v>1.9426469812652038E-2</v>
      </c>
      <c r="BK27" s="26">
        <f t="shared" ca="1" si="36"/>
        <v>1.1661550573838497</v>
      </c>
    </row>
    <row r="28" spans="1:65" x14ac:dyDescent="0.25">
      <c r="A28" s="6"/>
      <c r="B28" s="7" t="s">
        <v>80</v>
      </c>
      <c r="C28" s="7"/>
      <c r="D28" s="28"/>
      <c r="E28" s="28"/>
      <c r="F28" s="28"/>
      <c r="G28" s="28"/>
      <c r="H28" s="15"/>
      <c r="I28" s="7"/>
      <c r="J28" s="7" t="s">
        <v>14</v>
      </c>
      <c r="K28" s="7"/>
      <c r="L28" s="7"/>
      <c r="M28" s="7"/>
      <c r="N28" s="7"/>
      <c r="O28" s="7"/>
      <c r="P28" s="7"/>
      <c r="Q28" s="74"/>
      <c r="R28" s="7"/>
      <c r="S28" s="7"/>
      <c r="T28" s="7"/>
      <c r="U28" s="7"/>
      <c r="V28" s="7"/>
      <c r="W28" s="7"/>
      <c r="X28" s="7"/>
      <c r="Y28" s="7"/>
      <c r="Z28" s="7"/>
      <c r="AA28" s="15"/>
      <c r="AC28" s="510">
        <v>0.4</v>
      </c>
      <c r="AD28" s="521">
        <f t="shared" si="17"/>
        <v>3</v>
      </c>
      <c r="AE28" s="26">
        <f t="shared" ca="1" si="18"/>
        <v>0.17875000000000002</v>
      </c>
      <c r="AF28" s="21">
        <f t="shared" ca="1" si="37"/>
        <v>0.1636850479976284</v>
      </c>
      <c r="AG28" s="26">
        <f t="shared" ca="1" si="19"/>
        <v>1.6368504799762838E-2</v>
      </c>
      <c r="AH28" s="1">
        <v>0.78800000000000003</v>
      </c>
      <c r="AI28" s="511">
        <f t="shared" ca="1" si="20"/>
        <v>1.2898381782213118E-2</v>
      </c>
      <c r="AJ28" s="26">
        <f t="shared" ca="1" si="21"/>
        <v>0.77427928452545347</v>
      </c>
      <c r="AL28" s="510">
        <v>0.4</v>
      </c>
      <c r="AM28" s="521">
        <f t="shared" si="22"/>
        <v>4</v>
      </c>
      <c r="AN28" s="26">
        <f t="shared" ca="1" si="23"/>
        <v>0.18333333333333338</v>
      </c>
      <c r="AO28" s="21">
        <f t="shared" ca="1" si="38"/>
        <v>0.16750938738839738</v>
      </c>
      <c r="AP28" s="26">
        <f t="shared" ca="1" si="24"/>
        <v>1.6750938738839739E-2</v>
      </c>
      <c r="AQ28" s="1">
        <v>1</v>
      </c>
      <c r="AR28" s="511">
        <f t="shared" ca="1" si="25"/>
        <v>1.6750938738839739E-2</v>
      </c>
      <c r="AS28" s="26">
        <f t="shared" ca="1" si="26"/>
        <v>1.0055451203750263</v>
      </c>
      <c r="AU28" s="510">
        <v>0.4</v>
      </c>
      <c r="AV28" s="521">
        <f t="shared" si="27"/>
        <v>5</v>
      </c>
      <c r="AW28" s="26">
        <f t="shared" ca="1" si="28"/>
        <v>0.21230769230769231</v>
      </c>
      <c r="AX28" s="21">
        <f t="shared" ca="1" si="39"/>
        <v>0.19128417635787642</v>
      </c>
      <c r="AY28" s="26">
        <f t="shared" ca="1" si="29"/>
        <v>1.9128417635787643E-2</v>
      </c>
      <c r="AZ28" s="1">
        <v>1</v>
      </c>
      <c r="BA28" s="511">
        <f t="shared" ca="1" si="30"/>
        <v>1.9128417635787643E-2</v>
      </c>
      <c r="BB28" s="26">
        <f t="shared" ca="1" si="31"/>
        <v>1.1482632295444801</v>
      </c>
      <c r="BD28" s="510">
        <v>0.4</v>
      </c>
      <c r="BE28" s="521">
        <f t="shared" si="32"/>
        <v>5</v>
      </c>
      <c r="BF28" s="26">
        <f t="shared" ca="1" si="33"/>
        <v>0.29799999999999999</v>
      </c>
      <c r="BG28" s="21">
        <f t="shared" ca="1" si="40"/>
        <v>0.25769866025222565</v>
      </c>
      <c r="BH28" s="26">
        <f t="shared" ca="1" si="34"/>
        <v>2.5769866025222566E-2</v>
      </c>
      <c r="BI28" s="1">
        <v>1</v>
      </c>
      <c r="BJ28" s="511">
        <f t="shared" ca="1" si="35"/>
        <v>2.5769866025222566E-2</v>
      </c>
      <c r="BK28" s="26">
        <f t="shared" ca="1" si="36"/>
        <v>1.5469439318226283</v>
      </c>
    </row>
    <row r="29" spans="1:65" x14ac:dyDescent="0.25">
      <c r="A29" s="6"/>
      <c r="B29" s="7" t="s">
        <v>15</v>
      </c>
      <c r="C29" s="7"/>
      <c r="D29" s="28"/>
      <c r="E29" s="28"/>
      <c r="F29" s="28"/>
      <c r="G29" s="28"/>
      <c r="H29" s="15"/>
      <c r="I29" s="7"/>
      <c r="J29" s="7" t="s">
        <v>15</v>
      </c>
      <c r="K29" s="7"/>
      <c r="L29" s="7"/>
      <c r="M29" s="7"/>
      <c r="N29" s="7"/>
      <c r="O29" s="7"/>
      <c r="P29" s="7"/>
      <c r="Q29" s="75" t="s">
        <v>37</v>
      </c>
      <c r="R29" s="7"/>
      <c r="S29" s="7"/>
      <c r="T29" s="7"/>
      <c r="U29" s="7"/>
      <c r="V29" s="7"/>
      <c r="W29" s="74"/>
      <c r="X29" s="7"/>
      <c r="Y29" s="7"/>
      <c r="Z29" s="7"/>
      <c r="AA29" s="15"/>
      <c r="AC29" s="513">
        <v>0.5</v>
      </c>
      <c r="AD29" s="522">
        <f t="shared" si="17"/>
        <v>4</v>
      </c>
      <c r="AE29" s="515">
        <f t="shared" ca="1" si="18"/>
        <v>0.23749999999999993</v>
      </c>
      <c r="AF29" s="514">
        <f t="shared" ca="1" si="37"/>
        <v>0.21140310901892334</v>
      </c>
      <c r="AG29" s="515">
        <f t="shared" ca="1" si="19"/>
        <v>2.1140310901892334E-2</v>
      </c>
      <c r="AH29" s="516">
        <v>0.78800000000000003</v>
      </c>
      <c r="AI29" s="517">
        <f t="shared" ca="1" si="20"/>
        <v>1.6658564990691158E-2</v>
      </c>
      <c r="AJ29" s="525">
        <f t="shared" ca="1" si="21"/>
        <v>1</v>
      </c>
      <c r="AK29" s="65"/>
      <c r="AL29" s="523">
        <v>0.5</v>
      </c>
      <c r="AM29" s="524">
        <f t="shared" si="22"/>
        <v>5</v>
      </c>
      <c r="AN29" s="525">
        <f t="shared" ca="1" si="23"/>
        <v>0.26250000000000001</v>
      </c>
      <c r="AO29" s="64">
        <f t="shared" ca="1" si="38"/>
        <v>0.23087363563142949</v>
      </c>
      <c r="AP29" s="525">
        <f t="shared" ca="1" si="24"/>
        <v>2.3087363563142949E-2</v>
      </c>
      <c r="AQ29" s="65">
        <v>1</v>
      </c>
      <c r="AR29" s="526">
        <f t="shared" ca="1" si="25"/>
        <v>2.3087363563142949E-2</v>
      </c>
      <c r="AS29" s="525">
        <f t="shared" ca="1" si="26"/>
        <v>1.3859155080911361</v>
      </c>
      <c r="AT29" s="65"/>
      <c r="AU29" s="523">
        <v>0.5</v>
      </c>
      <c r="AV29" s="524">
        <f t="shared" si="27"/>
        <v>5</v>
      </c>
      <c r="AW29" s="525">
        <f t="shared" ca="1" si="28"/>
        <v>0.27307692307692305</v>
      </c>
      <c r="AX29" s="64">
        <f t="shared" ca="1" si="39"/>
        <v>0.23896575571841805</v>
      </c>
      <c r="AY29" s="525">
        <f t="shared" ca="1" si="29"/>
        <v>2.3896575571841806E-2</v>
      </c>
      <c r="AZ29" s="65">
        <v>1</v>
      </c>
      <c r="BA29" s="526">
        <f t="shared" ca="1" si="30"/>
        <v>2.3896575571841806E-2</v>
      </c>
      <c r="BB29" s="525">
        <f t="shared" ca="1" si="31"/>
        <v>1.4344918415959156</v>
      </c>
      <c r="BC29" s="65"/>
      <c r="BD29" s="523">
        <v>0.5</v>
      </c>
      <c r="BE29" s="524">
        <f t="shared" si="32"/>
        <v>7</v>
      </c>
      <c r="BF29" s="525">
        <f t="shared" ca="1" si="33"/>
        <v>0.48000000000000004</v>
      </c>
      <c r="BG29" s="64">
        <f t="shared" ca="1" si="40"/>
        <v>0.38121660819385916</v>
      </c>
      <c r="BH29" s="525">
        <f t="shared" ca="1" si="34"/>
        <v>3.8121660819385915E-2</v>
      </c>
      <c r="BI29" s="65">
        <v>1</v>
      </c>
      <c r="BJ29" s="526">
        <f t="shared" ca="1" si="35"/>
        <v>3.8121660819385915E-2</v>
      </c>
      <c r="BK29" s="525">
        <f t="shared" ca="1" si="36"/>
        <v>2.2884120475376108</v>
      </c>
    </row>
    <row r="30" spans="1:65" x14ac:dyDescent="0.25">
      <c r="A30" s="6"/>
      <c r="B30" s="7"/>
      <c r="C30" s="7"/>
      <c r="D30" s="7"/>
      <c r="E30" s="7"/>
      <c r="F30" s="7"/>
      <c r="G30" s="7"/>
      <c r="H30" s="15"/>
      <c r="I30" s="7"/>
      <c r="J30" s="7"/>
      <c r="K30" s="7"/>
      <c r="L30" s="7"/>
      <c r="M30" s="7"/>
      <c r="N30" s="7"/>
      <c r="O30" s="7"/>
      <c r="P30" s="7"/>
      <c r="Q30" s="75" t="s">
        <v>17</v>
      </c>
      <c r="R30" s="7">
        <v>4</v>
      </c>
      <c r="S30" s="7"/>
      <c r="T30" s="7"/>
      <c r="U30" s="7"/>
      <c r="V30" s="7"/>
      <c r="W30" s="74"/>
      <c r="X30" s="7"/>
      <c r="Y30" s="7"/>
      <c r="Z30" s="7"/>
      <c r="AA30" s="15"/>
      <c r="AC30" s="510">
        <v>0.6</v>
      </c>
      <c r="AD30" s="521">
        <f t="shared" si="17"/>
        <v>5</v>
      </c>
      <c r="AE30" s="26">
        <f t="shared" ca="1" si="18"/>
        <v>0.30499999999999983</v>
      </c>
      <c r="AF30" s="21">
        <f t="shared" ca="1" si="37"/>
        <v>0.26287662560837211</v>
      </c>
      <c r="AG30" s="26">
        <f t="shared" ca="1" si="19"/>
        <v>2.628766256083721E-2</v>
      </c>
      <c r="AH30" s="1">
        <v>0.78800000000000003</v>
      </c>
      <c r="AI30" s="511">
        <f t="shared" ca="1" si="20"/>
        <v>2.0714678097939723E-2</v>
      </c>
      <c r="AJ30" s="26">
        <f t="shared" ca="1" si="21"/>
        <v>1.2434851446997464</v>
      </c>
      <c r="AL30" s="510">
        <v>0.6</v>
      </c>
      <c r="AM30" s="521">
        <f t="shared" si="22"/>
        <v>6</v>
      </c>
      <c r="AN30" s="26">
        <f t="shared" ca="1" si="23"/>
        <v>0.36250000000000004</v>
      </c>
      <c r="AO30" s="21">
        <f t="shared" ca="1" si="38"/>
        <v>0.304065686321358</v>
      </c>
      <c r="AP30" s="26">
        <f t="shared" ca="1" si="24"/>
        <v>3.04065686321358E-2</v>
      </c>
      <c r="AQ30" s="1">
        <v>1</v>
      </c>
      <c r="AR30" s="511">
        <f t="shared" ca="1" si="25"/>
        <v>3.04065686321358E-2</v>
      </c>
      <c r="AS30" s="26">
        <f t="shared" ca="1" si="26"/>
        <v>1.8252813882304422</v>
      </c>
      <c r="AU30" s="510">
        <v>0.6</v>
      </c>
      <c r="AV30" s="521">
        <f t="shared" si="27"/>
        <v>7</v>
      </c>
      <c r="AW30" s="26">
        <f t="shared" ca="1" si="28"/>
        <v>0.40571428571428564</v>
      </c>
      <c r="AX30" s="21">
        <f t="shared" ca="1" si="39"/>
        <v>0.33349943104264002</v>
      </c>
      <c r="AY30" s="26">
        <f t="shared" ca="1" si="29"/>
        <v>3.3349943104264E-2</v>
      </c>
      <c r="AZ30" s="1">
        <v>1</v>
      </c>
      <c r="BA30" s="511">
        <f t="shared" ca="1" si="30"/>
        <v>3.3349943104264E-2</v>
      </c>
      <c r="BB30" s="26">
        <f t="shared" ca="1" si="31"/>
        <v>2.0019697448669809</v>
      </c>
      <c r="BD30" s="510">
        <v>0.6</v>
      </c>
      <c r="BE30" s="521">
        <f t="shared" si="32"/>
        <v>8</v>
      </c>
      <c r="BF30" s="26">
        <f t="shared" ca="1" si="33"/>
        <v>0.5423529411764707</v>
      </c>
      <c r="BG30" s="21">
        <f t="shared" ca="1" si="40"/>
        <v>0.41862130810505327</v>
      </c>
      <c r="BH30" s="26">
        <f t="shared" ca="1" si="34"/>
        <v>4.1862130810505327E-2</v>
      </c>
      <c r="BI30" s="1">
        <v>1</v>
      </c>
      <c r="BJ30" s="511">
        <f t="shared" ca="1" si="35"/>
        <v>4.1862130810505327E-2</v>
      </c>
      <c r="BK30" s="26">
        <f t="shared" ca="1" si="36"/>
        <v>2.5129493947346591</v>
      </c>
    </row>
    <row r="31" spans="1:65" x14ac:dyDescent="0.25">
      <c r="A31" s="6"/>
      <c r="B31" s="7" t="s">
        <v>30</v>
      </c>
      <c r="C31" s="7"/>
      <c r="D31" s="7"/>
      <c r="E31" s="7"/>
      <c r="F31" s="7"/>
      <c r="G31" s="7"/>
      <c r="H31" s="15"/>
      <c r="I31" s="7"/>
      <c r="J31" s="7" t="s">
        <v>30</v>
      </c>
      <c r="K31" s="7"/>
      <c r="L31" s="7"/>
      <c r="M31" s="7"/>
      <c r="N31" s="7"/>
      <c r="O31" s="7"/>
      <c r="P31" s="7"/>
      <c r="Q31" s="7" t="s">
        <v>39</v>
      </c>
      <c r="R31" s="7">
        <v>2</v>
      </c>
      <c r="S31" s="7" t="s">
        <v>38</v>
      </c>
      <c r="U31" s="7"/>
      <c r="V31" s="7"/>
      <c r="W31" s="74"/>
      <c r="X31" s="7"/>
      <c r="Y31" s="7"/>
      <c r="Z31" s="7"/>
      <c r="AA31" s="15"/>
      <c r="AC31" s="510">
        <v>0.7</v>
      </c>
      <c r="AD31" s="521">
        <f t="shared" si="17"/>
        <v>6</v>
      </c>
      <c r="AE31" s="26">
        <f t="shared" ca="1" si="18"/>
        <v>0.4300000000000006</v>
      </c>
      <c r="AF31" s="21">
        <f t="shared" ca="1" si="37"/>
        <v>0.34949090527668381</v>
      </c>
      <c r="AG31" s="26">
        <f t="shared" ca="1" si="19"/>
        <v>3.4949090527668383E-2</v>
      </c>
      <c r="AH31" s="1">
        <v>0.78800000000000003</v>
      </c>
      <c r="AI31" s="511">
        <f t="shared" ca="1" si="20"/>
        <v>2.7539883335802689E-2</v>
      </c>
      <c r="AJ31" s="26">
        <f t="shared" ca="1" si="21"/>
        <v>1.6531966199484791</v>
      </c>
      <c r="AL31" s="510">
        <v>0.7</v>
      </c>
      <c r="AM31" s="521">
        <f t="shared" si="22"/>
        <v>8</v>
      </c>
      <c r="AN31" s="26">
        <f t="shared" ca="1" si="23"/>
        <v>0.50909090909090915</v>
      </c>
      <c r="AO31" s="21">
        <f t="shared" ca="1" si="38"/>
        <v>0.39895826790220701</v>
      </c>
      <c r="AP31" s="26">
        <f t="shared" ca="1" si="24"/>
        <v>3.9895826790220704E-2</v>
      </c>
      <c r="AQ31" s="1">
        <v>1</v>
      </c>
      <c r="AR31" s="511">
        <f t="shared" ca="1" si="25"/>
        <v>3.9895826790220704E-2</v>
      </c>
      <c r="AS31" s="26">
        <f t="shared" ca="1" si="26"/>
        <v>2.3949137763375523</v>
      </c>
      <c r="AU31" s="510">
        <v>0.7</v>
      </c>
      <c r="AV31" s="521">
        <f t="shared" si="27"/>
        <v>8</v>
      </c>
      <c r="AW31" s="26">
        <f t="shared" ca="1" si="28"/>
        <v>0.51181818181818184</v>
      </c>
      <c r="AX31" s="21">
        <f t="shared" ca="1" si="39"/>
        <v>0.40059523937762831</v>
      </c>
      <c r="AY31" s="26">
        <f t="shared" ca="1" si="29"/>
        <v>4.0059523937762832E-2</v>
      </c>
      <c r="AZ31" s="1">
        <v>1</v>
      </c>
      <c r="BA31" s="511">
        <f t="shared" ca="1" si="30"/>
        <v>4.0059523937762832E-2</v>
      </c>
      <c r="BB31" s="26">
        <f t="shared" ca="1" si="31"/>
        <v>2.4047403819085367</v>
      </c>
      <c r="BD31" s="510">
        <v>0.7</v>
      </c>
      <c r="BE31" s="521">
        <f t="shared" si="32"/>
        <v>8</v>
      </c>
      <c r="BF31" s="26">
        <f t="shared" ca="1" si="33"/>
        <v>0.59058823529411764</v>
      </c>
      <c r="BG31" s="21">
        <f t="shared" ca="1" si="40"/>
        <v>0.44599869425329364</v>
      </c>
      <c r="BH31" s="26">
        <f t="shared" ca="1" si="34"/>
        <v>4.4599869425329362E-2</v>
      </c>
      <c r="BI31" s="1">
        <v>1</v>
      </c>
      <c r="BJ31" s="511">
        <f t="shared" ca="1" si="35"/>
        <v>4.4599869425329362E-2</v>
      </c>
      <c r="BK31" s="26">
        <f t="shared" ca="1" si="36"/>
        <v>2.6772935994337965</v>
      </c>
    </row>
    <row r="32" spans="1:65" x14ac:dyDescent="0.25">
      <c r="A32" s="6"/>
      <c r="B32" s="8"/>
      <c r="C32" s="8"/>
      <c r="D32" s="8">
        <v>5</v>
      </c>
      <c r="E32" s="8">
        <v>5</v>
      </c>
      <c r="F32" s="8">
        <v>5</v>
      </c>
      <c r="G32" s="8">
        <v>5</v>
      </c>
      <c r="H32" s="15"/>
      <c r="I32" s="7"/>
      <c r="J32" s="8"/>
      <c r="K32" s="8"/>
      <c r="L32" s="8">
        <v>5</v>
      </c>
      <c r="M32" s="8">
        <v>5</v>
      </c>
      <c r="N32" s="8">
        <v>5</v>
      </c>
      <c r="O32" s="8">
        <v>5</v>
      </c>
      <c r="P32" s="7"/>
      <c r="Q32" s="7" t="s">
        <v>40</v>
      </c>
      <c r="R32" s="7">
        <v>26</v>
      </c>
      <c r="S32" s="7" t="s">
        <v>41</v>
      </c>
      <c r="U32" s="7"/>
      <c r="V32" s="7"/>
      <c r="W32" s="74"/>
      <c r="X32" s="7"/>
      <c r="Y32" s="7"/>
      <c r="Z32" s="7"/>
      <c r="AA32" s="15"/>
      <c r="AC32" s="510">
        <v>0.8</v>
      </c>
      <c r="AD32" s="521">
        <f t="shared" si="17"/>
        <v>7</v>
      </c>
      <c r="AE32" s="26">
        <f t="shared" ca="1" si="18"/>
        <v>0.50600000000000001</v>
      </c>
      <c r="AF32" s="21">
        <f t="shared" ca="1" si="37"/>
        <v>0.39709762849615793</v>
      </c>
      <c r="AG32" s="26">
        <f t="shared" ca="1" si="19"/>
        <v>3.970976284961579E-2</v>
      </c>
      <c r="AH32" s="1">
        <v>0.78800000000000003</v>
      </c>
      <c r="AI32" s="511">
        <f t="shared" ca="1" si="20"/>
        <v>3.1291293125497242E-2</v>
      </c>
      <c r="AJ32" s="26">
        <f t="shared" ca="1" si="21"/>
        <v>1.8783906742857432</v>
      </c>
      <c r="AL32" s="510">
        <v>0.8</v>
      </c>
      <c r="AM32" s="521">
        <f t="shared" si="22"/>
        <v>8</v>
      </c>
      <c r="AN32" s="26">
        <f t="shared" ca="1" si="23"/>
        <v>0.5818181818181819</v>
      </c>
      <c r="AO32" s="21">
        <f t="shared" ca="1" si="38"/>
        <v>0.44111870557349642</v>
      </c>
      <c r="AP32" s="26">
        <f t="shared" ca="1" si="24"/>
        <v>4.4111870557349643E-2</v>
      </c>
      <c r="AQ32" s="1">
        <v>1</v>
      </c>
      <c r="AR32" s="511">
        <f t="shared" ca="1" si="25"/>
        <v>4.4111870557349643E-2</v>
      </c>
      <c r="AS32" s="26">
        <f t="shared" ca="1" si="26"/>
        <v>2.6479994274416465</v>
      </c>
      <c r="AU32" s="510">
        <v>0.8</v>
      </c>
      <c r="AV32" s="521">
        <f t="shared" si="27"/>
        <v>8</v>
      </c>
      <c r="AW32" s="26">
        <f t="shared" ca="1" si="28"/>
        <v>0.58363636363636362</v>
      </c>
      <c r="AX32" s="21">
        <f t="shared" ca="1" si="39"/>
        <v>0.44213393017041658</v>
      </c>
      <c r="AY32" s="26">
        <f t="shared" ca="1" si="29"/>
        <v>4.4213393017041656E-2</v>
      </c>
      <c r="AZ32" s="1">
        <v>1</v>
      </c>
      <c r="BA32" s="511">
        <f t="shared" ca="1" si="30"/>
        <v>4.4213393017041656E-2</v>
      </c>
      <c r="BB32" s="26">
        <f t="shared" ca="1" si="31"/>
        <v>2.6540937374706761</v>
      </c>
      <c r="BD32" s="510">
        <v>0.8</v>
      </c>
      <c r="BE32" s="521">
        <f t="shared" si="32"/>
        <v>9</v>
      </c>
      <c r="BF32" s="26">
        <f t="shared" ca="1" si="33"/>
        <v>0.66599999999999993</v>
      </c>
      <c r="BG32" s="21">
        <f t="shared" ca="1" si="40"/>
        <v>0.48624048877000159</v>
      </c>
      <c r="BH32" s="26">
        <f t="shared" ca="1" si="34"/>
        <v>4.8624048877000156E-2</v>
      </c>
      <c r="BI32" s="1">
        <v>1</v>
      </c>
      <c r="BJ32" s="511">
        <f t="shared" ca="1" si="35"/>
        <v>4.8624048877000156E-2</v>
      </c>
      <c r="BK32" s="26">
        <f t="shared" ca="1" si="36"/>
        <v>2.9188617929678444</v>
      </c>
    </row>
    <row r="33" spans="1:63" x14ac:dyDescent="0.25">
      <c r="A33" s="10"/>
      <c r="B33" s="11" t="s">
        <v>19</v>
      </c>
      <c r="C33" s="11" t="s">
        <v>21</v>
      </c>
      <c r="D33" s="527" t="s">
        <v>0</v>
      </c>
      <c r="E33" s="528" t="s">
        <v>1</v>
      </c>
      <c r="F33" s="529" t="s">
        <v>2</v>
      </c>
      <c r="G33" s="530" t="s">
        <v>3</v>
      </c>
      <c r="H33" s="19"/>
      <c r="I33" s="7"/>
      <c r="J33" s="11" t="s">
        <v>19</v>
      </c>
      <c r="K33" s="11" t="s">
        <v>21</v>
      </c>
      <c r="L33" s="527" t="s">
        <v>0</v>
      </c>
      <c r="M33" s="528" t="s">
        <v>1</v>
      </c>
      <c r="N33" s="529" t="s">
        <v>2</v>
      </c>
      <c r="O33" s="530" t="s">
        <v>3</v>
      </c>
      <c r="P33" s="7"/>
      <c r="Q33" s="75" t="s">
        <v>42</v>
      </c>
      <c r="R33" s="7">
        <v>1</v>
      </c>
      <c r="S33" s="7" t="s">
        <v>43</v>
      </c>
      <c r="U33" s="7"/>
      <c r="V33" s="7"/>
      <c r="W33" s="74"/>
      <c r="X33" s="7"/>
      <c r="Y33" s="7"/>
      <c r="Z33" s="7"/>
      <c r="AA33" s="15"/>
      <c r="AC33" s="510">
        <v>0.9</v>
      </c>
      <c r="AD33" s="521">
        <f t="shared" si="17"/>
        <v>10</v>
      </c>
      <c r="AE33" s="26">
        <f t="shared" ca="1" si="18"/>
        <v>0.75500000000000034</v>
      </c>
      <c r="AF33" s="21">
        <f t="shared" ca="1" si="37"/>
        <v>0.52998938526946215</v>
      </c>
      <c r="AG33" s="26">
        <f t="shared" ca="1" si="19"/>
        <v>5.2998938526946218E-2</v>
      </c>
      <c r="AH33" s="1">
        <v>0.78800000000000003</v>
      </c>
      <c r="AI33" s="511">
        <f t="shared" ca="1" si="20"/>
        <v>4.1763163559233624E-2</v>
      </c>
      <c r="AJ33" s="26">
        <f t="shared" ca="1" si="21"/>
        <v>2.5070084717723868</v>
      </c>
      <c r="AL33" s="510">
        <v>0.9</v>
      </c>
      <c r="AM33" s="521">
        <f>MATCH(AL33,AQ$7:AQ$20,1)</f>
        <v>11</v>
      </c>
      <c r="AN33" s="26">
        <f t="shared" ca="1" si="23"/>
        <v>0.8</v>
      </c>
      <c r="AO33" s="21">
        <f t="shared" ca="1" si="38"/>
        <v>0.55067103588277844</v>
      </c>
      <c r="AP33" s="26">
        <f t="shared" ca="1" si="24"/>
        <v>5.5067103588277842E-2</v>
      </c>
      <c r="AQ33" s="1">
        <v>1</v>
      </c>
      <c r="AR33" s="511">
        <f t="shared" ca="1" si="25"/>
        <v>5.5067103588277842E-2</v>
      </c>
      <c r="AS33" s="26">
        <f t="shared" ca="1" si="26"/>
        <v>3.3056330853857734</v>
      </c>
      <c r="AU33" s="510">
        <v>0.9</v>
      </c>
      <c r="AV33" s="521">
        <f t="shared" si="27"/>
        <v>10</v>
      </c>
      <c r="AW33" s="26">
        <f t="shared" ca="1" si="28"/>
        <v>0.75166666666666671</v>
      </c>
      <c r="AX33" s="21">
        <f t="shared" ca="1" si="39"/>
        <v>0.52842006914655903</v>
      </c>
      <c r="AY33" s="26">
        <f t="shared" ca="1" si="29"/>
        <v>5.2842006914655903E-2</v>
      </c>
      <c r="AZ33" s="1">
        <v>1</v>
      </c>
      <c r="BA33" s="511">
        <f t="shared" ca="1" si="30"/>
        <v>5.2842006914655903E-2</v>
      </c>
      <c r="BB33" s="26">
        <f t="shared" ca="1" si="31"/>
        <v>3.1720623561623782</v>
      </c>
      <c r="BD33" s="510">
        <v>0.9</v>
      </c>
      <c r="BE33" s="521">
        <f t="shared" si="32"/>
        <v>11</v>
      </c>
      <c r="BF33" s="26">
        <f t="shared" ca="1" si="33"/>
        <v>0.82000000000000006</v>
      </c>
      <c r="BG33" s="21">
        <f t="shared" ca="1" si="40"/>
        <v>0.55956834549400081</v>
      </c>
      <c r="BH33" s="26">
        <f t="shared" ca="1" si="34"/>
        <v>5.5956834549400078E-2</v>
      </c>
      <c r="BI33" s="1">
        <v>1</v>
      </c>
      <c r="BJ33" s="511">
        <f t="shared" ca="1" si="35"/>
        <v>5.5956834549400078E-2</v>
      </c>
      <c r="BK33" s="26">
        <f t="shared" ca="1" si="36"/>
        <v>3.3590429055965432</v>
      </c>
    </row>
    <row r="34" spans="1:63" x14ac:dyDescent="0.25">
      <c r="A34" s="6"/>
      <c r="B34" s="8">
        <v>0</v>
      </c>
      <c r="C34" s="8">
        <v>0</v>
      </c>
      <c r="D34" s="8">
        <v>4</v>
      </c>
      <c r="E34" s="8">
        <v>3</v>
      </c>
      <c r="F34" s="8">
        <v>2</v>
      </c>
      <c r="G34" s="8">
        <v>4</v>
      </c>
      <c r="H34" s="15"/>
      <c r="I34" s="7"/>
      <c r="J34" s="8">
        <v>0</v>
      </c>
      <c r="K34" s="8">
        <v>0</v>
      </c>
      <c r="L34" s="8">
        <f>SUM(D34:D$45)</f>
        <v>83</v>
      </c>
      <c r="M34" s="8">
        <f>SUM(E34:E$45)</f>
        <v>83</v>
      </c>
      <c r="N34" s="8">
        <f>SUM(F34:F$45)</f>
        <v>83</v>
      </c>
      <c r="O34" s="8">
        <f>SUM(G34:G$45)</f>
        <v>82</v>
      </c>
      <c r="P34" s="7"/>
      <c r="Q34" s="75"/>
      <c r="R34" s="7"/>
      <c r="S34" s="7"/>
      <c r="T34" s="7"/>
      <c r="U34" s="7"/>
      <c r="V34" s="7"/>
      <c r="W34" s="74"/>
      <c r="X34" s="7"/>
      <c r="Y34" s="7"/>
      <c r="Z34" s="7"/>
      <c r="AA34" s="15"/>
      <c r="AC34" s="510"/>
      <c r="AD34" s="510"/>
      <c r="AE34" s="21"/>
      <c r="AF34" s="21"/>
      <c r="AG34" s="26"/>
      <c r="AI34" s="511"/>
      <c r="BK34" s="5"/>
    </row>
    <row r="35" spans="1:63" x14ac:dyDescent="0.25">
      <c r="A35" s="6"/>
      <c r="B35" s="8">
        <v>0</v>
      </c>
      <c r="C35" s="8">
        <v>9</v>
      </c>
      <c r="D35" s="8">
        <v>25</v>
      </c>
      <c r="E35" s="8">
        <v>22</v>
      </c>
      <c r="F35" s="8">
        <v>13</v>
      </c>
      <c r="G35" s="8">
        <v>29</v>
      </c>
      <c r="H35" s="15"/>
      <c r="I35" s="7"/>
      <c r="J35" s="8">
        <v>0</v>
      </c>
      <c r="K35" s="8">
        <v>9</v>
      </c>
      <c r="L35" s="8">
        <f>SUM(D35:D$45)</f>
        <v>79</v>
      </c>
      <c r="M35" s="8">
        <f>SUM(E35:E$45)</f>
        <v>80</v>
      </c>
      <c r="N35" s="8">
        <f>SUM(F35:F$45)</f>
        <v>81</v>
      </c>
      <c r="O35" s="8">
        <f>SUM(G35:G$45)</f>
        <v>78</v>
      </c>
      <c r="P35" s="7"/>
      <c r="Q35" s="75" t="s">
        <v>48</v>
      </c>
      <c r="R35" s="7"/>
      <c r="S35" s="7"/>
      <c r="T35" s="7"/>
      <c r="U35" s="7"/>
      <c r="V35" s="7"/>
      <c r="W35" s="74"/>
      <c r="X35" s="7"/>
      <c r="Y35" s="7"/>
      <c r="Z35" s="7"/>
      <c r="AA35" s="15"/>
      <c r="BK35" s="5"/>
    </row>
    <row r="36" spans="1:63" x14ac:dyDescent="0.25">
      <c r="A36" s="6"/>
      <c r="B36" s="8">
        <v>10</v>
      </c>
      <c r="C36" s="8">
        <f>C35+10</f>
        <v>19</v>
      </c>
      <c r="D36" s="20">
        <v>17</v>
      </c>
      <c r="E36" s="20">
        <v>22</v>
      </c>
      <c r="F36" s="8">
        <v>18</v>
      </c>
      <c r="G36" s="20">
        <v>23</v>
      </c>
      <c r="H36" s="15"/>
      <c r="I36" s="7"/>
      <c r="J36" s="8">
        <v>10</v>
      </c>
      <c r="K36" s="8">
        <f>K35+10</f>
        <v>19</v>
      </c>
      <c r="L36" s="8">
        <f>SUM(D36:D$45)</f>
        <v>54</v>
      </c>
      <c r="M36" s="8">
        <f>SUM(E36:E$45)</f>
        <v>58</v>
      </c>
      <c r="N36" s="8">
        <f>SUM(F36:F$45)</f>
        <v>68</v>
      </c>
      <c r="O36" s="8">
        <f>SUM(G36:G$45)</f>
        <v>49</v>
      </c>
      <c r="P36" s="7"/>
      <c r="Q36" s="75" t="s">
        <v>49</v>
      </c>
      <c r="R36" s="7">
        <v>43</v>
      </c>
      <c r="S36" s="7" t="s">
        <v>50</v>
      </c>
      <c r="T36" s="7"/>
      <c r="U36" s="7"/>
      <c r="V36" s="7"/>
      <c r="W36" s="74"/>
      <c r="X36" s="7"/>
      <c r="Y36" s="7"/>
      <c r="Z36" s="7"/>
      <c r="AA36" s="15"/>
      <c r="BK36" s="5"/>
    </row>
    <row r="37" spans="1:63" x14ac:dyDescent="0.25">
      <c r="A37" s="6"/>
      <c r="B37" s="8">
        <v>20</v>
      </c>
      <c r="C37" s="8">
        <f t="shared" ref="C37:C44" si="41">C36+10</f>
        <v>29</v>
      </c>
      <c r="D37" s="8">
        <v>13</v>
      </c>
      <c r="E37" s="8">
        <v>15</v>
      </c>
      <c r="F37" s="20">
        <v>11</v>
      </c>
      <c r="G37" s="8">
        <v>10</v>
      </c>
      <c r="H37" s="15"/>
      <c r="I37" s="7"/>
      <c r="J37" s="8">
        <v>20</v>
      </c>
      <c r="K37" s="8">
        <f t="shared" ref="K37:K44" si="42">K36+10</f>
        <v>29</v>
      </c>
      <c r="L37" s="23">
        <f>SUM(D37:D$45)</f>
        <v>37</v>
      </c>
      <c r="M37" s="23">
        <f>SUM(E37:E$45)</f>
        <v>36</v>
      </c>
      <c r="N37" s="8">
        <f>SUM(F37:F$45)</f>
        <v>50</v>
      </c>
      <c r="O37" s="23">
        <f>SUM(G37:G$45)</f>
        <v>26</v>
      </c>
      <c r="P37" s="7"/>
      <c r="Q37" s="76" t="s">
        <v>52</v>
      </c>
      <c r="R37" s="7">
        <v>37</v>
      </c>
      <c r="S37" s="7" t="s">
        <v>51</v>
      </c>
      <c r="T37" s="7"/>
      <c r="U37" s="7"/>
      <c r="V37" s="7"/>
      <c r="W37" s="74"/>
      <c r="X37" s="7"/>
      <c r="Y37" s="7"/>
      <c r="Z37" s="7"/>
      <c r="AA37" s="15"/>
      <c r="BK37" s="5"/>
    </row>
    <row r="38" spans="1:63" x14ac:dyDescent="0.25">
      <c r="A38" s="6"/>
      <c r="B38" s="8">
        <v>30</v>
      </c>
      <c r="C38" s="8">
        <f t="shared" si="41"/>
        <v>39</v>
      </c>
      <c r="D38" s="8">
        <v>11</v>
      </c>
      <c r="E38" s="8">
        <v>7</v>
      </c>
      <c r="F38" s="8">
        <v>16</v>
      </c>
      <c r="G38" s="8">
        <v>6</v>
      </c>
      <c r="H38" s="15"/>
      <c r="I38" s="7"/>
      <c r="J38" s="8">
        <v>30</v>
      </c>
      <c r="K38" s="8">
        <f t="shared" si="42"/>
        <v>39</v>
      </c>
      <c r="L38" s="8">
        <f>SUM(D38:D$45)</f>
        <v>24</v>
      </c>
      <c r="M38" s="8">
        <f>SUM(E38:E$45)</f>
        <v>21</v>
      </c>
      <c r="N38" s="8">
        <f>SUM(F38:F$45)</f>
        <v>39</v>
      </c>
      <c r="O38" s="8">
        <f>SUM(G38:G$45)</f>
        <v>16</v>
      </c>
      <c r="P38" s="7"/>
      <c r="Q38" s="77">
        <v>0.3</v>
      </c>
      <c r="R38" s="7">
        <v>6</v>
      </c>
      <c r="S38" s="7" t="s">
        <v>53</v>
      </c>
      <c r="T38" s="7"/>
      <c r="U38" s="7"/>
      <c r="V38" s="7"/>
      <c r="W38" s="74"/>
      <c r="X38" s="7"/>
      <c r="Y38" s="7"/>
      <c r="Z38" s="7"/>
      <c r="AA38" s="15"/>
    </row>
    <row r="39" spans="1:63" x14ac:dyDescent="0.25">
      <c r="A39" s="6"/>
      <c r="B39" s="8">
        <v>40</v>
      </c>
      <c r="C39" s="8">
        <f t="shared" si="41"/>
        <v>49</v>
      </c>
      <c r="D39" s="8">
        <v>4</v>
      </c>
      <c r="E39" s="8">
        <v>3</v>
      </c>
      <c r="F39" s="8">
        <v>4</v>
      </c>
      <c r="G39" s="8">
        <v>1</v>
      </c>
      <c r="H39" s="15"/>
      <c r="I39" s="7"/>
      <c r="J39" s="8">
        <v>40</v>
      </c>
      <c r="K39" s="8">
        <f t="shared" si="42"/>
        <v>49</v>
      </c>
      <c r="L39" s="8">
        <f>SUM(D39:D$45)</f>
        <v>13</v>
      </c>
      <c r="M39" s="8">
        <f>SUM(E39:E$45)</f>
        <v>14</v>
      </c>
      <c r="N39" s="23">
        <f>SUM(F39:F$45)</f>
        <v>23</v>
      </c>
      <c r="O39" s="8">
        <f>SUM(G39:G$45)</f>
        <v>10</v>
      </c>
      <c r="P39" s="7"/>
      <c r="Q39" s="76" t="s">
        <v>55</v>
      </c>
      <c r="R39" s="7">
        <v>1</v>
      </c>
      <c r="S39" s="7" t="s">
        <v>54</v>
      </c>
      <c r="T39" s="7"/>
      <c r="U39" s="7"/>
      <c r="V39" s="7"/>
      <c r="W39" s="74"/>
      <c r="X39" s="7"/>
      <c r="Y39" s="7"/>
      <c r="Z39" s="7"/>
      <c r="AA39" s="15"/>
    </row>
    <row r="40" spans="1:63" x14ac:dyDescent="0.25">
      <c r="A40" s="6"/>
      <c r="B40" s="8">
        <v>50</v>
      </c>
      <c r="C40" s="8">
        <f t="shared" si="41"/>
        <v>59</v>
      </c>
      <c r="D40" s="8">
        <v>4</v>
      </c>
      <c r="E40" s="8">
        <v>7</v>
      </c>
      <c r="F40" s="8">
        <v>12</v>
      </c>
      <c r="G40" s="8">
        <v>5</v>
      </c>
      <c r="H40" s="15"/>
      <c r="I40" s="7"/>
      <c r="J40" s="8">
        <v>50</v>
      </c>
      <c r="K40" s="8">
        <f t="shared" si="42"/>
        <v>59</v>
      </c>
      <c r="L40" s="8">
        <f>SUM(D40:D$45)</f>
        <v>9</v>
      </c>
      <c r="M40" s="8">
        <f>SUM(E40:E$45)</f>
        <v>11</v>
      </c>
      <c r="N40" s="22">
        <f>SUM(F40:F$45)</f>
        <v>19</v>
      </c>
      <c r="O40" s="8">
        <f>SUM(G40:G$45)</f>
        <v>9</v>
      </c>
      <c r="P40" s="7"/>
      <c r="Q40" s="77">
        <v>0.75</v>
      </c>
      <c r="R40" s="7">
        <v>1</v>
      </c>
      <c r="S40" s="7" t="s">
        <v>56</v>
      </c>
      <c r="T40" s="7"/>
      <c r="U40" s="7"/>
      <c r="V40" s="7"/>
      <c r="W40" s="74"/>
      <c r="X40" s="7"/>
      <c r="Y40" s="7"/>
      <c r="Z40" s="7"/>
      <c r="AA40" s="15"/>
    </row>
    <row r="41" spans="1:63" x14ac:dyDescent="0.25">
      <c r="A41" s="6"/>
      <c r="B41" s="8">
        <v>60</v>
      </c>
      <c r="C41" s="8">
        <f t="shared" si="41"/>
        <v>69</v>
      </c>
      <c r="D41" s="8">
        <v>1</v>
      </c>
      <c r="E41" s="8">
        <v>1</v>
      </c>
      <c r="F41" s="8">
        <v>1</v>
      </c>
      <c r="G41" s="8">
        <v>1</v>
      </c>
      <c r="H41" s="15"/>
      <c r="I41" s="7"/>
      <c r="J41" s="8">
        <v>60</v>
      </c>
      <c r="K41" s="8">
        <f t="shared" si="42"/>
        <v>69</v>
      </c>
      <c r="L41" s="8">
        <f>SUM(D41:D$45)</f>
        <v>5</v>
      </c>
      <c r="M41" s="8">
        <f>SUM(E41:E$45)</f>
        <v>4</v>
      </c>
      <c r="N41" s="8">
        <f>SUM(F41:F$45)</f>
        <v>7</v>
      </c>
      <c r="O41" s="8">
        <f>SUM(G41:G$45)</f>
        <v>4</v>
      </c>
      <c r="P41" s="7"/>
      <c r="Q41" s="76" t="s">
        <v>57</v>
      </c>
      <c r="R41" s="7">
        <v>0</v>
      </c>
      <c r="S41" s="7" t="s">
        <v>53</v>
      </c>
      <c r="T41" s="7"/>
      <c r="U41" s="7"/>
      <c r="V41" s="7"/>
      <c r="W41" s="74"/>
      <c r="X41" s="7"/>
      <c r="Y41" s="7"/>
      <c r="Z41" s="7"/>
      <c r="AA41" s="15"/>
    </row>
    <row r="42" spans="1:63" x14ac:dyDescent="0.25">
      <c r="A42" s="6"/>
      <c r="B42" s="8">
        <v>70</v>
      </c>
      <c r="C42" s="8">
        <f t="shared" si="41"/>
        <v>79</v>
      </c>
      <c r="D42" s="8">
        <v>0</v>
      </c>
      <c r="E42" s="8">
        <v>1</v>
      </c>
      <c r="F42" s="8">
        <v>4</v>
      </c>
      <c r="G42" s="8">
        <v>1</v>
      </c>
      <c r="H42" s="15"/>
      <c r="I42" s="7"/>
      <c r="J42" s="8">
        <v>70</v>
      </c>
      <c r="K42" s="8">
        <f t="shared" si="42"/>
        <v>79</v>
      </c>
      <c r="L42" s="8">
        <f>SUM(D42:D$45)</f>
        <v>4</v>
      </c>
      <c r="M42" s="8">
        <f>SUM(E42:E$45)</f>
        <v>3</v>
      </c>
      <c r="N42" s="8">
        <f>SUM(F42:F$45)</f>
        <v>6</v>
      </c>
      <c r="O42" s="8">
        <f>SUM(G42:G$45)</f>
        <v>3</v>
      </c>
      <c r="P42" s="7"/>
      <c r="Q42" s="7"/>
      <c r="R42" s="7"/>
      <c r="S42" s="7"/>
      <c r="T42" s="7"/>
      <c r="U42" s="7"/>
      <c r="V42" s="7"/>
      <c r="W42" s="74"/>
      <c r="X42" s="7"/>
      <c r="Y42" s="7"/>
      <c r="Z42" s="7"/>
      <c r="AA42" s="15"/>
    </row>
    <row r="43" spans="1:63" x14ac:dyDescent="0.25">
      <c r="A43" s="6"/>
      <c r="B43" s="8">
        <v>80</v>
      </c>
      <c r="C43" s="8">
        <f>C42+10</f>
        <v>89</v>
      </c>
      <c r="D43" s="8">
        <v>4</v>
      </c>
      <c r="E43" s="8">
        <v>2</v>
      </c>
      <c r="F43" s="8">
        <v>0</v>
      </c>
      <c r="G43" s="8">
        <v>0</v>
      </c>
      <c r="H43" s="15"/>
      <c r="I43" s="7"/>
      <c r="J43" s="8">
        <v>80</v>
      </c>
      <c r="K43" s="8">
        <f>K42+10</f>
        <v>89</v>
      </c>
      <c r="L43" s="8">
        <f>SUM(D43:D$45)</f>
        <v>4</v>
      </c>
      <c r="M43" s="8">
        <f>SUM(E43:E$45)</f>
        <v>2</v>
      </c>
      <c r="N43" s="8">
        <f>SUM(F43:F$45)</f>
        <v>2</v>
      </c>
      <c r="O43" s="8">
        <f>SUM(G43:G$45)</f>
        <v>2</v>
      </c>
      <c r="P43" s="7"/>
      <c r="Q43" s="75" t="s">
        <v>65</v>
      </c>
      <c r="R43" s="7"/>
      <c r="S43" s="7"/>
      <c r="T43" s="7"/>
      <c r="U43" s="7"/>
      <c r="V43" s="7"/>
      <c r="W43" s="74"/>
      <c r="X43" s="7"/>
      <c r="Y43" s="7"/>
      <c r="Z43" s="7"/>
      <c r="AA43" s="15"/>
    </row>
    <row r="44" spans="1:63" x14ac:dyDescent="0.25">
      <c r="A44" s="6"/>
      <c r="B44" s="8">
        <v>90</v>
      </c>
      <c r="C44" s="8">
        <f t="shared" si="41"/>
        <v>99</v>
      </c>
      <c r="D44" s="8">
        <v>0</v>
      </c>
      <c r="E44" s="8">
        <v>0</v>
      </c>
      <c r="F44" s="8">
        <v>2</v>
      </c>
      <c r="G44" s="8">
        <v>1</v>
      </c>
      <c r="H44" s="15"/>
      <c r="I44" s="7"/>
      <c r="J44" s="8">
        <v>90</v>
      </c>
      <c r="K44" s="8">
        <f t="shared" si="42"/>
        <v>99</v>
      </c>
      <c r="L44" s="8">
        <f>SUM(D44:D$45)</f>
        <v>0</v>
      </c>
      <c r="M44" s="8">
        <f>SUM(E44:E$45)</f>
        <v>0</v>
      </c>
      <c r="N44" s="8">
        <f>SUM(F44:F$45)</f>
        <v>2</v>
      </c>
      <c r="O44" s="8">
        <f>SUM(G44:G$45)</f>
        <v>2</v>
      </c>
      <c r="P44" s="7"/>
      <c r="Q44" s="75" t="s">
        <v>49</v>
      </c>
      <c r="R44" s="7">
        <v>41</v>
      </c>
      <c r="S44" s="7"/>
      <c r="T44" s="7"/>
      <c r="U44" s="7"/>
      <c r="V44" s="7"/>
      <c r="W44" s="74"/>
      <c r="X44" s="7"/>
      <c r="Y44" s="7"/>
      <c r="Z44" s="7"/>
      <c r="AA44" s="15"/>
    </row>
    <row r="45" spans="1:63" x14ac:dyDescent="0.25">
      <c r="A45" s="6"/>
      <c r="B45" s="8">
        <v>100</v>
      </c>
      <c r="C45" s="8">
        <v>100</v>
      </c>
      <c r="D45" s="8">
        <v>0</v>
      </c>
      <c r="E45" s="8">
        <v>0</v>
      </c>
      <c r="F45" s="8">
        <v>0</v>
      </c>
      <c r="G45" s="8">
        <v>1</v>
      </c>
      <c r="H45" s="15"/>
      <c r="I45" s="7"/>
      <c r="J45" s="8">
        <v>100</v>
      </c>
      <c r="K45" s="8">
        <v>100</v>
      </c>
      <c r="L45" s="8">
        <f>SUM(D45:D$45)</f>
        <v>0</v>
      </c>
      <c r="M45" s="8">
        <f>SUM(E45:E$45)</f>
        <v>0</v>
      </c>
      <c r="N45" s="8">
        <f>SUM(F45:F$45)</f>
        <v>0</v>
      </c>
      <c r="O45" s="8">
        <f>SUM(G45:G$45)</f>
        <v>1</v>
      </c>
      <c r="P45" s="7"/>
      <c r="Q45" s="78">
        <v>0.3</v>
      </c>
      <c r="R45" s="7">
        <v>11</v>
      </c>
      <c r="S45" s="7" t="s">
        <v>66</v>
      </c>
      <c r="T45" s="7"/>
      <c r="U45" s="7"/>
      <c r="V45" s="7"/>
      <c r="W45" s="74"/>
      <c r="X45" s="7"/>
      <c r="Y45" s="7"/>
      <c r="Z45" s="7"/>
      <c r="AA45" s="15"/>
    </row>
    <row r="46" spans="1:63" x14ac:dyDescent="0.25">
      <c r="A46" s="6"/>
      <c r="B46" s="7"/>
      <c r="C46" s="7" t="s">
        <v>29</v>
      </c>
      <c r="D46" s="7">
        <f>SUM(D34:D45)</f>
        <v>83</v>
      </c>
      <c r="E46" s="7">
        <f>SUM(E34:E45)</f>
        <v>83</v>
      </c>
      <c r="F46" s="7">
        <f>SUM(F34:F45)</f>
        <v>83</v>
      </c>
      <c r="G46" s="7">
        <f>SUM(G34:G45)</f>
        <v>82</v>
      </c>
      <c r="H46" s="15"/>
      <c r="I46" s="7"/>
      <c r="J46" s="7"/>
      <c r="K46" s="7"/>
      <c r="L46" s="7"/>
      <c r="M46" s="7"/>
      <c r="N46" s="7"/>
      <c r="O46" s="7"/>
      <c r="P46" s="7"/>
      <c r="Q46" s="78" t="s">
        <v>55</v>
      </c>
      <c r="R46" s="7">
        <v>0</v>
      </c>
      <c r="S46" s="7" t="s">
        <v>53</v>
      </c>
      <c r="T46" s="7"/>
      <c r="U46" s="7"/>
      <c r="V46" s="7"/>
      <c r="W46" s="74"/>
      <c r="X46" s="7"/>
      <c r="Y46" s="7"/>
      <c r="Z46" s="7"/>
      <c r="AA46" s="15"/>
    </row>
    <row r="47" spans="1:63" x14ac:dyDescent="0.25">
      <c r="A47" s="6" t="s">
        <v>25</v>
      </c>
      <c r="B47" s="7"/>
      <c r="C47" s="7"/>
      <c r="D47" s="7"/>
      <c r="E47" s="7"/>
      <c r="F47" s="7"/>
      <c r="G47" s="7"/>
      <c r="H47" s="15"/>
      <c r="I47" s="7"/>
      <c r="J47" s="7"/>
      <c r="K47" s="7" t="s">
        <v>26</v>
      </c>
      <c r="L47" s="7">
        <v>40.5</v>
      </c>
      <c r="M47" s="7">
        <v>40</v>
      </c>
      <c r="N47" s="7">
        <v>41.5</v>
      </c>
      <c r="O47" s="7">
        <v>40</v>
      </c>
      <c r="P47" s="7"/>
      <c r="Q47" s="76"/>
      <c r="R47" s="7"/>
      <c r="S47" s="7"/>
      <c r="T47" s="7"/>
      <c r="U47" s="7"/>
      <c r="V47" s="7"/>
      <c r="W47" s="74"/>
      <c r="X47" s="7"/>
      <c r="Y47" s="7"/>
      <c r="Z47" s="7"/>
      <c r="AA47" s="15"/>
    </row>
    <row r="48" spans="1:63" x14ac:dyDescent="0.25">
      <c r="A48" s="6" t="s">
        <v>27</v>
      </c>
      <c r="B48" s="7"/>
      <c r="C48" s="7"/>
      <c r="D48" s="27">
        <v>15</v>
      </c>
      <c r="E48" s="27">
        <v>10</v>
      </c>
      <c r="F48" s="27">
        <v>25</v>
      </c>
      <c r="G48" s="27">
        <v>10</v>
      </c>
      <c r="H48" s="15"/>
      <c r="I48" s="7"/>
      <c r="J48" s="7"/>
      <c r="K48" s="7" t="s">
        <v>31</v>
      </c>
      <c r="L48" s="7"/>
      <c r="M48" s="7"/>
      <c r="N48" s="7"/>
      <c r="O48" s="7"/>
      <c r="P48" s="7"/>
      <c r="Q48" s="75" t="s">
        <v>70</v>
      </c>
      <c r="R48" s="79" t="s">
        <v>71</v>
      </c>
      <c r="S48" s="7"/>
      <c r="T48" s="7"/>
      <c r="U48" s="7"/>
      <c r="V48" s="7"/>
      <c r="W48" s="74"/>
      <c r="X48" s="7"/>
      <c r="Y48" s="7"/>
      <c r="Z48" s="7"/>
      <c r="AA48" s="15"/>
    </row>
    <row r="49" spans="1:27" x14ac:dyDescent="0.25">
      <c r="A49" s="6" t="s">
        <v>28</v>
      </c>
      <c r="B49" s="7"/>
      <c r="C49" s="7"/>
      <c r="D49" s="28">
        <v>20.100000000000001</v>
      </c>
      <c r="E49" s="28">
        <v>19.7</v>
      </c>
      <c r="F49" s="28">
        <v>27.1</v>
      </c>
      <c r="G49" s="28">
        <v>16.399999999999999</v>
      </c>
      <c r="H49" s="15"/>
      <c r="I49" s="7"/>
      <c r="J49" s="7"/>
      <c r="K49" s="7"/>
      <c r="L49" s="7"/>
      <c r="M49" s="7"/>
      <c r="N49" s="7"/>
      <c r="O49" s="7"/>
      <c r="X49" s="7"/>
      <c r="Y49" s="7"/>
      <c r="Z49" s="7"/>
      <c r="AA49" s="15"/>
    </row>
    <row r="50" spans="1:27" ht="12.75" thickBot="1" x14ac:dyDescent="0.3">
      <c r="A50" s="80"/>
      <c r="B50" s="81"/>
      <c r="C50" s="81"/>
      <c r="D50" s="81"/>
      <c r="E50" s="81"/>
      <c r="F50" s="81"/>
      <c r="G50" s="81"/>
      <c r="H50" s="82"/>
      <c r="I50" s="81"/>
      <c r="J50" s="81"/>
      <c r="K50" s="81"/>
      <c r="L50" s="81"/>
      <c r="M50" s="81"/>
      <c r="N50" s="81"/>
      <c r="O50" s="81"/>
      <c r="P50" s="81"/>
      <c r="Q50" s="83"/>
      <c r="R50" s="81"/>
      <c r="S50" s="81"/>
      <c r="T50" s="81"/>
      <c r="U50" s="81"/>
      <c r="V50" s="81"/>
      <c r="W50" s="81"/>
      <c r="X50" s="81"/>
      <c r="Y50" s="81"/>
      <c r="Z50" s="81"/>
      <c r="AA50" s="82"/>
    </row>
    <row r="51" spans="1:27" x14ac:dyDescent="0.25">
      <c r="K51" s="58"/>
    </row>
    <row r="52" spans="1:27" x14ac:dyDescent="0.25">
      <c r="K52" s="58"/>
    </row>
    <row r="53" spans="1:27" x14ac:dyDescent="0.25">
      <c r="K53" s="29"/>
    </row>
    <row r="54" spans="1:27" x14ac:dyDescent="0.25">
      <c r="K54" s="48"/>
    </row>
    <row r="60" spans="1:27" x14ac:dyDescent="0.25">
      <c r="K60" s="49"/>
    </row>
    <row r="61" spans="1:27" x14ac:dyDescent="0.25">
      <c r="K61" s="49"/>
    </row>
    <row r="80" spans="11:11" x14ac:dyDescent="0.25">
      <c r="K80" s="49"/>
    </row>
    <row r="81" spans="11:14" x14ac:dyDescent="0.25">
      <c r="K81" s="49"/>
    </row>
    <row r="82" spans="11:14" x14ac:dyDescent="0.25">
      <c r="K82" s="49"/>
    </row>
    <row r="83" spans="11:14" x14ac:dyDescent="0.25">
      <c r="K83" s="49"/>
    </row>
    <row r="84" spans="11:14" x14ac:dyDescent="0.25">
      <c r="K84" s="49"/>
    </row>
    <row r="85" spans="11:14" x14ac:dyDescent="0.25">
      <c r="K85" s="49"/>
    </row>
    <row r="86" spans="11:14" x14ac:dyDescent="0.25">
      <c r="K86" s="49"/>
    </row>
    <row r="87" spans="11:14" x14ac:dyDescent="0.25">
      <c r="K87" s="49"/>
    </row>
    <row r="88" spans="11:14" x14ac:dyDescent="0.25">
      <c r="K88" s="49"/>
    </row>
    <row r="89" spans="11:14" x14ac:dyDescent="0.25">
      <c r="K89" s="49"/>
    </row>
    <row r="90" spans="11:14" x14ac:dyDescent="0.25">
      <c r="K90" s="49"/>
    </row>
    <row r="91" spans="11:14" x14ac:dyDescent="0.25">
      <c r="K91" s="49"/>
      <c r="N91" s="26"/>
    </row>
    <row r="92" spans="11:14" x14ac:dyDescent="0.25">
      <c r="K92" s="49"/>
    </row>
    <row r="93" spans="11:14" x14ac:dyDescent="0.25">
      <c r="K93" s="49"/>
    </row>
    <row r="94" spans="11:14" x14ac:dyDescent="0.25">
      <c r="K94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37"/>
  <sheetViews>
    <sheetView zoomScale="90" zoomScaleNormal="90" workbookViewId="0">
      <selection activeCell="B48" sqref="B48"/>
    </sheetView>
  </sheetViews>
  <sheetFormatPr defaultRowHeight="15" x14ac:dyDescent="0.25"/>
  <cols>
    <col min="1" max="1" width="3.28515625" customWidth="1"/>
    <col min="2" max="2" width="35.5703125" customWidth="1"/>
    <col min="3" max="7" width="6.28515625" customWidth="1"/>
    <col min="8" max="8" width="7.42578125" customWidth="1"/>
    <col min="9" max="9" width="9.42578125" customWidth="1"/>
    <col min="10" max="10" width="7.85546875" customWidth="1"/>
    <col min="11" max="11" width="7.5703125" customWidth="1"/>
  </cols>
  <sheetData>
    <row r="1" spans="1:25" x14ac:dyDescent="0.25">
      <c r="B1" t="s">
        <v>298</v>
      </c>
    </row>
    <row r="3" spans="1:25" x14ac:dyDescent="0.25">
      <c r="A3" s="68"/>
      <c r="B3" s="68"/>
    </row>
    <row r="4" spans="1:25" x14ac:dyDescent="0.25">
      <c r="A4" s="68"/>
      <c r="B4" s="71" t="s">
        <v>36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 spans="1:25" x14ac:dyDescent="0.25">
      <c r="A5" s="68"/>
      <c r="B5" s="69"/>
      <c r="C5" s="50" t="s">
        <v>0</v>
      </c>
      <c r="D5" s="51" t="s">
        <v>1</v>
      </c>
      <c r="E5" s="52" t="s">
        <v>2</v>
      </c>
      <c r="F5" s="53" t="s">
        <v>3</v>
      </c>
      <c r="G5" s="36" t="s">
        <v>4</v>
      </c>
      <c r="H5" s="33"/>
      <c r="I5" s="33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</row>
    <row r="6" spans="1:25" x14ac:dyDescent="0.25">
      <c r="A6" s="68"/>
      <c r="B6" s="35" t="s">
        <v>9</v>
      </c>
      <c r="C6" s="43">
        <f>AVERAGE(C15,C24,C33,C42)</f>
        <v>0.22291795837708916</v>
      </c>
      <c r="D6" s="43">
        <f t="shared" ref="D6:G7" si="0">AVERAGE(D15,D24,D33,D42)</f>
        <v>0.21827671200544563</v>
      </c>
      <c r="E6" s="43">
        <f t="shared" si="0"/>
        <v>0.40191258710798228</v>
      </c>
      <c r="F6" s="43">
        <f t="shared" si="0"/>
        <v>0.1568927425094829</v>
      </c>
      <c r="G6" s="43">
        <f t="shared" si="0"/>
        <v>0.44119467038253479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</row>
    <row r="7" spans="1:25" x14ac:dyDescent="0.25">
      <c r="A7" s="68"/>
      <c r="B7" s="35" t="s">
        <v>35</v>
      </c>
      <c r="C7" s="43">
        <f>AVERAGE(C16,C25,C34,C43)</f>
        <v>1.4521574216187421</v>
      </c>
      <c r="D7" s="43">
        <f t="shared" si="0"/>
        <v>1.3855823044766695</v>
      </c>
      <c r="E7" s="43">
        <f t="shared" si="0"/>
        <v>2.618632974517765</v>
      </c>
      <c r="F7" s="43">
        <f t="shared" si="0"/>
        <v>1</v>
      </c>
      <c r="G7" s="43">
        <f t="shared" si="0"/>
        <v>2.8377397260954114</v>
      </c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</row>
    <row r="8" spans="1:25" x14ac:dyDescent="0.25">
      <c r="A8" s="68"/>
      <c r="B8" s="57"/>
      <c r="C8" s="45"/>
      <c r="D8" s="45"/>
      <c r="E8" s="45"/>
      <c r="F8" s="45"/>
      <c r="G8" s="45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spans="1:25" x14ac:dyDescent="0.25">
      <c r="A9" s="68"/>
      <c r="B9" s="67"/>
      <c r="C9" s="32"/>
      <c r="D9" s="32"/>
      <c r="E9" s="32"/>
      <c r="F9" s="32"/>
      <c r="G9" s="32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spans="1:25" x14ac:dyDescent="0.25">
      <c r="A10" s="68"/>
      <c r="B10" s="70"/>
      <c r="C10" s="50" t="s">
        <v>0</v>
      </c>
      <c r="D10" s="51" t="s">
        <v>1</v>
      </c>
      <c r="E10" s="52" t="s">
        <v>2</v>
      </c>
      <c r="F10" s="53" t="s">
        <v>3</v>
      </c>
      <c r="G10" s="36" t="s">
        <v>4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spans="1:25" x14ac:dyDescent="0.25">
      <c r="B11" s="35" t="s">
        <v>5</v>
      </c>
      <c r="C11" s="38">
        <v>0.15</v>
      </c>
      <c r="D11" s="38">
        <v>0.2</v>
      </c>
      <c r="E11" s="38">
        <v>0.4</v>
      </c>
      <c r="F11" s="38">
        <v>0.2</v>
      </c>
      <c r="G11" s="36"/>
      <c r="H11" s="33"/>
      <c r="I11" s="33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</row>
    <row r="12" spans="1:25" x14ac:dyDescent="0.25">
      <c r="B12" s="35" t="s">
        <v>6</v>
      </c>
      <c r="C12" s="39">
        <f>-LN(1-C11)/10</f>
        <v>1.6251892949777493E-2</v>
      </c>
      <c r="D12" s="39">
        <f>-LN(1-D11)/10</f>
        <v>2.2314355131420972E-2</v>
      </c>
      <c r="E12" s="39">
        <f>-LN(1-E11)/10</f>
        <v>5.1082562376599069E-2</v>
      </c>
      <c r="F12" s="39">
        <f>-LN(1-F11)/10</f>
        <v>2.2314355131420972E-2</v>
      </c>
      <c r="G12" s="40">
        <f>C12+D12</f>
        <v>3.8566248081198462E-2</v>
      </c>
      <c r="H12" s="33"/>
      <c r="I12" s="33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</row>
    <row r="13" spans="1:25" x14ac:dyDescent="0.25">
      <c r="B13" s="35" t="s">
        <v>7</v>
      </c>
      <c r="C13" s="34">
        <v>1</v>
      </c>
      <c r="D13" s="34">
        <v>1</v>
      </c>
      <c r="E13" s="34">
        <v>1</v>
      </c>
      <c r="F13" s="34">
        <v>0.78800000000000003</v>
      </c>
      <c r="G13" s="41">
        <v>1</v>
      </c>
      <c r="H13" s="33"/>
      <c r="I13" s="33"/>
      <c r="J13" s="32"/>
      <c r="K13" s="32"/>
      <c r="L13" s="32"/>
      <c r="M13" s="32"/>
      <c r="N13" s="32"/>
      <c r="O13" s="32"/>
      <c r="P13" s="32"/>
      <c r="Q13" s="32"/>
      <c r="R13" s="32"/>
      <c r="S13" s="30"/>
    </row>
    <row r="14" spans="1:25" x14ac:dyDescent="0.25">
      <c r="B14" s="35" t="s">
        <v>8</v>
      </c>
      <c r="C14" s="39">
        <f>C12*C13</f>
        <v>1.6251892949777493E-2</v>
      </c>
      <c r="D14" s="39">
        <f>D12*D13</f>
        <v>2.2314355131420972E-2</v>
      </c>
      <c r="E14" s="39">
        <f>E12*E13</f>
        <v>5.1082562376599069E-2</v>
      </c>
      <c r="F14" s="39">
        <f>F12*F13</f>
        <v>1.7583711843559727E-2</v>
      </c>
      <c r="G14" s="39">
        <f>G12*G13</f>
        <v>3.8566248081198462E-2</v>
      </c>
      <c r="H14" s="33"/>
      <c r="I14" s="42"/>
      <c r="J14" s="32"/>
      <c r="K14" s="32"/>
      <c r="L14" s="32"/>
      <c r="M14" s="32"/>
      <c r="N14" s="32"/>
      <c r="O14" s="32"/>
      <c r="P14" s="32"/>
      <c r="Q14" s="32"/>
      <c r="R14" s="32"/>
      <c r="S14" s="30"/>
    </row>
    <row r="15" spans="1:25" x14ac:dyDescent="0.25">
      <c r="B15" s="35" t="s">
        <v>9</v>
      </c>
      <c r="C15" s="43">
        <f>C14/SUM($C$14:$F$14)</f>
        <v>0.15155749954388409</v>
      </c>
      <c r="D15" s="43">
        <f>D14/SUM($C$14:$F$14)</f>
        <v>0.20809316663008809</v>
      </c>
      <c r="E15" s="43">
        <f>E14/SUM($C$14:$F$14)</f>
        <v>0.47637191852151844</v>
      </c>
      <c r="F15" s="43">
        <f>F14/SUM($C$14:$F$14)</f>
        <v>0.16397741530450943</v>
      </c>
      <c r="G15" s="43">
        <f>G14/SUM($C$14:$F$14)</f>
        <v>0.35965066617397212</v>
      </c>
      <c r="H15" s="33"/>
      <c r="I15" s="33"/>
      <c r="J15" s="32"/>
      <c r="K15" s="32"/>
      <c r="L15" s="32"/>
      <c r="M15" s="32"/>
      <c r="N15" s="32"/>
      <c r="O15" s="32"/>
      <c r="P15" s="32"/>
      <c r="Q15" s="32"/>
      <c r="R15" s="32"/>
      <c r="S15" s="30"/>
    </row>
    <row r="16" spans="1:25" x14ac:dyDescent="0.25">
      <c r="B16" s="35" t="s">
        <v>35</v>
      </c>
      <c r="C16" s="43">
        <f>C15/$F15</f>
        <v>0.92425837584059178</v>
      </c>
      <c r="D16" s="43">
        <f t="shared" ref="D16:G16" si="1">D15/$F15</f>
        <v>1.2690355329949237</v>
      </c>
      <c r="E16" s="43">
        <f t="shared" si="1"/>
        <v>2.9051068870483534</v>
      </c>
      <c r="F16" s="43">
        <f t="shared" si="1"/>
        <v>1</v>
      </c>
      <c r="G16" s="43">
        <f t="shared" si="1"/>
        <v>2.193293908835515</v>
      </c>
      <c r="H16" s="33"/>
      <c r="I16" s="33"/>
      <c r="J16" s="33"/>
      <c r="K16" s="32"/>
      <c r="L16" s="32"/>
      <c r="M16" s="32"/>
      <c r="N16" s="32"/>
      <c r="O16" s="32"/>
      <c r="P16" s="32"/>
      <c r="Q16" s="32"/>
      <c r="R16" s="32"/>
      <c r="S16" s="30"/>
    </row>
    <row r="17" spans="2:19" x14ac:dyDescent="0.25">
      <c r="B17" s="44"/>
      <c r="C17" s="45"/>
      <c r="D17" s="45"/>
      <c r="E17" s="45"/>
      <c r="F17" s="45"/>
      <c r="G17" s="45"/>
      <c r="H17" s="45"/>
      <c r="I17" s="33"/>
      <c r="J17" s="33"/>
      <c r="K17" s="32"/>
      <c r="L17" s="32"/>
      <c r="M17" s="32"/>
      <c r="N17" s="32"/>
      <c r="O17" s="32"/>
      <c r="P17" s="32"/>
      <c r="Q17" s="32"/>
      <c r="R17" s="32"/>
      <c r="S17" s="30"/>
    </row>
    <row r="18" spans="2:19" x14ac:dyDescent="0.25">
      <c r="B18" s="67"/>
      <c r="C18" s="46"/>
      <c r="D18" s="46"/>
      <c r="E18" s="46"/>
      <c r="F18" s="46"/>
      <c r="G18" s="46"/>
      <c r="H18" s="33"/>
      <c r="I18" s="33"/>
      <c r="J18" s="33"/>
      <c r="K18" s="32"/>
      <c r="L18" s="32"/>
      <c r="M18" s="32"/>
      <c r="N18" s="32"/>
      <c r="O18" s="32"/>
      <c r="P18" s="32"/>
      <c r="Q18" s="32"/>
      <c r="R18" s="32"/>
      <c r="S18" s="30"/>
    </row>
    <row r="19" spans="2:19" x14ac:dyDescent="0.25">
      <c r="B19" s="67"/>
      <c r="C19" s="50" t="s">
        <v>0</v>
      </c>
      <c r="D19" s="51" t="s">
        <v>1</v>
      </c>
      <c r="E19" s="52" t="s">
        <v>2</v>
      </c>
      <c r="F19" s="53" t="s">
        <v>3</v>
      </c>
      <c r="G19" s="36" t="s">
        <v>4</v>
      </c>
      <c r="H19" s="33"/>
      <c r="I19" s="33"/>
      <c r="J19" s="33"/>
      <c r="K19" s="32"/>
      <c r="L19" s="32"/>
      <c r="M19" s="32"/>
      <c r="N19" s="32"/>
      <c r="O19" s="32"/>
      <c r="P19" s="32"/>
      <c r="Q19" s="32"/>
      <c r="R19" s="32"/>
      <c r="S19" s="30"/>
    </row>
    <row r="20" spans="2:19" x14ac:dyDescent="0.25">
      <c r="B20" s="35" t="s">
        <v>10</v>
      </c>
      <c r="C20" s="39">
        <v>0.30499999999999999</v>
      </c>
      <c r="D20" s="39">
        <v>0.32600000000000001</v>
      </c>
      <c r="E20" s="39">
        <v>0.39800000000000002</v>
      </c>
      <c r="F20" s="39">
        <v>0.29199999999999998</v>
      </c>
      <c r="G20" s="36"/>
      <c r="H20" s="33"/>
      <c r="I20" s="33"/>
      <c r="J20" s="54"/>
      <c r="K20" s="55"/>
      <c r="L20" s="32"/>
      <c r="M20" s="32"/>
      <c r="N20" s="32"/>
      <c r="O20" s="32"/>
      <c r="P20" s="32"/>
      <c r="Q20" s="32"/>
      <c r="R20" s="32"/>
      <c r="S20" s="30"/>
    </row>
    <row r="21" spans="2:19" x14ac:dyDescent="0.25">
      <c r="B21" s="35" t="s">
        <v>6</v>
      </c>
      <c r="C21" s="39">
        <f>-LN(1-C20)/10</f>
        <v>3.6384343341734481E-2</v>
      </c>
      <c r="D21" s="39">
        <f>-LN(1-D20)/10</f>
        <v>3.9452516806983015E-2</v>
      </c>
      <c r="E21" s="39">
        <f>-LN(1-E20)/10</f>
        <v>5.0749783367331602E-2</v>
      </c>
      <c r="F21" s="39">
        <f>-LN(1-F20)/10</f>
        <v>3.4531118528841734E-2</v>
      </c>
      <c r="G21" s="40">
        <f>C21+D21</f>
        <v>7.5836860148717489E-2</v>
      </c>
      <c r="H21" s="33"/>
      <c r="I21" s="33"/>
      <c r="J21" s="56"/>
      <c r="K21" s="31"/>
      <c r="L21" s="32"/>
      <c r="M21" s="32"/>
      <c r="N21" s="32"/>
      <c r="O21" s="32"/>
      <c r="P21" s="32"/>
      <c r="Q21" s="32"/>
      <c r="R21" s="32"/>
      <c r="S21" s="30"/>
    </row>
    <row r="22" spans="2:19" x14ac:dyDescent="0.25">
      <c r="B22" s="35" t="s">
        <v>7</v>
      </c>
      <c r="C22" s="34">
        <v>1</v>
      </c>
      <c r="D22" s="34">
        <v>1</v>
      </c>
      <c r="E22" s="34">
        <v>1</v>
      </c>
      <c r="F22" s="34">
        <v>0.78800000000000003</v>
      </c>
      <c r="G22" s="41">
        <v>1</v>
      </c>
      <c r="H22" s="33"/>
      <c r="I22" s="33"/>
      <c r="J22" s="33"/>
      <c r="K22" s="32"/>
      <c r="L22" s="32"/>
      <c r="M22" s="32"/>
      <c r="N22" s="32"/>
      <c r="O22" s="32"/>
      <c r="P22" s="32"/>
      <c r="Q22" s="32"/>
      <c r="R22" s="32"/>
      <c r="S22" s="30"/>
    </row>
    <row r="23" spans="2:19" x14ac:dyDescent="0.25">
      <c r="B23" s="35" t="s">
        <v>8</v>
      </c>
      <c r="C23" s="39">
        <f>C21*C22</f>
        <v>3.6384343341734481E-2</v>
      </c>
      <c r="D23" s="39">
        <f>D21*D22</f>
        <v>3.9452516806983015E-2</v>
      </c>
      <c r="E23" s="39">
        <f>E21*E22</f>
        <v>5.0749783367331602E-2</v>
      </c>
      <c r="F23" s="39">
        <f>F21*F22</f>
        <v>2.7210521400727286E-2</v>
      </c>
      <c r="G23" s="39">
        <f>G21*G22</f>
        <v>7.5836860148717489E-2</v>
      </c>
      <c r="H23" s="33"/>
      <c r="I23" s="42"/>
      <c r="J23" s="32"/>
      <c r="K23" s="32"/>
      <c r="L23" s="32"/>
      <c r="M23" s="32"/>
      <c r="N23" s="32"/>
      <c r="O23" s="32"/>
      <c r="P23" s="32"/>
      <c r="Q23" s="32"/>
      <c r="R23" s="32"/>
      <c r="S23" s="30"/>
    </row>
    <row r="24" spans="2:19" x14ac:dyDescent="0.25">
      <c r="B24" s="35" t="s">
        <v>9</v>
      </c>
      <c r="C24" s="43">
        <f>C23/SUM($C$23:$F$23)</f>
        <v>0.23657356337760188</v>
      </c>
      <c r="D24" s="43">
        <f>D23/SUM($C$23:$F$23)</f>
        <v>0.25652304337555115</v>
      </c>
      <c r="E24" s="43">
        <f>E23/SUM($C$23:$F$23)</f>
        <v>0.3299786663479371</v>
      </c>
      <c r="F24" s="43">
        <f>F23/SUM($C$23:$F$23)</f>
        <v>0.17692472689891003</v>
      </c>
      <c r="G24" s="43">
        <f>G23/SUM($C$23:$F$23)</f>
        <v>0.49309660675315298</v>
      </c>
      <c r="H24" s="33"/>
      <c r="I24" s="33"/>
      <c r="J24" s="33"/>
      <c r="K24" s="32"/>
      <c r="L24" s="32"/>
      <c r="M24" s="32"/>
      <c r="N24" s="32"/>
      <c r="O24" s="32"/>
      <c r="P24" s="32"/>
      <c r="Q24" s="32"/>
      <c r="R24" s="32"/>
      <c r="S24" s="30"/>
    </row>
    <row r="25" spans="2:19" x14ac:dyDescent="0.25">
      <c r="B25" s="35" t="s">
        <v>35</v>
      </c>
      <c r="C25" s="43">
        <f>C24/$F24</f>
        <v>1.337142453314474</v>
      </c>
      <c r="D25" s="43">
        <f t="shared" ref="D25:G25" si="2">D24/$F24</f>
        <v>1.4498993321726106</v>
      </c>
      <c r="E25" s="43">
        <f t="shared" si="2"/>
        <v>1.8650794161546334</v>
      </c>
      <c r="F25" s="43">
        <f t="shared" si="2"/>
        <v>1</v>
      </c>
      <c r="G25" s="43">
        <f t="shared" si="2"/>
        <v>2.7870417854870841</v>
      </c>
      <c r="H25" s="33"/>
      <c r="I25" s="33"/>
      <c r="J25" s="33"/>
      <c r="K25" s="32"/>
      <c r="L25" s="32"/>
      <c r="M25" s="32"/>
      <c r="N25" s="32"/>
      <c r="O25" s="32"/>
      <c r="P25" s="32"/>
      <c r="Q25" s="32"/>
      <c r="R25" s="32"/>
      <c r="S25" s="30"/>
    </row>
    <row r="26" spans="2:19" x14ac:dyDescent="0.25">
      <c r="B26" s="44"/>
      <c r="C26" s="45"/>
      <c r="D26" s="45"/>
      <c r="E26" s="45"/>
      <c r="F26" s="45"/>
      <c r="G26" s="45"/>
      <c r="H26" s="45"/>
      <c r="I26" s="33"/>
      <c r="J26" s="33"/>
      <c r="K26" s="32"/>
      <c r="L26" s="32"/>
      <c r="M26" s="32"/>
      <c r="N26" s="32"/>
      <c r="O26" s="32"/>
      <c r="P26" s="32"/>
      <c r="Q26" s="32"/>
      <c r="R26" s="32"/>
      <c r="S26" s="30"/>
    </row>
    <row r="27" spans="2:19" x14ac:dyDescent="0.25">
      <c r="B27" s="67"/>
      <c r="C27" s="32"/>
      <c r="D27" s="32"/>
      <c r="E27" s="32"/>
      <c r="F27" s="32"/>
      <c r="G27" s="32"/>
      <c r="H27" s="33"/>
      <c r="I27" s="33"/>
      <c r="J27" s="33"/>
      <c r="K27" s="32"/>
      <c r="L27" s="32"/>
      <c r="M27" s="32"/>
      <c r="N27" s="32"/>
      <c r="O27" s="32"/>
      <c r="P27" s="32"/>
      <c r="Q27" s="32"/>
      <c r="R27" s="32"/>
      <c r="S27" s="30"/>
    </row>
    <row r="28" spans="2:19" x14ac:dyDescent="0.25">
      <c r="B28" s="67"/>
      <c r="C28" s="50" t="s">
        <v>0</v>
      </c>
      <c r="D28" s="51" t="s">
        <v>1</v>
      </c>
      <c r="E28" s="52" t="s">
        <v>2</v>
      </c>
      <c r="F28" s="53" t="s">
        <v>3</v>
      </c>
      <c r="G28" s="36" t="s">
        <v>4</v>
      </c>
      <c r="H28" s="33"/>
      <c r="I28" s="33"/>
      <c r="J28" s="33"/>
      <c r="K28" s="32"/>
      <c r="L28" s="32"/>
      <c r="M28" s="32"/>
      <c r="N28" s="32"/>
      <c r="O28" s="32"/>
      <c r="P28" s="32"/>
      <c r="Q28" s="32"/>
      <c r="R28" s="32"/>
      <c r="S28" s="30"/>
    </row>
    <row r="29" spans="2:19" x14ac:dyDescent="0.25">
      <c r="B29" s="35" t="s">
        <v>11</v>
      </c>
      <c r="C29" s="38">
        <v>0.15</v>
      </c>
      <c r="D29" s="38">
        <v>0.1</v>
      </c>
      <c r="E29" s="38">
        <v>0.25</v>
      </c>
      <c r="F29" s="38">
        <v>0.1</v>
      </c>
      <c r="G29" s="36"/>
      <c r="H29" s="33"/>
      <c r="I29" s="37"/>
      <c r="J29" s="54"/>
      <c r="K29" s="55"/>
      <c r="L29" s="32"/>
      <c r="M29" s="32"/>
      <c r="N29" s="32"/>
      <c r="O29" s="32"/>
      <c r="P29" s="32"/>
      <c r="Q29" s="32"/>
      <c r="R29" s="32"/>
      <c r="S29" s="30"/>
    </row>
    <row r="30" spans="2:19" x14ac:dyDescent="0.25">
      <c r="B30" s="35" t="s">
        <v>6</v>
      </c>
      <c r="C30" s="39">
        <f>-LN(1-C29)/5</f>
        <v>3.2503785899554986E-2</v>
      </c>
      <c r="D30" s="39">
        <f>-LN(1-D29)/5</f>
        <v>2.1072103131565257E-2</v>
      </c>
      <c r="E30" s="39">
        <f>-LN(1-E29)/5</f>
        <v>5.753641449035618E-2</v>
      </c>
      <c r="F30" s="39">
        <f>-LN(1-F29)/5</f>
        <v>2.1072103131565257E-2</v>
      </c>
      <c r="G30" s="40">
        <f>C30+D30</f>
        <v>5.3575889031120247E-2</v>
      </c>
      <c r="H30" s="33"/>
      <c r="I30" s="47"/>
      <c r="J30" s="56"/>
      <c r="K30" s="31"/>
      <c r="L30" s="32"/>
      <c r="M30" s="32"/>
      <c r="N30" s="32"/>
      <c r="O30" s="32"/>
      <c r="P30" s="32"/>
      <c r="Q30" s="32"/>
      <c r="R30" s="32"/>
      <c r="S30" s="30"/>
    </row>
    <row r="31" spans="2:19" x14ac:dyDescent="0.25">
      <c r="B31" s="35" t="s">
        <v>7</v>
      </c>
      <c r="C31" s="34">
        <v>1</v>
      </c>
      <c r="D31" s="34">
        <v>1</v>
      </c>
      <c r="E31" s="34">
        <v>1</v>
      </c>
      <c r="F31" s="34">
        <v>0.78800000000000003</v>
      </c>
      <c r="G31" s="41">
        <v>1</v>
      </c>
      <c r="H31" s="33"/>
      <c r="I31" s="37"/>
      <c r="J31" s="37"/>
      <c r="K31" s="32"/>
      <c r="L31" s="32"/>
      <c r="M31" s="32"/>
      <c r="N31" s="32"/>
      <c r="O31" s="32"/>
      <c r="P31" s="32"/>
      <c r="Q31" s="32"/>
      <c r="R31" s="32"/>
      <c r="S31" s="30"/>
    </row>
    <row r="32" spans="2:19" x14ac:dyDescent="0.25">
      <c r="B32" s="35" t="s">
        <v>8</v>
      </c>
      <c r="C32" s="39">
        <f>C30*C31</f>
        <v>3.2503785899554986E-2</v>
      </c>
      <c r="D32" s="39">
        <f>D30*D31</f>
        <v>2.1072103131565257E-2</v>
      </c>
      <c r="E32" s="39">
        <f>E30*E31</f>
        <v>5.753641449035618E-2</v>
      </c>
      <c r="F32" s="39">
        <f>F30*F31</f>
        <v>1.6604817267673423E-2</v>
      </c>
      <c r="G32" s="39">
        <f>G30*G31</f>
        <v>5.3575889031120247E-2</v>
      </c>
      <c r="H32" s="33"/>
      <c r="I32" s="42"/>
      <c r="J32" s="32"/>
      <c r="K32" s="32"/>
      <c r="L32" s="32"/>
      <c r="M32" s="32"/>
      <c r="N32" s="32"/>
      <c r="O32" s="32"/>
      <c r="P32" s="32"/>
      <c r="Q32" s="32"/>
      <c r="R32" s="32"/>
      <c r="S32" s="30"/>
    </row>
    <row r="33" spans="2:19" x14ac:dyDescent="0.25">
      <c r="B33" s="35" t="s">
        <v>9</v>
      </c>
      <c r="C33" s="43">
        <f>C32/SUM($C$32:$F$32)</f>
        <v>0.25449826694117217</v>
      </c>
      <c r="D33" s="43">
        <f>D32/SUM($C$32:$F$32)</f>
        <v>0.16499043355630852</v>
      </c>
      <c r="E33" s="43">
        <f>E32/SUM($C$32:$F$32)</f>
        <v>0.45049883786014822</v>
      </c>
      <c r="F33" s="43">
        <f>F32/SUM($C$32:$F$32)</f>
        <v>0.13001246164237112</v>
      </c>
      <c r="G33" s="43">
        <f>G32/SUM($C$32:$F$32)</f>
        <v>0.41948870049748072</v>
      </c>
      <c r="H33" s="33"/>
      <c r="I33" s="37"/>
      <c r="J33" s="37"/>
      <c r="K33" s="32"/>
      <c r="L33" s="32"/>
      <c r="M33" s="32"/>
      <c r="N33" s="32"/>
      <c r="O33" s="32"/>
      <c r="P33" s="32"/>
      <c r="Q33" s="32"/>
      <c r="R33" s="32"/>
      <c r="S33" s="30"/>
    </row>
    <row r="34" spans="2:19" x14ac:dyDescent="0.25">
      <c r="B34" s="35" t="s">
        <v>35</v>
      </c>
      <c r="C34" s="43">
        <f>C33/$F33</f>
        <v>1.957491333724821</v>
      </c>
      <c r="D34" s="43">
        <f t="shared" ref="D34:G34" si="3">D33/$F33</f>
        <v>1.2690355329949237</v>
      </c>
      <c r="E34" s="43">
        <f t="shared" si="3"/>
        <v>3.4650435209768418</v>
      </c>
      <c r="F34" s="43">
        <f t="shared" si="3"/>
        <v>1</v>
      </c>
      <c r="G34" s="43">
        <f t="shared" si="3"/>
        <v>3.2265268667197446</v>
      </c>
      <c r="H34" s="33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0"/>
    </row>
    <row r="35" spans="2:19" x14ac:dyDescent="0.25">
      <c r="B35" s="44"/>
      <c r="C35" s="45"/>
      <c r="D35" s="45"/>
      <c r="E35" s="45"/>
      <c r="F35" s="45"/>
      <c r="G35" s="45"/>
      <c r="H35" s="45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0"/>
    </row>
    <row r="36" spans="2:19" x14ac:dyDescent="0.25">
      <c r="B36" s="67"/>
      <c r="C36" s="46"/>
      <c r="D36" s="46"/>
      <c r="E36" s="46"/>
      <c r="F36" s="46"/>
      <c r="G36" s="46"/>
      <c r="H36" s="33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0"/>
    </row>
    <row r="37" spans="2:19" x14ac:dyDescent="0.25">
      <c r="B37" s="67"/>
      <c r="C37" s="50" t="s">
        <v>0</v>
      </c>
      <c r="D37" s="51" t="s">
        <v>1</v>
      </c>
      <c r="E37" s="52" t="s">
        <v>2</v>
      </c>
      <c r="F37" s="53" t="s">
        <v>3</v>
      </c>
      <c r="G37" s="36" t="s">
        <v>4</v>
      </c>
      <c r="H37" s="33"/>
      <c r="I37" s="32"/>
      <c r="J37" s="33"/>
      <c r="K37" s="32"/>
      <c r="L37" s="32"/>
      <c r="M37" s="32"/>
      <c r="N37" s="32"/>
      <c r="O37" s="32"/>
      <c r="P37" s="32"/>
      <c r="Q37" s="32"/>
      <c r="R37" s="32"/>
      <c r="S37" s="30"/>
    </row>
    <row r="38" spans="2:19" x14ac:dyDescent="0.25">
      <c r="B38" s="35" t="s">
        <v>12</v>
      </c>
      <c r="C38" s="39">
        <v>0.20100000000000001</v>
      </c>
      <c r="D38" s="39">
        <v>0.19700000000000001</v>
      </c>
      <c r="E38" s="39">
        <v>0.27100000000000002</v>
      </c>
      <c r="F38" s="39">
        <v>0.16400000000000001</v>
      </c>
      <c r="G38" s="36"/>
      <c r="H38" s="33"/>
      <c r="I38" s="32"/>
      <c r="J38" s="54"/>
      <c r="K38" s="55"/>
      <c r="L38" s="32"/>
      <c r="M38" s="32"/>
      <c r="N38" s="32"/>
      <c r="O38" s="32"/>
      <c r="P38" s="32"/>
      <c r="Q38" s="32"/>
      <c r="R38" s="32"/>
      <c r="S38" s="30"/>
    </row>
    <row r="39" spans="2:19" x14ac:dyDescent="0.25">
      <c r="B39" s="35" t="s">
        <v>6</v>
      </c>
      <c r="C39" s="39">
        <f>-LN(1-C38)/5</f>
        <v>4.4878866643172491E-2</v>
      </c>
      <c r="D39" s="39">
        <f>-LN(1-D38)/5</f>
        <v>4.3880113007075096E-2</v>
      </c>
      <c r="E39" s="39">
        <f>-LN(1-E38)/5</f>
        <v>6.3216309394695788E-2</v>
      </c>
      <c r="F39" s="39">
        <f>-LN(1-F38)/5</f>
        <v>3.5825333179487093E-2</v>
      </c>
      <c r="G39" s="40">
        <f>C39+D39</f>
        <v>8.8758979650247594E-2</v>
      </c>
      <c r="H39" s="33"/>
      <c r="I39" s="32"/>
      <c r="J39" s="56"/>
      <c r="K39" s="31"/>
      <c r="L39" s="32"/>
      <c r="M39" s="32"/>
      <c r="N39" s="32"/>
      <c r="O39" s="32"/>
      <c r="P39" s="32"/>
      <c r="Q39" s="32"/>
      <c r="R39" s="32"/>
      <c r="S39" s="30"/>
    </row>
    <row r="40" spans="2:19" x14ac:dyDescent="0.25">
      <c r="B40" s="35" t="s">
        <v>7</v>
      </c>
      <c r="C40" s="34">
        <v>1</v>
      </c>
      <c r="D40" s="34">
        <v>1</v>
      </c>
      <c r="E40" s="34">
        <v>1</v>
      </c>
      <c r="F40" s="34">
        <v>0.78800000000000003</v>
      </c>
      <c r="G40" s="41">
        <v>1</v>
      </c>
      <c r="H40" s="33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0"/>
    </row>
    <row r="41" spans="2:19" x14ac:dyDescent="0.25">
      <c r="B41" s="35" t="s">
        <v>8</v>
      </c>
      <c r="C41" s="39">
        <f>C39*C40</f>
        <v>4.4878866643172491E-2</v>
      </c>
      <c r="D41" s="39">
        <f>D39*D40</f>
        <v>4.3880113007075096E-2</v>
      </c>
      <c r="E41" s="39">
        <f>E39*E40</f>
        <v>6.3216309394695788E-2</v>
      </c>
      <c r="F41" s="39">
        <f>F39*F40</f>
        <v>2.823036254543583E-2</v>
      </c>
      <c r="G41" s="39">
        <f>G39*G40</f>
        <v>8.8758979650247594E-2</v>
      </c>
      <c r="H41" s="33"/>
      <c r="I41" s="42"/>
      <c r="J41" s="32"/>
      <c r="K41" s="32"/>
      <c r="L41" s="32"/>
      <c r="M41" s="32"/>
      <c r="N41" s="32"/>
      <c r="O41" s="32"/>
      <c r="P41" s="32"/>
      <c r="Q41" s="32"/>
      <c r="R41" s="32"/>
      <c r="S41" s="30"/>
    </row>
    <row r="42" spans="2:19" x14ac:dyDescent="0.25">
      <c r="B42" s="35" t="s">
        <v>9</v>
      </c>
      <c r="C42" s="43">
        <f>C41/SUM($C$41:$F$41)</f>
        <v>0.24904250364569852</v>
      </c>
      <c r="D42" s="43">
        <f>D41/SUM($C$41:$F$41)</f>
        <v>0.24350020445983481</v>
      </c>
      <c r="E42" s="43">
        <f>E41/SUM($C$41:$F$41)</f>
        <v>0.35080092570232557</v>
      </c>
      <c r="F42" s="43">
        <f>F41/SUM($C$41:$F$41)</f>
        <v>0.15665636619214104</v>
      </c>
      <c r="G42" s="43">
        <f>G41/SUM($C$41:$F$41)</f>
        <v>0.49254270810553336</v>
      </c>
      <c r="H42" s="33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0"/>
    </row>
    <row r="43" spans="2:19" x14ac:dyDescent="0.25">
      <c r="B43" s="35" t="s">
        <v>35</v>
      </c>
      <c r="C43" s="43">
        <f>C42/$F42</f>
        <v>1.5897375235950812</v>
      </c>
      <c r="D43" s="43">
        <f t="shared" ref="D43:G43" si="4">D42/$F42</f>
        <v>1.5543588197442209</v>
      </c>
      <c r="E43" s="43">
        <f t="shared" si="4"/>
        <v>2.2393020738912308</v>
      </c>
      <c r="F43" s="43">
        <f t="shared" si="4"/>
        <v>1</v>
      </c>
      <c r="G43" s="43">
        <f t="shared" si="4"/>
        <v>3.1440963433393021</v>
      </c>
      <c r="H43" s="33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0"/>
    </row>
    <row r="44" spans="2:19" x14ac:dyDescent="0.25">
      <c r="B44" s="44"/>
      <c r="C44" s="45"/>
      <c r="D44" s="45"/>
      <c r="E44" s="45"/>
      <c r="F44" s="45"/>
      <c r="G44" s="45"/>
      <c r="H44" s="45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0"/>
    </row>
    <row r="45" spans="2:19" x14ac:dyDescent="0.25">
      <c r="B45" s="44"/>
      <c r="C45" s="45"/>
      <c r="D45" s="45"/>
      <c r="E45" s="45"/>
      <c r="F45" s="45"/>
      <c r="G45" s="45"/>
      <c r="H45" s="45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0"/>
    </row>
    <row r="46" spans="2:19" x14ac:dyDescent="0.25"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0"/>
    </row>
    <row r="47" spans="2:19" x14ac:dyDescent="0.25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0"/>
    </row>
    <row r="48" spans="2:19" x14ac:dyDescent="0.25"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0"/>
    </row>
    <row r="49" spans="2:19" x14ac:dyDescent="0.25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0"/>
    </row>
    <row r="50" spans="2:19" x14ac:dyDescent="0.25"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0"/>
    </row>
    <row r="51" spans="2:19" x14ac:dyDescent="0.25"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0"/>
    </row>
    <row r="52" spans="2:19" x14ac:dyDescent="0.25"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0"/>
    </row>
    <row r="53" spans="2:19" x14ac:dyDescent="0.25"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0"/>
    </row>
    <row r="54" spans="2:19" x14ac:dyDescent="0.25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0"/>
    </row>
    <row r="55" spans="2:19" x14ac:dyDescent="0.25"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0"/>
    </row>
    <row r="56" spans="2:19" x14ac:dyDescent="0.25"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0"/>
    </row>
    <row r="57" spans="2:19" x14ac:dyDescent="0.25"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0"/>
    </row>
    <row r="58" spans="2:19" x14ac:dyDescent="0.25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0"/>
    </row>
    <row r="59" spans="2:19" x14ac:dyDescent="0.25"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0"/>
    </row>
    <row r="60" spans="2:19" x14ac:dyDescent="0.25"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0"/>
    </row>
    <row r="61" spans="2:19" x14ac:dyDescent="0.25"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0"/>
    </row>
    <row r="62" spans="2:19" x14ac:dyDescent="0.25"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0"/>
    </row>
    <row r="63" spans="2:19" x14ac:dyDescent="0.25"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0"/>
    </row>
    <row r="64" spans="2:19" x14ac:dyDescent="0.25"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0"/>
    </row>
    <row r="65" spans="2:19" x14ac:dyDescent="0.25"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0"/>
    </row>
    <row r="66" spans="2:19" x14ac:dyDescent="0.25"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0"/>
    </row>
    <row r="67" spans="2:19" x14ac:dyDescent="0.25"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0"/>
    </row>
    <row r="68" spans="2:19" x14ac:dyDescent="0.25"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0"/>
    </row>
    <row r="69" spans="2:19" x14ac:dyDescent="0.25"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0"/>
    </row>
    <row r="70" spans="2:19" x14ac:dyDescent="0.25"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0"/>
    </row>
    <row r="71" spans="2:19" x14ac:dyDescent="0.25"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0"/>
    </row>
    <row r="72" spans="2:19" x14ac:dyDescent="0.25"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0"/>
    </row>
    <row r="73" spans="2:19" x14ac:dyDescent="0.25"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0"/>
    </row>
    <row r="74" spans="2:19" x14ac:dyDescent="0.25"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0"/>
    </row>
    <row r="75" spans="2:19" x14ac:dyDescent="0.25"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0"/>
    </row>
    <row r="76" spans="2:19" x14ac:dyDescent="0.25"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0"/>
    </row>
    <row r="77" spans="2:19" x14ac:dyDescent="0.25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0"/>
    </row>
    <row r="78" spans="2:19" x14ac:dyDescent="0.25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0"/>
    </row>
    <row r="79" spans="2:19" x14ac:dyDescent="0.25"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0"/>
    </row>
    <row r="80" spans="2:19" x14ac:dyDescent="0.25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0"/>
    </row>
    <row r="81" spans="2:19" x14ac:dyDescent="0.25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0"/>
    </row>
    <row r="82" spans="2:19" x14ac:dyDescent="0.25"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0"/>
    </row>
    <row r="83" spans="2:19" x14ac:dyDescent="0.25"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0"/>
    </row>
    <row r="84" spans="2:19" x14ac:dyDescent="0.25"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0"/>
    </row>
    <row r="85" spans="2:19" x14ac:dyDescent="0.25"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0"/>
    </row>
    <row r="86" spans="2:19" x14ac:dyDescent="0.25"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0"/>
    </row>
    <row r="87" spans="2:19" x14ac:dyDescent="0.25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0"/>
    </row>
    <row r="88" spans="2:19" x14ac:dyDescent="0.25"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0"/>
    </row>
    <row r="89" spans="2:19" x14ac:dyDescent="0.25"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0"/>
    </row>
    <row r="90" spans="2:19" x14ac:dyDescent="0.25"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0"/>
    </row>
    <row r="91" spans="2:19" x14ac:dyDescent="0.25"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0"/>
    </row>
    <row r="92" spans="2:19" x14ac:dyDescent="0.25"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0"/>
    </row>
    <row r="93" spans="2:19" x14ac:dyDescent="0.25"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0"/>
    </row>
    <row r="94" spans="2:19" x14ac:dyDescent="0.25"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0"/>
    </row>
    <row r="95" spans="2:19" x14ac:dyDescent="0.25"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0"/>
    </row>
    <row r="96" spans="2:19" x14ac:dyDescent="0.25"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0"/>
    </row>
    <row r="97" spans="2:19" x14ac:dyDescent="0.25"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0"/>
    </row>
    <row r="98" spans="2:19" x14ac:dyDescent="0.25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0"/>
    </row>
    <row r="99" spans="2:19" x14ac:dyDescent="0.25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0"/>
    </row>
    <row r="100" spans="2:19" x14ac:dyDescent="0.25"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0"/>
    </row>
    <row r="101" spans="2:19" x14ac:dyDescent="0.25"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0"/>
    </row>
    <row r="102" spans="2:19" x14ac:dyDescent="0.25"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0"/>
    </row>
    <row r="103" spans="2:19" x14ac:dyDescent="0.25"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0"/>
    </row>
    <row r="104" spans="2:19" x14ac:dyDescent="0.25"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0"/>
    </row>
    <row r="105" spans="2:19" x14ac:dyDescent="0.25"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0"/>
    </row>
    <row r="106" spans="2:19" x14ac:dyDescent="0.25"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0"/>
    </row>
    <row r="107" spans="2:19" x14ac:dyDescent="0.25"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0"/>
    </row>
    <row r="108" spans="2:19" x14ac:dyDescent="0.25"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0"/>
    </row>
    <row r="109" spans="2:19" x14ac:dyDescent="0.25"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0"/>
    </row>
    <row r="110" spans="2:19" x14ac:dyDescent="0.25"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0"/>
    </row>
    <row r="111" spans="2:19" x14ac:dyDescent="0.25"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0"/>
    </row>
    <row r="112" spans="2:19" x14ac:dyDescent="0.25"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0"/>
    </row>
    <row r="113" spans="2:19" x14ac:dyDescent="0.25"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0"/>
    </row>
    <row r="114" spans="2:19" x14ac:dyDescent="0.25"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0"/>
    </row>
    <row r="115" spans="2:19" x14ac:dyDescent="0.25"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0"/>
    </row>
    <row r="116" spans="2:19" x14ac:dyDescent="0.25"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0"/>
    </row>
    <row r="117" spans="2:19" x14ac:dyDescent="0.25"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0"/>
    </row>
    <row r="118" spans="2:19" x14ac:dyDescent="0.25"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0"/>
    </row>
    <row r="119" spans="2:19" x14ac:dyDescent="0.25"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0"/>
    </row>
    <row r="120" spans="2:19" x14ac:dyDescent="0.25"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0"/>
    </row>
    <row r="121" spans="2:19" x14ac:dyDescent="0.25"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0"/>
    </row>
    <row r="122" spans="2:19" x14ac:dyDescent="0.25"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0"/>
    </row>
    <row r="123" spans="2:19" x14ac:dyDescent="0.25"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0"/>
    </row>
    <row r="124" spans="2:19" x14ac:dyDescent="0.25"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0"/>
    </row>
    <row r="125" spans="2:19" x14ac:dyDescent="0.25"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0"/>
    </row>
    <row r="126" spans="2:19" x14ac:dyDescent="0.25"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0"/>
    </row>
    <row r="127" spans="2:19" x14ac:dyDescent="0.25"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0"/>
    </row>
    <row r="128" spans="2:19" x14ac:dyDescent="0.25"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0"/>
    </row>
    <row r="129" spans="2:19" x14ac:dyDescent="0.25"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0"/>
    </row>
    <row r="130" spans="2:19" x14ac:dyDescent="0.25"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0"/>
    </row>
    <row r="131" spans="2:19" x14ac:dyDescent="0.25"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0"/>
    </row>
    <row r="132" spans="2:19" x14ac:dyDescent="0.25"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0"/>
    </row>
    <row r="133" spans="2:19" x14ac:dyDescent="0.25"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0"/>
    </row>
    <row r="134" spans="2:19" x14ac:dyDescent="0.25"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0"/>
    </row>
    <row r="135" spans="2:19" x14ac:dyDescent="0.25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</row>
    <row r="136" spans="2:19" x14ac:dyDescent="0.25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</row>
    <row r="137" spans="2:19" x14ac:dyDescent="0.25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</row>
  </sheetData>
  <conditionalFormatting sqref="C42:F42 C15:F15 C24:F24 C33:F33">
    <cfRule type="colorScale" priority="2">
      <colorScale>
        <cfvo type="min"/>
        <cfvo type="max"/>
        <color rgb="FFFFEF9C"/>
        <color rgb="FF63BE7B"/>
      </colorScale>
    </cfRule>
  </conditionalFormatting>
  <conditionalFormatting sqref="C6:F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B1:CC91"/>
  <sheetViews>
    <sheetView zoomScale="86" zoomScaleNormal="86" zoomScaleSheetLayoutView="100" workbookViewId="0">
      <selection activeCell="M64" sqref="M63:N64"/>
    </sheetView>
  </sheetViews>
  <sheetFormatPr defaultColWidth="7.85546875" defaultRowHeight="10.5" x14ac:dyDescent="0.25"/>
  <cols>
    <col min="1" max="1" width="58.5703125" style="87" customWidth="1"/>
    <col min="2" max="2" width="10.85546875" style="87" customWidth="1"/>
    <col min="3" max="3" width="5.42578125" style="87" customWidth="1"/>
    <col min="4" max="4" width="34.85546875" style="87" customWidth="1"/>
    <col min="5" max="7" width="5.42578125" style="87" customWidth="1"/>
    <col min="8" max="31" width="5.140625" style="87" customWidth="1"/>
    <col min="32" max="33" width="6.5703125" style="87" customWidth="1"/>
    <col min="34" max="37" width="5.42578125" style="87" customWidth="1"/>
    <col min="38" max="39" width="6.7109375" style="87" customWidth="1"/>
    <col min="40" max="58" width="5.140625" style="87" customWidth="1"/>
    <col min="59" max="59" width="10.5703125" style="87" customWidth="1"/>
    <col min="60" max="60" width="7.85546875" style="87"/>
    <col min="61" max="61" width="11" style="87" customWidth="1"/>
    <col min="62" max="62" width="11.28515625" style="87" customWidth="1"/>
    <col min="63" max="63" width="7.85546875" style="87"/>
    <col min="64" max="64" width="12" style="87" customWidth="1"/>
    <col min="65" max="77" width="7.85546875" style="87"/>
    <col min="78" max="78" width="13.42578125" style="87" bestFit="1" customWidth="1"/>
    <col min="79" max="16384" width="7.85546875" style="87"/>
  </cols>
  <sheetData>
    <row r="1" spans="2:81" x14ac:dyDescent="0.25">
      <c r="B1" s="87" t="s">
        <v>81</v>
      </c>
      <c r="I1" s="88" t="s">
        <v>82</v>
      </c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O1" s="90" t="s">
        <v>83</v>
      </c>
      <c r="AP1" s="91"/>
      <c r="AR1" s="91"/>
      <c r="AS1" s="91"/>
      <c r="AT1" s="91"/>
      <c r="AU1" s="91"/>
      <c r="CC1" s="92"/>
    </row>
    <row r="2" spans="2:81" x14ac:dyDescent="0.15">
      <c r="B2" s="87" t="s">
        <v>84</v>
      </c>
      <c r="H2" s="91" t="s">
        <v>85</v>
      </c>
      <c r="I2" s="91" t="s">
        <v>86</v>
      </c>
      <c r="J2" s="89"/>
      <c r="L2" s="89" t="s">
        <v>87</v>
      </c>
      <c r="M2" s="89"/>
      <c r="N2" s="89"/>
      <c r="O2" s="89"/>
      <c r="P2" s="89"/>
      <c r="Q2" s="89"/>
      <c r="R2" s="89"/>
      <c r="S2" s="89"/>
      <c r="T2" s="89"/>
      <c r="U2" s="89"/>
      <c r="V2" s="89"/>
      <c r="W2" s="89" t="s">
        <v>88</v>
      </c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M2" s="93" t="s">
        <v>89</v>
      </c>
      <c r="AP2" s="91"/>
      <c r="AQ2" s="91"/>
      <c r="AR2" s="91"/>
      <c r="AS2" s="91"/>
      <c r="AT2" s="91"/>
      <c r="AU2" s="91"/>
      <c r="CB2" s="94"/>
      <c r="CC2" s="92"/>
    </row>
    <row r="3" spans="2:81" x14ac:dyDescent="0.25">
      <c r="B3" s="87" t="s">
        <v>90</v>
      </c>
      <c r="H3" s="95" t="s">
        <v>91</v>
      </c>
      <c r="I3" s="96" t="s">
        <v>92</v>
      </c>
      <c r="J3" s="97" t="s">
        <v>93</v>
      </c>
      <c r="K3" s="98" t="s">
        <v>94</v>
      </c>
      <c r="L3" s="99" t="s">
        <v>95</v>
      </c>
      <c r="M3" s="95">
        <v>2007</v>
      </c>
      <c r="N3" s="100" t="s">
        <v>96</v>
      </c>
      <c r="O3" s="100" t="s">
        <v>97</v>
      </c>
      <c r="P3" s="100" t="s">
        <v>98</v>
      </c>
      <c r="Q3" s="100" t="s">
        <v>99</v>
      </c>
      <c r="R3" s="100" t="s">
        <v>100</v>
      </c>
      <c r="S3" s="100" t="s">
        <v>101</v>
      </c>
      <c r="T3" s="101" t="s">
        <v>102</v>
      </c>
      <c r="U3" s="101" t="s">
        <v>103</v>
      </c>
      <c r="V3" s="101" t="s">
        <v>104</v>
      </c>
      <c r="W3" s="102" t="s">
        <v>105</v>
      </c>
      <c r="X3" s="102" t="s">
        <v>106</v>
      </c>
      <c r="Y3" s="102" t="s">
        <v>107</v>
      </c>
      <c r="Z3" s="103">
        <v>2020</v>
      </c>
      <c r="AA3" s="103">
        <v>2021</v>
      </c>
      <c r="AB3" s="103">
        <v>2022</v>
      </c>
      <c r="AC3" s="103">
        <v>2023</v>
      </c>
      <c r="AD3" s="103">
        <v>2024</v>
      </c>
      <c r="AE3" s="103">
        <v>2025</v>
      </c>
      <c r="AF3" s="103">
        <v>2026</v>
      </c>
      <c r="AG3" s="103">
        <v>2027</v>
      </c>
      <c r="AH3" s="103">
        <v>2028</v>
      </c>
      <c r="AI3" s="103">
        <v>2029</v>
      </c>
      <c r="AJ3" s="103">
        <v>2030</v>
      </c>
      <c r="AK3" s="103">
        <v>2031</v>
      </c>
      <c r="AL3" s="99" t="s">
        <v>95</v>
      </c>
      <c r="AM3" s="104" t="s">
        <v>108</v>
      </c>
      <c r="AN3" s="105" t="s">
        <v>109</v>
      </c>
      <c r="AO3" s="87" t="s">
        <v>110</v>
      </c>
    </row>
    <row r="4" spans="2:81" ht="11.25" thickBot="1" x14ac:dyDescent="0.3">
      <c r="B4" s="87" t="s">
        <v>111</v>
      </c>
      <c r="H4" s="106">
        <v>39482</v>
      </c>
      <c r="I4" s="107">
        <v>42004</v>
      </c>
      <c r="J4" s="108">
        <f t="shared" ref="J4:J17" si="0">(I4-H4)/365.25</f>
        <v>6.9048596851471595</v>
      </c>
      <c r="K4" s="109">
        <v>2008</v>
      </c>
      <c r="L4" s="109">
        <v>2009</v>
      </c>
      <c r="M4" s="110">
        <v>2</v>
      </c>
      <c r="N4" s="110">
        <v>152</v>
      </c>
      <c r="O4" s="110">
        <v>426</v>
      </c>
      <c r="P4" s="110">
        <v>727</v>
      </c>
      <c r="Q4" s="111">
        <v>1019</v>
      </c>
      <c r="R4" s="111">
        <v>1262</v>
      </c>
      <c r="S4" s="111">
        <v>1449</v>
      </c>
      <c r="T4" s="112">
        <v>1600</v>
      </c>
      <c r="U4" s="113">
        <v>1500</v>
      </c>
      <c r="V4" s="114">
        <v>1200</v>
      </c>
      <c r="W4" s="115">
        <v>900</v>
      </c>
      <c r="X4" s="115">
        <v>600</v>
      </c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09">
        <v>2009</v>
      </c>
      <c r="AM4" s="117">
        <v>3850</v>
      </c>
      <c r="AN4" s="118" t="s">
        <v>112</v>
      </c>
      <c r="AO4" s="119" t="s">
        <v>113</v>
      </c>
      <c r="AP4" s="119"/>
    </row>
    <row r="5" spans="2:81" x14ac:dyDescent="0.25">
      <c r="B5" s="87" t="s">
        <v>114</v>
      </c>
      <c r="H5" s="120">
        <v>39944</v>
      </c>
      <c r="I5" s="121">
        <v>42004</v>
      </c>
      <c r="J5" s="122">
        <f t="shared" si="0"/>
        <v>5.6399726214921291</v>
      </c>
      <c r="K5" s="123">
        <v>2009</v>
      </c>
      <c r="L5" s="123">
        <v>2010</v>
      </c>
      <c r="M5" s="124"/>
      <c r="N5" s="125">
        <v>2</v>
      </c>
      <c r="O5" s="125">
        <v>109</v>
      </c>
      <c r="P5" s="125">
        <v>366</v>
      </c>
      <c r="Q5" s="125">
        <v>684</v>
      </c>
      <c r="R5" s="125">
        <v>999</v>
      </c>
      <c r="S5" s="126">
        <v>1281</v>
      </c>
      <c r="T5" s="127">
        <v>1502</v>
      </c>
      <c r="U5" s="128">
        <v>1468</v>
      </c>
      <c r="V5" s="126">
        <v>1215</v>
      </c>
      <c r="W5" s="125">
        <v>905</v>
      </c>
      <c r="X5" s="125">
        <v>611</v>
      </c>
      <c r="Y5" s="125">
        <v>385</v>
      </c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3">
        <v>2010</v>
      </c>
      <c r="AM5" s="129">
        <v>3069</v>
      </c>
      <c r="AN5" s="130" t="s">
        <v>115</v>
      </c>
      <c r="AO5" s="87" t="s">
        <v>116</v>
      </c>
    </row>
    <row r="6" spans="2:81" x14ac:dyDescent="0.25">
      <c r="B6" s="131" t="s">
        <v>117</v>
      </c>
      <c r="H6" s="132">
        <v>40210</v>
      </c>
      <c r="I6" s="133">
        <v>42004</v>
      </c>
      <c r="J6" s="134">
        <f t="shared" si="0"/>
        <v>4.9117043121149901</v>
      </c>
      <c r="K6" s="99">
        <v>2010</v>
      </c>
      <c r="L6" s="99">
        <v>2011</v>
      </c>
      <c r="M6" s="135"/>
      <c r="N6" s="136"/>
      <c r="O6" s="136">
        <v>2</v>
      </c>
      <c r="P6" s="136">
        <v>104</v>
      </c>
      <c r="Q6" s="136">
        <v>236</v>
      </c>
      <c r="R6" s="136">
        <v>326</v>
      </c>
      <c r="S6" s="136">
        <v>385</v>
      </c>
      <c r="T6" s="137">
        <v>430</v>
      </c>
      <c r="U6" s="138">
        <v>380</v>
      </c>
      <c r="V6" s="136">
        <v>259</v>
      </c>
      <c r="W6" s="136">
        <v>161</v>
      </c>
      <c r="X6" s="136">
        <v>107</v>
      </c>
      <c r="Y6" s="136">
        <v>103</v>
      </c>
      <c r="Z6" s="136">
        <v>79</v>
      </c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99">
        <v>2011</v>
      </c>
      <c r="AM6" s="139">
        <v>1260</v>
      </c>
      <c r="AN6" s="140" t="s">
        <v>118</v>
      </c>
      <c r="AO6" s="87" t="s">
        <v>119</v>
      </c>
    </row>
    <row r="7" spans="2:81" x14ac:dyDescent="0.25">
      <c r="B7" s="89" t="s">
        <v>120</v>
      </c>
      <c r="H7" s="132">
        <v>40588</v>
      </c>
      <c r="I7" s="133">
        <v>42004</v>
      </c>
      <c r="J7" s="134">
        <f t="shared" si="0"/>
        <v>3.8767967145790556</v>
      </c>
      <c r="K7" s="141">
        <v>2011</v>
      </c>
      <c r="L7" s="99">
        <v>2012</v>
      </c>
      <c r="M7" s="135"/>
      <c r="N7" s="136"/>
      <c r="O7" s="136"/>
      <c r="P7" s="98">
        <v>2</v>
      </c>
      <c r="Q7" s="98">
        <v>108</v>
      </c>
      <c r="R7" s="98">
        <v>241</v>
      </c>
      <c r="S7" s="98">
        <v>335</v>
      </c>
      <c r="T7" s="142">
        <v>390</v>
      </c>
      <c r="U7" s="143">
        <v>359</v>
      </c>
      <c r="V7" s="98">
        <v>237</v>
      </c>
      <c r="W7" s="98">
        <v>149</v>
      </c>
      <c r="X7" s="98">
        <v>91</v>
      </c>
      <c r="Y7" s="98">
        <v>60</v>
      </c>
      <c r="Z7" s="98">
        <v>69</v>
      </c>
      <c r="AA7" s="98">
        <v>55</v>
      </c>
      <c r="AB7" s="135"/>
      <c r="AC7" s="135"/>
      <c r="AD7" s="135"/>
      <c r="AE7" s="135"/>
      <c r="AF7" s="135"/>
      <c r="AG7" s="135"/>
      <c r="AH7" s="135"/>
      <c r="AI7" s="135"/>
      <c r="AJ7" s="135"/>
      <c r="AK7" s="135"/>
      <c r="AL7" s="99">
        <v>2012</v>
      </c>
      <c r="AM7" s="139">
        <v>984</v>
      </c>
      <c r="AN7" s="140" t="s">
        <v>121</v>
      </c>
      <c r="AO7" s="87" t="s">
        <v>122</v>
      </c>
    </row>
    <row r="8" spans="2:81" x14ac:dyDescent="0.25">
      <c r="H8" s="132">
        <v>40952</v>
      </c>
      <c r="I8" s="133">
        <v>42004</v>
      </c>
      <c r="J8" s="134">
        <f t="shared" si="0"/>
        <v>2.8802190280629705</v>
      </c>
      <c r="K8" s="141">
        <v>2012</v>
      </c>
      <c r="L8" s="99">
        <v>2013</v>
      </c>
      <c r="M8" s="135"/>
      <c r="N8" s="136"/>
      <c r="O8" s="136"/>
      <c r="P8" s="136"/>
      <c r="Q8" s="98">
        <v>2</v>
      </c>
      <c r="R8" s="98">
        <v>105</v>
      </c>
      <c r="S8" s="98">
        <v>245</v>
      </c>
      <c r="T8" s="142">
        <v>341</v>
      </c>
      <c r="U8" s="143">
        <v>316</v>
      </c>
      <c r="V8" s="98">
        <v>215</v>
      </c>
      <c r="W8" s="98">
        <v>131</v>
      </c>
      <c r="X8" s="98">
        <v>84</v>
      </c>
      <c r="Y8" s="98">
        <v>56</v>
      </c>
      <c r="Z8" s="98">
        <v>38</v>
      </c>
      <c r="AA8" s="98">
        <v>57</v>
      </c>
      <c r="AB8" s="98">
        <v>48</v>
      </c>
      <c r="AC8" s="135"/>
      <c r="AD8" s="135"/>
      <c r="AE8" s="135"/>
      <c r="AF8" s="135"/>
      <c r="AG8" s="135"/>
      <c r="AH8" s="135"/>
      <c r="AI8" s="135"/>
      <c r="AJ8" s="135"/>
      <c r="AK8" s="135"/>
      <c r="AL8" s="99">
        <v>2013</v>
      </c>
      <c r="AM8" s="139">
        <v>780</v>
      </c>
      <c r="AN8" s="140" t="s">
        <v>123</v>
      </c>
      <c r="AO8" s="87" t="s">
        <v>124</v>
      </c>
    </row>
    <row r="9" spans="2:81" x14ac:dyDescent="0.25">
      <c r="B9" s="87" t="s">
        <v>125</v>
      </c>
      <c r="H9" s="132">
        <v>41374</v>
      </c>
      <c r="I9" s="133">
        <v>42004</v>
      </c>
      <c r="J9" s="134">
        <f t="shared" si="0"/>
        <v>1.7248459958932238</v>
      </c>
      <c r="K9" s="141">
        <v>2013</v>
      </c>
      <c r="L9" s="99">
        <v>2014</v>
      </c>
      <c r="M9" s="135"/>
      <c r="N9" s="136"/>
      <c r="O9" s="136"/>
      <c r="P9" s="136"/>
      <c r="Q9" s="136"/>
      <c r="R9" s="136">
        <v>2</v>
      </c>
      <c r="S9" s="144">
        <v>108</v>
      </c>
      <c r="T9" s="145">
        <v>253</v>
      </c>
      <c r="U9" s="146">
        <v>267</v>
      </c>
      <c r="V9" s="144">
        <v>183</v>
      </c>
      <c r="W9" s="136">
        <v>110</v>
      </c>
      <c r="X9" s="136">
        <v>71</v>
      </c>
      <c r="Y9" s="136">
        <v>47</v>
      </c>
      <c r="Z9" s="135">
        <v>32</v>
      </c>
      <c r="AA9" s="135">
        <v>22</v>
      </c>
      <c r="AB9" s="135">
        <v>48</v>
      </c>
      <c r="AC9" s="135">
        <v>43</v>
      </c>
      <c r="AD9" s="135"/>
      <c r="AE9" s="135"/>
      <c r="AF9" s="135"/>
      <c r="AG9" s="135"/>
      <c r="AH9" s="135"/>
      <c r="AI9" s="135"/>
      <c r="AJ9" s="135"/>
      <c r="AK9" s="135"/>
      <c r="AL9" s="99">
        <v>2014</v>
      </c>
      <c r="AM9" s="139">
        <v>526</v>
      </c>
      <c r="AN9" s="140" t="s">
        <v>126</v>
      </c>
      <c r="AO9" s="87" t="s">
        <v>127</v>
      </c>
    </row>
    <row r="10" spans="2:81" ht="11.25" thickBot="1" x14ac:dyDescent="0.3">
      <c r="B10" s="87" t="s">
        <v>128</v>
      </c>
      <c r="H10" s="147">
        <v>41708</v>
      </c>
      <c r="I10" s="148">
        <v>42004</v>
      </c>
      <c r="J10" s="149">
        <f t="shared" si="0"/>
        <v>0.81040383299110197</v>
      </c>
      <c r="K10" s="150">
        <v>2014</v>
      </c>
      <c r="L10" s="150">
        <v>2015</v>
      </c>
      <c r="M10" s="151"/>
      <c r="N10" s="151"/>
      <c r="O10" s="151"/>
      <c r="P10" s="151"/>
      <c r="Q10" s="151"/>
      <c r="R10" s="151"/>
      <c r="S10" s="152">
        <v>2</v>
      </c>
      <c r="T10" s="153">
        <v>113</v>
      </c>
      <c r="U10" s="154">
        <v>179</v>
      </c>
      <c r="V10" s="152">
        <v>135</v>
      </c>
      <c r="W10" s="152">
        <v>78</v>
      </c>
      <c r="X10" s="152">
        <v>50</v>
      </c>
      <c r="Y10" s="152">
        <v>34</v>
      </c>
      <c r="Z10" s="152">
        <v>23</v>
      </c>
      <c r="AA10" s="152">
        <v>16</v>
      </c>
      <c r="AB10" s="152">
        <v>12</v>
      </c>
      <c r="AC10" s="152">
        <v>43</v>
      </c>
      <c r="AD10" s="152">
        <v>13</v>
      </c>
      <c r="AE10" s="151"/>
      <c r="AF10" s="151"/>
      <c r="AG10" s="151"/>
      <c r="AH10" s="151"/>
      <c r="AI10" s="151"/>
      <c r="AJ10" s="151"/>
      <c r="AK10" s="151"/>
      <c r="AL10" s="155">
        <v>2015</v>
      </c>
      <c r="AM10" s="156">
        <v>300</v>
      </c>
      <c r="AN10" s="157" t="s">
        <v>129</v>
      </c>
      <c r="AO10" s="87" t="s">
        <v>130</v>
      </c>
    </row>
    <row r="11" spans="2:81" x14ac:dyDescent="0.25">
      <c r="B11" s="87" t="s">
        <v>131</v>
      </c>
      <c r="H11" s="158">
        <v>42037</v>
      </c>
      <c r="I11" s="159">
        <v>44196</v>
      </c>
      <c r="J11" s="160">
        <f t="shared" si="0"/>
        <v>5.9110198494182065</v>
      </c>
      <c r="K11" s="161">
        <v>2015</v>
      </c>
      <c r="L11" s="123">
        <v>2016</v>
      </c>
      <c r="M11" s="124"/>
      <c r="N11" s="124"/>
      <c r="O11" s="124"/>
      <c r="P11" s="124"/>
      <c r="Q11" s="124"/>
      <c r="R11" s="124"/>
      <c r="S11" s="124"/>
      <c r="T11" s="162">
        <v>1</v>
      </c>
      <c r="U11" s="162">
        <v>88</v>
      </c>
      <c r="V11" s="162">
        <v>230</v>
      </c>
      <c r="W11" s="162">
        <v>345</v>
      </c>
      <c r="X11" s="162">
        <v>415</v>
      </c>
      <c r="Y11" s="162">
        <v>464</v>
      </c>
      <c r="Z11" s="163">
        <v>499</v>
      </c>
      <c r="AA11" s="164">
        <v>432</v>
      </c>
      <c r="AB11" s="162">
        <v>292</v>
      </c>
      <c r="AC11" s="162">
        <v>180</v>
      </c>
      <c r="AD11" s="162">
        <v>143</v>
      </c>
      <c r="AE11" s="162">
        <v>111</v>
      </c>
      <c r="AF11" s="124"/>
      <c r="AG11" s="165"/>
      <c r="AH11" s="166"/>
      <c r="AI11" s="124"/>
      <c r="AJ11" s="124"/>
      <c r="AK11" s="124"/>
      <c r="AL11" s="123">
        <v>2016</v>
      </c>
      <c r="AM11" s="167">
        <v>1200</v>
      </c>
      <c r="AN11" s="168" t="s">
        <v>132</v>
      </c>
      <c r="AO11" s="87" t="s">
        <v>133</v>
      </c>
    </row>
    <row r="12" spans="2:81" ht="11.25" thickBot="1" x14ac:dyDescent="0.3">
      <c r="H12" s="169">
        <v>42409</v>
      </c>
      <c r="I12" s="170">
        <v>44196</v>
      </c>
      <c r="J12" s="171">
        <f t="shared" si="0"/>
        <v>4.8925393566050648</v>
      </c>
      <c r="K12" s="172">
        <v>2016</v>
      </c>
      <c r="L12" s="173">
        <v>2017</v>
      </c>
      <c r="M12" s="174"/>
      <c r="N12" s="174"/>
      <c r="O12" s="174"/>
      <c r="P12" s="174"/>
      <c r="Q12" s="174"/>
      <c r="R12" s="174"/>
      <c r="S12" s="174"/>
      <c r="T12" s="174"/>
      <c r="U12" s="175">
        <v>1</v>
      </c>
      <c r="V12" s="175">
        <v>88</v>
      </c>
      <c r="W12" s="175">
        <v>233</v>
      </c>
      <c r="X12" s="175">
        <v>350</v>
      </c>
      <c r="Y12" s="175">
        <v>421</v>
      </c>
      <c r="Z12" s="176">
        <v>469</v>
      </c>
      <c r="AA12" s="177">
        <v>411</v>
      </c>
      <c r="AB12" s="178">
        <v>278</v>
      </c>
      <c r="AC12" s="175">
        <v>171</v>
      </c>
      <c r="AD12" s="175">
        <v>111</v>
      </c>
      <c r="AE12" s="175">
        <v>100</v>
      </c>
      <c r="AF12" s="175">
        <v>83</v>
      </c>
      <c r="AG12" s="179"/>
      <c r="AH12" s="180"/>
      <c r="AI12" s="174"/>
      <c r="AJ12" s="174"/>
      <c r="AK12" s="174"/>
      <c r="AL12" s="173">
        <v>2017</v>
      </c>
      <c r="AM12" s="181">
        <v>1183</v>
      </c>
      <c r="AN12" s="182" t="s">
        <v>134</v>
      </c>
      <c r="AO12" s="183" t="s">
        <v>135</v>
      </c>
      <c r="AP12" s="184"/>
      <c r="AQ12" s="89"/>
      <c r="AR12" s="89"/>
    </row>
    <row r="13" spans="2:81" x14ac:dyDescent="0.25">
      <c r="B13" s="87" t="s">
        <v>136</v>
      </c>
      <c r="H13" s="158">
        <v>42878</v>
      </c>
      <c r="I13" s="159">
        <v>44196</v>
      </c>
      <c r="J13" s="160">
        <f t="shared" si="0"/>
        <v>3.6084873374401094</v>
      </c>
      <c r="K13" s="161">
        <v>2017</v>
      </c>
      <c r="L13" s="123">
        <v>2018</v>
      </c>
      <c r="M13" s="124"/>
      <c r="N13" s="124"/>
      <c r="O13" s="124"/>
      <c r="P13" s="124"/>
      <c r="Q13" s="124"/>
      <c r="R13" s="124"/>
      <c r="S13" s="124"/>
      <c r="T13" s="124"/>
      <c r="U13" s="124"/>
      <c r="V13" s="162">
        <v>2</v>
      </c>
      <c r="W13" s="162">
        <v>48</v>
      </c>
      <c r="X13" s="162">
        <v>133</v>
      </c>
      <c r="Y13" s="162">
        <v>204</v>
      </c>
      <c r="Z13" s="163">
        <v>247</v>
      </c>
      <c r="AA13" s="164">
        <v>229</v>
      </c>
      <c r="AB13" s="162">
        <v>161</v>
      </c>
      <c r="AC13" s="162">
        <v>103</v>
      </c>
      <c r="AD13" s="162">
        <v>72</v>
      </c>
      <c r="AE13" s="162">
        <v>54</v>
      </c>
      <c r="AF13" s="162">
        <v>53</v>
      </c>
      <c r="AG13" s="185">
        <v>49</v>
      </c>
      <c r="AH13" s="186"/>
      <c r="AI13" s="162"/>
      <c r="AJ13" s="162"/>
      <c r="AK13" s="162"/>
      <c r="AL13" s="123">
        <v>2018</v>
      </c>
      <c r="AM13" s="167">
        <v>519</v>
      </c>
      <c r="AN13" s="168" t="s">
        <v>137</v>
      </c>
      <c r="AO13" s="87" t="s">
        <v>138</v>
      </c>
      <c r="AP13" s="89"/>
      <c r="AQ13" s="89"/>
      <c r="AR13" s="89"/>
    </row>
    <row r="14" spans="2:81" x14ac:dyDescent="0.25">
      <c r="H14" s="187">
        <v>43143</v>
      </c>
      <c r="I14" s="188">
        <v>44196</v>
      </c>
      <c r="J14" s="189">
        <f t="shared" si="0"/>
        <v>2.8829568788501025</v>
      </c>
      <c r="K14" s="141">
        <v>2018</v>
      </c>
      <c r="L14" s="99">
        <v>2019</v>
      </c>
      <c r="M14" s="135"/>
      <c r="N14" s="135"/>
      <c r="O14" s="135"/>
      <c r="P14" s="135"/>
      <c r="Q14" s="135"/>
      <c r="R14" s="135"/>
      <c r="S14" s="135"/>
      <c r="T14" s="135"/>
      <c r="U14" s="135"/>
      <c r="V14" s="190"/>
      <c r="W14" s="190">
        <v>3</v>
      </c>
      <c r="X14" s="190">
        <v>46</v>
      </c>
      <c r="Y14" s="190">
        <v>127</v>
      </c>
      <c r="Z14" s="191">
        <v>195</v>
      </c>
      <c r="AA14" s="192">
        <v>192</v>
      </c>
      <c r="AB14" s="190">
        <v>135</v>
      </c>
      <c r="AC14" s="190">
        <v>85</v>
      </c>
      <c r="AD14" s="190">
        <v>58</v>
      </c>
      <c r="AE14" s="190">
        <v>42</v>
      </c>
      <c r="AF14" s="190">
        <v>33</v>
      </c>
      <c r="AG14" s="193">
        <v>38</v>
      </c>
      <c r="AH14" s="194">
        <v>37</v>
      </c>
      <c r="AI14" s="190"/>
      <c r="AJ14" s="190"/>
      <c r="AK14" s="190"/>
      <c r="AL14" s="99">
        <v>2019</v>
      </c>
      <c r="AM14" s="195">
        <v>332</v>
      </c>
      <c r="AN14" s="196" t="s">
        <v>139</v>
      </c>
      <c r="AO14" s="87" t="s">
        <v>140</v>
      </c>
      <c r="AP14" s="89"/>
      <c r="AQ14" s="89"/>
      <c r="AR14" s="89"/>
    </row>
    <row r="15" spans="2:81" ht="11.25" thickBot="1" x14ac:dyDescent="0.3">
      <c r="B15" s="197">
        <f>SUM(L37:T37)</f>
        <v>1183</v>
      </c>
      <c r="C15" s="87" t="s">
        <v>141</v>
      </c>
      <c r="H15" s="198">
        <v>43535</v>
      </c>
      <c r="I15" s="199">
        <v>44196</v>
      </c>
      <c r="J15" s="200">
        <f t="shared" si="0"/>
        <v>1.8097193702943191</v>
      </c>
      <c r="K15" s="150">
        <v>2019</v>
      </c>
      <c r="L15" s="155">
        <v>2020</v>
      </c>
      <c r="M15" s="151"/>
      <c r="N15" s="151"/>
      <c r="O15" s="151"/>
      <c r="P15" s="151"/>
      <c r="Q15" s="151"/>
      <c r="R15" s="151"/>
      <c r="S15" s="151"/>
      <c r="T15" s="151"/>
      <c r="U15" s="151"/>
      <c r="V15" s="201"/>
      <c r="W15" s="201"/>
      <c r="X15" s="201">
        <v>2</v>
      </c>
      <c r="Y15" s="201">
        <v>37</v>
      </c>
      <c r="Z15" s="202">
        <v>104</v>
      </c>
      <c r="AA15" s="203">
        <v>126</v>
      </c>
      <c r="AB15" s="201">
        <v>91</v>
      </c>
      <c r="AC15" s="201">
        <v>57</v>
      </c>
      <c r="AD15" s="201">
        <v>39</v>
      </c>
      <c r="AE15" s="201">
        <v>28</v>
      </c>
      <c r="AF15" s="201">
        <v>22</v>
      </c>
      <c r="AG15" s="204">
        <v>19</v>
      </c>
      <c r="AH15" s="205">
        <v>24</v>
      </c>
      <c r="AI15" s="201">
        <v>24</v>
      </c>
      <c r="AJ15" s="201"/>
      <c r="AK15" s="201"/>
      <c r="AL15" s="155">
        <v>2020</v>
      </c>
      <c r="AM15" s="206">
        <v>133</v>
      </c>
      <c r="AN15" s="207" t="s">
        <v>142</v>
      </c>
      <c r="AO15" s="87" t="s">
        <v>143</v>
      </c>
      <c r="AP15" s="89"/>
      <c r="AQ15" s="89"/>
      <c r="AR15" s="89"/>
    </row>
    <row r="16" spans="2:81" ht="11.25" thickBot="1" x14ac:dyDescent="0.3">
      <c r="B16" s="87">
        <v>518</v>
      </c>
      <c r="C16" s="87" t="s">
        <v>144</v>
      </c>
      <c r="H16" s="208">
        <v>43871</v>
      </c>
      <c r="I16" s="209">
        <v>46752</v>
      </c>
      <c r="J16" s="210">
        <f t="shared" si="0"/>
        <v>7.8877481177275834</v>
      </c>
      <c r="K16" s="211">
        <v>2020</v>
      </c>
      <c r="L16" s="212">
        <v>2021</v>
      </c>
      <c r="M16" s="213"/>
      <c r="N16" s="213"/>
      <c r="O16" s="213"/>
      <c r="P16" s="213"/>
      <c r="Q16" s="213"/>
      <c r="R16" s="213"/>
      <c r="S16" s="213"/>
      <c r="T16" s="213"/>
      <c r="U16" s="213"/>
      <c r="V16" s="214"/>
      <c r="W16" s="214"/>
      <c r="X16" s="214"/>
      <c r="Y16" s="214">
        <v>3</v>
      </c>
      <c r="Z16" s="215">
        <v>31</v>
      </c>
      <c r="AA16" s="216">
        <v>94</v>
      </c>
      <c r="AB16" s="217">
        <v>160</v>
      </c>
      <c r="AC16" s="217">
        <v>206</v>
      </c>
      <c r="AD16" s="217">
        <v>238</v>
      </c>
      <c r="AE16" s="217">
        <v>262</v>
      </c>
      <c r="AF16" s="217">
        <v>283</v>
      </c>
      <c r="AG16" s="218">
        <v>300</v>
      </c>
      <c r="AH16" s="219">
        <v>282</v>
      </c>
      <c r="AI16" s="214">
        <v>223</v>
      </c>
      <c r="AJ16" s="214">
        <v>160</v>
      </c>
      <c r="AK16" s="214"/>
      <c r="AL16" s="212">
        <v>2021</v>
      </c>
      <c r="AM16" s="220">
        <v>394</v>
      </c>
      <c r="AN16" s="221" t="s">
        <v>145</v>
      </c>
      <c r="AO16" s="119" t="s">
        <v>146</v>
      </c>
      <c r="AP16" s="119"/>
    </row>
    <row r="17" spans="2:67" ht="11.25" thickBot="1" x14ac:dyDescent="0.3">
      <c r="B17" s="87">
        <f>B15-B16</f>
        <v>665</v>
      </c>
      <c r="C17" s="87" t="s">
        <v>147</v>
      </c>
      <c r="H17" s="120">
        <v>44344</v>
      </c>
      <c r="I17" s="121">
        <v>46752</v>
      </c>
      <c r="J17" s="122">
        <f t="shared" si="0"/>
        <v>6.5927446954141002</v>
      </c>
      <c r="K17" s="161">
        <v>2021</v>
      </c>
      <c r="L17" s="123">
        <v>2022</v>
      </c>
      <c r="M17" s="124"/>
      <c r="N17" s="124"/>
      <c r="O17" s="124"/>
      <c r="P17" s="124"/>
      <c r="Q17" s="124"/>
      <c r="R17" s="124"/>
      <c r="S17" s="124"/>
      <c r="T17" s="124"/>
      <c r="U17" s="124"/>
      <c r="V17" s="162"/>
      <c r="W17" s="162"/>
      <c r="X17" s="162"/>
      <c r="Y17" s="162"/>
      <c r="Z17" s="163">
        <v>3</v>
      </c>
      <c r="AA17" s="222">
        <v>21</v>
      </c>
      <c r="AB17" s="223">
        <v>66</v>
      </c>
      <c r="AC17" s="223">
        <v>115</v>
      </c>
      <c r="AD17" s="223">
        <v>151</v>
      </c>
      <c r="AE17" s="223">
        <v>175</v>
      </c>
      <c r="AF17" s="223">
        <v>191</v>
      </c>
      <c r="AG17" s="224">
        <v>203</v>
      </c>
      <c r="AH17" s="186">
        <v>190</v>
      </c>
      <c r="AI17" s="162">
        <v>80</v>
      </c>
      <c r="AJ17" s="162">
        <v>12</v>
      </c>
      <c r="AK17" s="162"/>
      <c r="AL17" s="123">
        <v>2022</v>
      </c>
      <c r="AM17" s="167">
        <v>518</v>
      </c>
      <c r="AN17" s="168" t="s">
        <v>148</v>
      </c>
      <c r="AO17" s="87" t="s">
        <v>131</v>
      </c>
    </row>
    <row r="18" spans="2:67" x14ac:dyDescent="0.25">
      <c r="B18" s="225">
        <v>1.4</v>
      </c>
      <c r="C18" s="87" t="s">
        <v>149</v>
      </c>
      <c r="H18" s="226"/>
      <c r="I18" s="227"/>
      <c r="J18" s="228"/>
      <c r="K18" s="229"/>
      <c r="L18" s="230"/>
      <c r="M18" s="231"/>
      <c r="N18" s="231"/>
      <c r="O18" s="231"/>
      <c r="P18" s="231"/>
      <c r="Q18" s="231"/>
      <c r="R18" s="231"/>
      <c r="S18" s="231"/>
      <c r="T18" s="231"/>
      <c r="U18" s="231"/>
      <c r="V18" s="232"/>
      <c r="W18" s="232"/>
      <c r="X18" s="232"/>
      <c r="Y18" s="232"/>
      <c r="Z18" s="232"/>
      <c r="AA18" s="232"/>
      <c r="AB18" s="232"/>
      <c r="AC18" s="232"/>
      <c r="AD18" s="232"/>
      <c r="AE18" s="232"/>
      <c r="AF18" s="232"/>
      <c r="AG18" s="232"/>
      <c r="AH18" s="232"/>
      <c r="AI18" s="232"/>
      <c r="AJ18" s="232"/>
      <c r="AK18" s="232"/>
      <c r="AL18" s="232"/>
      <c r="AM18" s="232"/>
      <c r="AN18" s="232"/>
    </row>
    <row r="19" spans="2:67" x14ac:dyDescent="0.25">
      <c r="B19" s="87">
        <f>B17/B18</f>
        <v>475.00000000000006</v>
      </c>
      <c r="C19" s="87" t="s">
        <v>150</v>
      </c>
      <c r="H19" s="226"/>
      <c r="I19" s="227"/>
      <c r="J19" s="228"/>
      <c r="K19" s="229"/>
      <c r="L19" s="230"/>
      <c r="M19" s="231"/>
      <c r="N19" s="231"/>
      <c r="O19" s="231"/>
      <c r="P19" s="231"/>
      <c r="Q19" s="231"/>
      <c r="R19" s="231"/>
      <c r="S19" s="231"/>
      <c r="T19" s="231"/>
      <c r="U19" s="231"/>
      <c r="V19" s="232"/>
      <c r="W19" s="232"/>
      <c r="X19" s="232"/>
      <c r="Y19" s="232"/>
      <c r="Z19" s="233" t="s">
        <v>151</v>
      </c>
      <c r="AA19" s="232"/>
      <c r="AB19" s="232"/>
      <c r="AC19" s="232"/>
      <c r="AD19" s="232"/>
      <c r="AE19" s="232"/>
      <c r="AF19" s="232"/>
      <c r="AG19" s="232"/>
      <c r="AH19" s="232"/>
      <c r="AI19" s="232"/>
      <c r="AJ19" s="232"/>
      <c r="AK19" s="232"/>
      <c r="AL19" s="232"/>
      <c r="AM19" s="232"/>
      <c r="AN19" s="232"/>
    </row>
    <row r="20" spans="2:67" x14ac:dyDescent="0.25">
      <c r="B20" s="87">
        <f>B15-B19</f>
        <v>708</v>
      </c>
      <c r="C20" s="87" t="s">
        <v>152</v>
      </c>
      <c r="H20" s="234"/>
      <c r="I20" s="235"/>
      <c r="J20" s="228"/>
      <c r="K20" s="229"/>
      <c r="L20" s="230"/>
      <c r="M20" s="231"/>
      <c r="N20" s="231"/>
      <c r="O20" s="231"/>
      <c r="P20" s="231"/>
      <c r="Q20" s="231"/>
      <c r="R20" s="231"/>
      <c r="S20" s="231"/>
      <c r="T20" s="231"/>
      <c r="U20" s="231"/>
      <c r="V20" s="232"/>
      <c r="W20" s="232"/>
      <c r="X20" s="232"/>
      <c r="Y20" s="232"/>
      <c r="Z20" s="135">
        <v>72</v>
      </c>
      <c r="AA20" s="135">
        <v>292</v>
      </c>
      <c r="AB20" s="135">
        <v>502</v>
      </c>
      <c r="AC20" s="135">
        <v>652</v>
      </c>
      <c r="AD20" s="135">
        <v>772</v>
      </c>
      <c r="AE20" s="135">
        <v>852</v>
      </c>
      <c r="AF20" s="135">
        <v>912</v>
      </c>
      <c r="AG20" s="135">
        <v>962</v>
      </c>
      <c r="AH20" s="135">
        <v>932</v>
      </c>
      <c r="AI20" s="135">
        <v>682</v>
      </c>
      <c r="AJ20" s="135">
        <v>442</v>
      </c>
      <c r="AK20" s="135" t="s">
        <v>153</v>
      </c>
      <c r="AL20" s="232"/>
      <c r="AM20" s="232"/>
      <c r="AN20" s="232"/>
      <c r="AO20" s="190">
        <f>SUM(X20:AJ20)</f>
        <v>7072</v>
      </c>
      <c r="AP20" s="233" t="s">
        <v>34</v>
      </c>
      <c r="AQ20" s="232"/>
      <c r="AR20" s="233" t="s">
        <v>154</v>
      </c>
      <c r="AS20" s="232"/>
      <c r="AT20" s="232"/>
      <c r="AU20" s="232"/>
      <c r="AV20" s="232"/>
      <c r="AW20" s="232"/>
      <c r="AX20" s="232"/>
      <c r="AY20" s="232"/>
      <c r="AZ20" s="232"/>
    </row>
    <row r="21" spans="2:67" x14ac:dyDescent="0.25">
      <c r="B21" s="87">
        <v>7</v>
      </c>
      <c r="C21" s="87" t="s">
        <v>155</v>
      </c>
      <c r="H21" s="236"/>
      <c r="I21" s="236"/>
      <c r="J21" s="237"/>
      <c r="K21" s="89"/>
      <c r="L21" s="230"/>
      <c r="M21" s="231"/>
      <c r="N21" s="231"/>
      <c r="O21" s="231"/>
      <c r="P21" s="231"/>
      <c r="Q21" s="231"/>
      <c r="R21" s="231"/>
      <c r="S21" s="231"/>
      <c r="T21" s="231"/>
      <c r="U21" s="231"/>
      <c r="V21" s="232"/>
      <c r="W21" s="232"/>
      <c r="X21" s="232"/>
      <c r="AO21" s="190">
        <f>SUM(X16:AJ16)</f>
        <v>2242</v>
      </c>
      <c r="AP21" s="87" t="s">
        <v>156</v>
      </c>
      <c r="AR21" s="87" t="s">
        <v>157</v>
      </c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</row>
    <row r="22" spans="2:67" ht="11.25" thickBot="1" x14ac:dyDescent="0.3">
      <c r="B22" s="238">
        <f>B20/B21</f>
        <v>101.14285714285714</v>
      </c>
      <c r="C22" s="87" t="s">
        <v>158</v>
      </c>
      <c r="H22" s="236"/>
      <c r="I22" s="236"/>
      <c r="J22" s="237"/>
      <c r="K22" s="231"/>
      <c r="L22" s="231"/>
      <c r="M22" s="231"/>
      <c r="N22" s="231"/>
      <c r="O22" s="231"/>
      <c r="P22" s="231"/>
      <c r="Q22" s="231"/>
      <c r="R22" s="231"/>
      <c r="S22" s="232"/>
      <c r="T22" s="232"/>
      <c r="U22" s="232"/>
      <c r="V22" s="239" t="s">
        <v>159</v>
      </c>
      <c r="W22" s="232"/>
      <c r="X22" s="232"/>
      <c r="Y22" s="240"/>
      <c r="Z22" s="241"/>
      <c r="AA22" s="241"/>
      <c r="AB22" s="242" t="s">
        <v>160</v>
      </c>
      <c r="AC22" s="241" t="s">
        <v>161</v>
      </c>
      <c r="AD22" s="241" t="s">
        <v>161</v>
      </c>
      <c r="AE22" s="241"/>
      <c r="AF22" s="241" t="s">
        <v>162</v>
      </c>
      <c r="AG22" s="232"/>
      <c r="AH22" s="89"/>
      <c r="AI22" s="243" t="s">
        <v>163</v>
      </c>
      <c r="AM22" s="87" t="s">
        <v>164</v>
      </c>
      <c r="AO22" s="190">
        <f>SUM(X17:AJ17)</f>
        <v>1207</v>
      </c>
      <c r="AP22" s="87" t="s">
        <v>165</v>
      </c>
      <c r="AR22" s="87" t="s">
        <v>166</v>
      </c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</row>
    <row r="23" spans="2:67" x14ac:dyDescent="0.25">
      <c r="B23" s="197">
        <v>41706</v>
      </c>
      <c r="C23" s="87" t="s">
        <v>167</v>
      </c>
      <c r="H23" s="99" t="s">
        <v>168</v>
      </c>
      <c r="I23" s="244" t="s">
        <v>95</v>
      </c>
      <c r="J23" s="95">
        <v>-2</v>
      </c>
      <c r="K23" s="245">
        <f t="shared" ref="K23:U23" si="1">J23+1</f>
        <v>-1</v>
      </c>
      <c r="L23" s="246">
        <f t="shared" si="1"/>
        <v>0</v>
      </c>
      <c r="M23" s="247">
        <f t="shared" si="1"/>
        <v>1</v>
      </c>
      <c r="N23" s="247">
        <f t="shared" si="1"/>
        <v>2</v>
      </c>
      <c r="O23" s="247">
        <f t="shared" si="1"/>
        <v>3</v>
      </c>
      <c r="P23" s="247">
        <f t="shared" si="1"/>
        <v>4</v>
      </c>
      <c r="Q23" s="247">
        <f t="shared" si="1"/>
        <v>5</v>
      </c>
      <c r="R23" s="247">
        <f t="shared" si="1"/>
        <v>6</v>
      </c>
      <c r="S23" s="247">
        <f t="shared" si="1"/>
        <v>7</v>
      </c>
      <c r="T23" s="247">
        <f t="shared" si="1"/>
        <v>8</v>
      </c>
      <c r="U23" s="248">
        <f t="shared" si="1"/>
        <v>9</v>
      </c>
      <c r="V23" s="249" t="s">
        <v>169</v>
      </c>
      <c r="W23" s="250" t="s">
        <v>170</v>
      </c>
      <c r="X23" s="251" t="s">
        <v>171</v>
      </c>
      <c r="Y23" s="251" t="s">
        <v>172</v>
      </c>
      <c r="Z23" s="252" t="s">
        <v>53</v>
      </c>
      <c r="AA23" s="253" t="s">
        <v>173</v>
      </c>
      <c r="AB23" s="252" t="s">
        <v>174</v>
      </c>
      <c r="AC23" s="252" t="s">
        <v>175</v>
      </c>
      <c r="AD23" s="252" t="s">
        <v>175</v>
      </c>
      <c r="AE23" s="251" t="s">
        <v>176</v>
      </c>
      <c r="AF23" s="251" t="s">
        <v>177</v>
      </c>
      <c r="AG23" s="254" t="s">
        <v>163</v>
      </c>
      <c r="AH23" s="253" t="s">
        <v>178</v>
      </c>
      <c r="AI23" s="253" t="s">
        <v>178</v>
      </c>
      <c r="AJ23" s="251" t="s">
        <v>179</v>
      </c>
      <c r="AK23" s="97" t="s">
        <v>176</v>
      </c>
      <c r="AL23" s="255" t="s">
        <v>180</v>
      </c>
      <c r="AM23" s="255" t="s">
        <v>180</v>
      </c>
      <c r="AO23" s="89"/>
      <c r="AR23" s="87" t="s">
        <v>181</v>
      </c>
      <c r="AY23" s="87" t="s">
        <v>182</v>
      </c>
    </row>
    <row r="24" spans="2:67" ht="11.25" thickBot="1" x14ac:dyDescent="0.3">
      <c r="B24" s="197">
        <v>100000</v>
      </c>
      <c r="C24" s="87" t="s">
        <v>183</v>
      </c>
      <c r="H24" s="109">
        <v>2008</v>
      </c>
      <c r="I24" s="256">
        <v>2009</v>
      </c>
      <c r="J24" s="110">
        <v>2</v>
      </c>
      <c r="K24" s="257">
        <v>152</v>
      </c>
      <c r="L24" s="258">
        <v>426</v>
      </c>
      <c r="M24" s="110">
        <v>727</v>
      </c>
      <c r="N24" s="111">
        <v>1019</v>
      </c>
      <c r="O24" s="111">
        <v>1262</v>
      </c>
      <c r="P24" s="111">
        <v>1449</v>
      </c>
      <c r="Q24" s="112">
        <v>1600</v>
      </c>
      <c r="R24" s="113">
        <v>1500</v>
      </c>
      <c r="S24" s="114">
        <v>1200</v>
      </c>
      <c r="T24" s="115">
        <v>900</v>
      </c>
      <c r="U24" s="259">
        <v>600</v>
      </c>
      <c r="V24" s="260">
        <v>2008</v>
      </c>
      <c r="W24" s="261">
        <v>7</v>
      </c>
      <c r="X24" s="262">
        <v>10800</v>
      </c>
      <c r="Y24" s="263">
        <v>3850</v>
      </c>
      <c r="Z24" s="263">
        <v>6900</v>
      </c>
      <c r="AA24" s="264">
        <v>1.33</v>
      </c>
      <c r="AB24" s="117">
        <f t="shared" ref="AB24:AB36" si="2">Z24/AA24</f>
        <v>5187.9699248120296</v>
      </c>
      <c r="AC24" s="263">
        <v>5600</v>
      </c>
      <c r="AD24" s="117">
        <f t="shared" ref="AD24:AD36" si="3">AC24/W24</f>
        <v>800</v>
      </c>
      <c r="AE24" s="265">
        <v>61625</v>
      </c>
      <c r="AF24" s="266">
        <f t="shared" ref="AF24:AF37" si="4">AD24/AE24</f>
        <v>1.2981744421906694E-2</v>
      </c>
      <c r="AG24" s="267">
        <f>AF24</f>
        <v>1.2981744421906694E-2</v>
      </c>
      <c r="AH24" s="268">
        <f>AF24/AF$25</f>
        <v>1.0336318949270435</v>
      </c>
      <c r="AI24" s="268">
        <f t="shared" ref="AI24:AI37" si="5">AG24/AG$25</f>
        <v>1.0336318949270435</v>
      </c>
      <c r="AJ24" s="263">
        <f t="shared" ref="AJ24:AJ37" si="6">X24/W24</f>
        <v>1542.8571428571429</v>
      </c>
      <c r="AK24" s="269">
        <f t="shared" ref="AK24:AK37" si="7">AJ24/$AJ$25</f>
        <v>0.98312902051219819</v>
      </c>
      <c r="AL24" s="270">
        <f t="shared" ref="AL24:AL37" ca="1" si="8">OFFSET($AE45,0,$K$43)</f>
        <v>1</v>
      </c>
      <c r="AM24" s="271">
        <f t="shared" ref="AM24:AM37" ca="1" si="9">AL24/$AL$37</f>
        <v>0.81747134421674195</v>
      </c>
      <c r="AO24" s="89"/>
      <c r="AR24" s="87" t="s">
        <v>184</v>
      </c>
      <c r="AY24" s="87" t="s">
        <v>185</v>
      </c>
    </row>
    <row r="25" spans="2:67" ht="11.25" thickBot="1" x14ac:dyDescent="0.3">
      <c r="B25" s="197">
        <f>B24-B23</f>
        <v>58294</v>
      </c>
      <c r="C25" s="87" t="s">
        <v>186</v>
      </c>
      <c r="H25" s="123">
        <v>2009</v>
      </c>
      <c r="I25" s="272">
        <v>2010</v>
      </c>
      <c r="J25" s="125">
        <v>2</v>
      </c>
      <c r="K25" s="273">
        <v>109</v>
      </c>
      <c r="L25" s="274">
        <v>366</v>
      </c>
      <c r="M25" s="125">
        <v>684</v>
      </c>
      <c r="N25" s="125">
        <v>999</v>
      </c>
      <c r="O25" s="126">
        <v>1281</v>
      </c>
      <c r="P25" s="275">
        <v>1502</v>
      </c>
      <c r="Q25" s="128">
        <v>1468</v>
      </c>
      <c r="R25" s="126">
        <v>1215</v>
      </c>
      <c r="S25" s="125">
        <v>905</v>
      </c>
      <c r="T25" s="125">
        <v>611</v>
      </c>
      <c r="U25" s="276">
        <v>385</v>
      </c>
      <c r="V25" s="277">
        <v>2009</v>
      </c>
      <c r="W25" s="278">
        <v>6</v>
      </c>
      <c r="X25" s="129">
        <f>SUM(L25:U25)</f>
        <v>9416</v>
      </c>
      <c r="Y25" s="129">
        <v>3069</v>
      </c>
      <c r="Z25" s="129">
        <f t="shared" ref="Z25:Z37" si="10">X25-Y25</f>
        <v>6347</v>
      </c>
      <c r="AA25" s="279">
        <v>1.33</v>
      </c>
      <c r="AB25" s="129">
        <f t="shared" si="2"/>
        <v>4772.1804511278197</v>
      </c>
      <c r="AC25" s="129">
        <f t="shared" ref="AC25:AC36" si="11">X25-AB25</f>
        <v>4643.8195488721803</v>
      </c>
      <c r="AD25" s="129">
        <f t="shared" si="3"/>
        <v>773.96992481203006</v>
      </c>
      <c r="AE25" s="280">
        <v>61625</v>
      </c>
      <c r="AF25" s="281">
        <f t="shared" si="4"/>
        <v>1.2559349692690142E-2</v>
      </c>
      <c r="AG25" s="282">
        <f>AF25</f>
        <v>1.2559349692690142E-2</v>
      </c>
      <c r="AH25" s="283">
        <f t="shared" ref="AH25:AH37" si="12">AF25/AF$25</f>
        <v>1</v>
      </c>
      <c r="AI25" s="283">
        <f t="shared" si="5"/>
        <v>1</v>
      </c>
      <c r="AJ25" s="129">
        <f t="shared" si="6"/>
        <v>1569.3333333333333</v>
      </c>
      <c r="AK25" s="284">
        <f t="shared" si="7"/>
        <v>1</v>
      </c>
      <c r="AL25" s="285">
        <f t="shared" ca="1" si="8"/>
        <v>0.9998937752283833</v>
      </c>
      <c r="AM25" s="286">
        <f t="shared" ca="1" si="9"/>
        <v>0.8173845085098993</v>
      </c>
      <c r="AO25" s="89"/>
      <c r="AZ25" s="140" t="s">
        <v>187</v>
      </c>
      <c r="BO25" s="89"/>
    </row>
    <row r="26" spans="2:67" ht="11.25" thickBot="1" x14ac:dyDescent="0.3">
      <c r="B26" s="225">
        <v>0.8</v>
      </c>
      <c r="C26" s="87" t="s">
        <v>188</v>
      </c>
      <c r="H26" s="99">
        <v>2010</v>
      </c>
      <c r="I26" s="244">
        <v>2011</v>
      </c>
      <c r="J26" s="136">
        <v>2</v>
      </c>
      <c r="K26" s="287">
        <v>104</v>
      </c>
      <c r="L26" s="288">
        <v>236</v>
      </c>
      <c r="M26" s="136">
        <v>326</v>
      </c>
      <c r="N26" s="136">
        <v>385</v>
      </c>
      <c r="O26" s="153">
        <v>430</v>
      </c>
      <c r="P26" s="289">
        <v>380</v>
      </c>
      <c r="Q26" s="136">
        <v>259</v>
      </c>
      <c r="R26" s="136">
        <v>161</v>
      </c>
      <c r="S26" s="136">
        <v>107</v>
      </c>
      <c r="T26" s="136">
        <v>103</v>
      </c>
      <c r="U26" s="290">
        <v>79</v>
      </c>
      <c r="V26" s="249">
        <v>2010</v>
      </c>
      <c r="W26" s="291">
        <v>5</v>
      </c>
      <c r="X26" s="139">
        <f t="shared" ref="X26:X36" si="13">SUM(L26:U26)</f>
        <v>2466</v>
      </c>
      <c r="Y26" s="139">
        <v>1260</v>
      </c>
      <c r="Z26" s="139">
        <f t="shared" si="10"/>
        <v>1206</v>
      </c>
      <c r="AA26" s="292">
        <v>1.33</v>
      </c>
      <c r="AB26" s="139">
        <f t="shared" si="2"/>
        <v>906.76691729323306</v>
      </c>
      <c r="AC26" s="139">
        <f t="shared" si="11"/>
        <v>1559.2330827067669</v>
      </c>
      <c r="AD26" s="139">
        <f t="shared" si="3"/>
        <v>311.8466165413534</v>
      </c>
      <c r="AE26" s="293">
        <v>61625</v>
      </c>
      <c r="AF26" s="294">
        <f t="shared" si="4"/>
        <v>5.0603913434702375E-3</v>
      </c>
      <c r="AG26" s="295">
        <f t="shared" ref="AG26:AG31" si="14">AG27</f>
        <v>6.0542426315384357E-3</v>
      </c>
      <c r="AH26" s="296">
        <f t="shared" si="12"/>
        <v>0.40291826147778276</v>
      </c>
      <c r="AI26" s="297">
        <f t="shared" si="5"/>
        <v>0.48205064590741964</v>
      </c>
      <c r="AJ26" s="139">
        <f t="shared" si="6"/>
        <v>493.2</v>
      </c>
      <c r="AK26" s="284">
        <f t="shared" si="7"/>
        <v>0.31427357689039931</v>
      </c>
      <c r="AL26" s="298">
        <f t="shared" ca="1" si="8"/>
        <v>1.0177395368599957</v>
      </c>
      <c r="AM26" s="299">
        <f t="shared" ca="1" si="9"/>
        <v>0.83197290725946516</v>
      </c>
      <c r="AO26" s="89"/>
      <c r="AZ26" s="140">
        <v>10.8</v>
      </c>
      <c r="BA26" s="87" t="s">
        <v>171</v>
      </c>
      <c r="BC26" s="87">
        <v>5.625</v>
      </c>
      <c r="BE26" s="87" t="s">
        <v>189</v>
      </c>
      <c r="BO26" s="89"/>
    </row>
    <row r="27" spans="2:67" ht="11.25" thickBot="1" x14ac:dyDescent="0.3">
      <c r="B27" s="197">
        <f>B25*B26</f>
        <v>46635.200000000004</v>
      </c>
      <c r="C27" s="87" t="s">
        <v>190</v>
      </c>
      <c r="H27" s="141">
        <v>2011</v>
      </c>
      <c r="I27" s="244">
        <v>2012</v>
      </c>
      <c r="J27" s="98">
        <v>2</v>
      </c>
      <c r="K27" s="300">
        <v>108</v>
      </c>
      <c r="L27" s="301">
        <v>241</v>
      </c>
      <c r="M27" s="98">
        <v>335</v>
      </c>
      <c r="N27" s="302">
        <v>390</v>
      </c>
      <c r="O27" s="303">
        <v>359</v>
      </c>
      <c r="P27" s="98">
        <v>237</v>
      </c>
      <c r="Q27" s="98">
        <v>149</v>
      </c>
      <c r="R27" s="98">
        <v>91</v>
      </c>
      <c r="S27" s="98">
        <v>60</v>
      </c>
      <c r="T27" s="98">
        <v>69</v>
      </c>
      <c r="U27" s="304">
        <v>55</v>
      </c>
      <c r="V27" s="249">
        <v>2011</v>
      </c>
      <c r="W27" s="291">
        <v>4</v>
      </c>
      <c r="X27" s="139">
        <f t="shared" si="13"/>
        <v>1986</v>
      </c>
      <c r="Y27" s="139">
        <v>984</v>
      </c>
      <c r="Z27" s="139">
        <f t="shared" si="10"/>
        <v>1002</v>
      </c>
      <c r="AA27" s="292">
        <v>1.33</v>
      </c>
      <c r="AB27" s="139">
        <f t="shared" si="2"/>
        <v>753.38345864661653</v>
      </c>
      <c r="AC27" s="139">
        <f t="shared" si="11"/>
        <v>1232.6165413533836</v>
      </c>
      <c r="AD27" s="139">
        <f t="shared" si="3"/>
        <v>308.1541353383459</v>
      </c>
      <c r="AE27" s="293">
        <v>61625</v>
      </c>
      <c r="AF27" s="294">
        <f t="shared" si="4"/>
        <v>5.0004727843950651E-3</v>
      </c>
      <c r="AG27" s="295">
        <f t="shared" si="14"/>
        <v>6.0542426315384357E-3</v>
      </c>
      <c r="AH27" s="296">
        <f t="shared" si="12"/>
        <v>0.39814742854922386</v>
      </c>
      <c r="AI27" s="297">
        <f t="shared" si="5"/>
        <v>0.48205064590741964</v>
      </c>
      <c r="AJ27" s="139">
        <f t="shared" si="6"/>
        <v>496.5</v>
      </c>
      <c r="AK27" s="284">
        <f t="shared" si="7"/>
        <v>0.31637638062871709</v>
      </c>
      <c r="AL27" s="305">
        <f t="shared" ca="1" si="8"/>
        <v>1.0415338857021457</v>
      </c>
      <c r="AM27" s="306">
        <f t="shared" ca="1" si="9"/>
        <v>0.85142410559221948</v>
      </c>
      <c r="AO27" s="89"/>
      <c r="AZ27" s="140">
        <v>6.9</v>
      </c>
      <c r="BA27" s="87" t="s">
        <v>191</v>
      </c>
      <c r="BE27" s="87" t="s">
        <v>192</v>
      </c>
      <c r="BO27" s="89"/>
    </row>
    <row r="28" spans="2:67" ht="11.25" thickBot="1" x14ac:dyDescent="0.3">
      <c r="B28" s="197">
        <f>B22</f>
        <v>101.14285714285714</v>
      </c>
      <c r="C28" s="87" t="s">
        <v>158</v>
      </c>
      <c r="H28" s="141">
        <v>2012</v>
      </c>
      <c r="I28" s="244">
        <v>2013</v>
      </c>
      <c r="J28" s="98">
        <v>2</v>
      </c>
      <c r="K28" s="300">
        <v>105</v>
      </c>
      <c r="L28" s="301">
        <v>245</v>
      </c>
      <c r="M28" s="302">
        <v>341</v>
      </c>
      <c r="N28" s="303">
        <v>316</v>
      </c>
      <c r="O28" s="98">
        <v>215</v>
      </c>
      <c r="P28" s="98">
        <v>131</v>
      </c>
      <c r="Q28" s="98">
        <v>84</v>
      </c>
      <c r="R28" s="98">
        <v>56</v>
      </c>
      <c r="S28" s="98">
        <v>38</v>
      </c>
      <c r="T28" s="98">
        <v>57</v>
      </c>
      <c r="U28" s="304">
        <v>48</v>
      </c>
      <c r="V28" s="249">
        <v>2012</v>
      </c>
      <c r="W28" s="291">
        <v>3</v>
      </c>
      <c r="X28" s="139">
        <f t="shared" si="13"/>
        <v>1531</v>
      </c>
      <c r="Y28" s="139">
        <v>780</v>
      </c>
      <c r="Z28" s="139">
        <f t="shared" si="10"/>
        <v>751</v>
      </c>
      <c r="AA28" s="292">
        <v>1.33</v>
      </c>
      <c r="AB28" s="139">
        <f t="shared" si="2"/>
        <v>564.66165413533827</v>
      </c>
      <c r="AC28" s="139">
        <f t="shared" si="11"/>
        <v>966.33834586466173</v>
      </c>
      <c r="AD28" s="139">
        <f t="shared" si="3"/>
        <v>322.11278195488723</v>
      </c>
      <c r="AE28" s="293">
        <v>61625</v>
      </c>
      <c r="AF28" s="294">
        <f t="shared" si="4"/>
        <v>5.2269822629596304E-3</v>
      </c>
      <c r="AG28" s="295">
        <f t="shared" si="14"/>
        <v>6.0542426315384357E-3</v>
      </c>
      <c r="AH28" s="296">
        <f t="shared" si="12"/>
        <v>0.4161825564903146</v>
      </c>
      <c r="AI28" s="297">
        <f t="shared" si="5"/>
        <v>0.48205064590741964</v>
      </c>
      <c r="AJ28" s="139">
        <f t="shared" si="6"/>
        <v>510.33333333333331</v>
      </c>
      <c r="AK28" s="284">
        <f t="shared" si="7"/>
        <v>0.32519116397621073</v>
      </c>
      <c r="AL28" s="305">
        <f t="shared" ca="1" si="8"/>
        <v>1.0622477161674102</v>
      </c>
      <c r="AM28" s="306">
        <f t="shared" ca="1" si="9"/>
        <v>0.86835706842653704</v>
      </c>
      <c r="AO28" s="89"/>
      <c r="AZ28" s="140">
        <v>5.1879699248120303</v>
      </c>
      <c r="BA28" s="87" t="s">
        <v>193</v>
      </c>
      <c r="BO28" s="89"/>
    </row>
    <row r="29" spans="2:67" ht="11.25" thickBot="1" x14ac:dyDescent="0.3">
      <c r="B29" s="307">
        <f>B28/B27</f>
        <v>2.1688093359277356E-3</v>
      </c>
      <c r="C29" s="87" t="s">
        <v>194</v>
      </c>
      <c r="H29" s="141">
        <v>2013</v>
      </c>
      <c r="I29" s="244">
        <v>2014</v>
      </c>
      <c r="J29" s="136">
        <v>2</v>
      </c>
      <c r="K29" s="308">
        <v>108</v>
      </c>
      <c r="L29" s="309">
        <v>253</v>
      </c>
      <c r="M29" s="128">
        <v>267</v>
      </c>
      <c r="N29" s="144">
        <v>183</v>
      </c>
      <c r="O29" s="136">
        <v>110</v>
      </c>
      <c r="P29" s="136">
        <v>71</v>
      </c>
      <c r="Q29" s="136">
        <v>47</v>
      </c>
      <c r="R29" s="135">
        <v>32</v>
      </c>
      <c r="S29" s="135">
        <v>22</v>
      </c>
      <c r="T29" s="135">
        <v>48</v>
      </c>
      <c r="U29" s="310">
        <v>43</v>
      </c>
      <c r="V29" s="249">
        <v>2013</v>
      </c>
      <c r="W29" s="291">
        <v>2</v>
      </c>
      <c r="X29" s="139">
        <f t="shared" si="13"/>
        <v>1076</v>
      </c>
      <c r="Y29" s="139">
        <v>526</v>
      </c>
      <c r="Z29" s="139">
        <f t="shared" si="10"/>
        <v>550</v>
      </c>
      <c r="AA29" s="292">
        <v>1.33</v>
      </c>
      <c r="AB29" s="139">
        <f t="shared" si="2"/>
        <v>413.53383458646613</v>
      </c>
      <c r="AC29" s="139">
        <f t="shared" si="11"/>
        <v>662.46616541353387</v>
      </c>
      <c r="AD29" s="139">
        <f t="shared" si="3"/>
        <v>331.23308270676694</v>
      </c>
      <c r="AE29" s="293">
        <v>61625</v>
      </c>
      <c r="AF29" s="294">
        <f t="shared" si="4"/>
        <v>5.3749790297244124E-3</v>
      </c>
      <c r="AG29" s="295">
        <f t="shared" si="14"/>
        <v>6.0542426315384357E-3</v>
      </c>
      <c r="AH29" s="296">
        <f t="shared" si="12"/>
        <v>0.42796634867590205</v>
      </c>
      <c r="AI29" s="297">
        <f t="shared" si="5"/>
        <v>0.48205064590741964</v>
      </c>
      <c r="AJ29" s="139">
        <f t="shared" si="6"/>
        <v>538</v>
      </c>
      <c r="AK29" s="284">
        <f t="shared" si="7"/>
        <v>0.342820730671198</v>
      </c>
      <c r="AL29" s="298">
        <f t="shared" ca="1" si="8"/>
        <v>1.0773316337369874</v>
      </c>
      <c r="AM29" s="299">
        <f t="shared" ca="1" si="9"/>
        <v>0.88068773879819373</v>
      </c>
      <c r="AO29" s="89"/>
      <c r="AZ29" s="311">
        <v>5.6</v>
      </c>
      <c r="BA29" s="87" t="s">
        <v>195</v>
      </c>
      <c r="BO29" s="89"/>
    </row>
    <row r="30" spans="2:67" ht="11.25" thickBot="1" x14ac:dyDescent="0.3">
      <c r="H30" s="150">
        <v>2014</v>
      </c>
      <c r="I30" s="312">
        <v>2015</v>
      </c>
      <c r="J30" s="152">
        <v>2</v>
      </c>
      <c r="K30" s="313">
        <v>113</v>
      </c>
      <c r="L30" s="314">
        <v>179</v>
      </c>
      <c r="M30" s="152">
        <v>135</v>
      </c>
      <c r="N30" s="152">
        <v>78</v>
      </c>
      <c r="O30" s="152">
        <v>50</v>
      </c>
      <c r="P30" s="152">
        <v>34</v>
      </c>
      <c r="Q30" s="152">
        <v>23</v>
      </c>
      <c r="R30" s="152">
        <v>16</v>
      </c>
      <c r="S30" s="152">
        <v>12</v>
      </c>
      <c r="T30" s="152">
        <v>43</v>
      </c>
      <c r="U30" s="315">
        <v>13</v>
      </c>
      <c r="V30" s="316">
        <v>2014</v>
      </c>
      <c r="W30" s="317">
        <v>1</v>
      </c>
      <c r="X30" s="156">
        <f t="shared" si="13"/>
        <v>583</v>
      </c>
      <c r="Y30" s="156">
        <v>300</v>
      </c>
      <c r="Z30" s="156">
        <f t="shared" si="10"/>
        <v>283</v>
      </c>
      <c r="AA30" s="318">
        <v>1.33</v>
      </c>
      <c r="AB30" s="156">
        <f t="shared" si="2"/>
        <v>212.78195488721803</v>
      </c>
      <c r="AC30" s="156">
        <f t="shared" si="11"/>
        <v>370.21804511278197</v>
      </c>
      <c r="AD30" s="156">
        <f t="shared" si="3"/>
        <v>370.21804511278197</v>
      </c>
      <c r="AE30" s="319">
        <v>61625</v>
      </c>
      <c r="AF30" s="320">
        <f t="shared" si="4"/>
        <v>6.0075950525400722E-3</v>
      </c>
      <c r="AG30" s="321">
        <f t="shared" si="14"/>
        <v>6.0542426315384357E-3</v>
      </c>
      <c r="AH30" s="322">
        <f t="shared" si="12"/>
        <v>0.4783364743826381</v>
      </c>
      <c r="AI30" s="323">
        <f t="shared" si="5"/>
        <v>0.48205064590741964</v>
      </c>
      <c r="AJ30" s="156">
        <f t="shared" si="6"/>
        <v>583</v>
      </c>
      <c r="AK30" s="324">
        <f t="shared" si="7"/>
        <v>0.37149532710280375</v>
      </c>
      <c r="AL30" s="325">
        <f t="shared" ca="1" si="8"/>
        <v>1.0943275971956661</v>
      </c>
      <c r="AM30" s="326">
        <f t="shared" ca="1" si="9"/>
        <v>0.89458145189301852</v>
      </c>
      <c r="AO30" s="89"/>
      <c r="BO30" s="89"/>
    </row>
    <row r="31" spans="2:67" ht="11.25" thickBot="1" x14ac:dyDescent="0.3">
      <c r="B31" s="87" t="s">
        <v>196</v>
      </c>
      <c r="H31" s="161">
        <v>2015</v>
      </c>
      <c r="I31" s="272">
        <v>2016</v>
      </c>
      <c r="J31" s="162">
        <v>1</v>
      </c>
      <c r="K31" s="163">
        <v>88</v>
      </c>
      <c r="L31" s="164">
        <v>230</v>
      </c>
      <c r="M31" s="162">
        <v>345</v>
      </c>
      <c r="N31" s="162">
        <v>415</v>
      </c>
      <c r="O31" s="162">
        <v>464</v>
      </c>
      <c r="P31" s="327">
        <v>499</v>
      </c>
      <c r="Q31" s="186">
        <v>432</v>
      </c>
      <c r="R31" s="162">
        <v>292</v>
      </c>
      <c r="S31" s="162">
        <v>180</v>
      </c>
      <c r="T31" s="162">
        <v>143</v>
      </c>
      <c r="U31" s="185">
        <v>111</v>
      </c>
      <c r="V31" s="277">
        <v>2015</v>
      </c>
      <c r="W31" s="278">
        <v>6</v>
      </c>
      <c r="X31" s="129">
        <f t="shared" si="13"/>
        <v>3111</v>
      </c>
      <c r="Y31" s="129">
        <v>1200</v>
      </c>
      <c r="Z31" s="129">
        <f t="shared" si="10"/>
        <v>1911</v>
      </c>
      <c r="AA31" s="279">
        <v>1.4</v>
      </c>
      <c r="AB31" s="129">
        <f t="shared" si="2"/>
        <v>1365</v>
      </c>
      <c r="AC31" s="129">
        <f t="shared" si="11"/>
        <v>1746</v>
      </c>
      <c r="AD31" s="129">
        <f t="shared" si="3"/>
        <v>291</v>
      </c>
      <c r="AE31" s="280">
        <v>53911.833333333336</v>
      </c>
      <c r="AF31" s="281">
        <f t="shared" si="4"/>
        <v>5.3977018032528414E-3</v>
      </c>
      <c r="AG31" s="282">
        <f t="shared" si="14"/>
        <v>6.0542426315384357E-3</v>
      </c>
      <c r="AH31" s="283">
        <f t="shared" si="12"/>
        <v>0.42977558037056962</v>
      </c>
      <c r="AI31" s="328">
        <f t="shared" si="5"/>
        <v>0.48205064590741964</v>
      </c>
      <c r="AJ31" s="129">
        <f t="shared" si="6"/>
        <v>518.5</v>
      </c>
      <c r="AK31" s="329">
        <f t="shared" si="7"/>
        <v>0.33039507221750214</v>
      </c>
      <c r="AL31" s="330">
        <f t="shared" ca="1" si="8"/>
        <v>1.0999575100913535</v>
      </c>
      <c r="AM31" s="331">
        <f t="shared" ca="1" si="9"/>
        <v>0.89918374435567927</v>
      </c>
      <c r="AO31" s="89"/>
      <c r="BO31" s="89"/>
    </row>
    <row r="32" spans="2:67" ht="11.25" thickBot="1" x14ac:dyDescent="0.3">
      <c r="H32" s="172">
        <v>2016</v>
      </c>
      <c r="I32" s="332">
        <v>2017</v>
      </c>
      <c r="J32" s="175">
        <v>1</v>
      </c>
      <c r="K32" s="176">
        <v>88</v>
      </c>
      <c r="L32" s="177">
        <v>233</v>
      </c>
      <c r="M32" s="175">
        <v>350</v>
      </c>
      <c r="N32" s="175">
        <v>421</v>
      </c>
      <c r="O32" s="333">
        <v>469</v>
      </c>
      <c r="P32" s="334">
        <v>411</v>
      </c>
      <c r="Q32" s="178">
        <v>278</v>
      </c>
      <c r="R32" s="175">
        <v>171</v>
      </c>
      <c r="S32" s="175">
        <v>111</v>
      </c>
      <c r="T32" s="175">
        <v>100</v>
      </c>
      <c r="U32" s="335">
        <v>83</v>
      </c>
      <c r="V32" s="336">
        <v>2016</v>
      </c>
      <c r="W32" s="337">
        <v>5</v>
      </c>
      <c r="X32" s="338">
        <f t="shared" si="13"/>
        <v>2627</v>
      </c>
      <c r="Y32" s="338">
        <v>1183</v>
      </c>
      <c r="Z32" s="338">
        <f t="shared" si="10"/>
        <v>1444</v>
      </c>
      <c r="AA32" s="339">
        <v>1.4</v>
      </c>
      <c r="AB32" s="338">
        <f t="shared" si="2"/>
        <v>1031.4285714285716</v>
      </c>
      <c r="AC32" s="338">
        <f t="shared" si="11"/>
        <v>1595.5714285714284</v>
      </c>
      <c r="AD32" s="338">
        <f t="shared" si="3"/>
        <v>319.1142857142857</v>
      </c>
      <c r="AE32" s="340">
        <v>52709.2</v>
      </c>
      <c r="AF32" s="341">
        <f t="shared" si="4"/>
        <v>6.0542426315384357E-3</v>
      </c>
      <c r="AG32" s="342">
        <f t="shared" ref="AG32:AG37" si="15">AF32</f>
        <v>6.0542426315384357E-3</v>
      </c>
      <c r="AH32" s="343">
        <f>AF32/AF$25</f>
        <v>0.48205064590741964</v>
      </c>
      <c r="AI32" s="344">
        <f t="shared" si="5"/>
        <v>0.48205064590741964</v>
      </c>
      <c r="AJ32" s="338">
        <f t="shared" si="6"/>
        <v>525.4</v>
      </c>
      <c r="AK32" s="345">
        <f t="shared" si="7"/>
        <v>0.33479184367034837</v>
      </c>
      <c r="AL32" s="346">
        <f t="shared" ca="1" si="8"/>
        <v>1.1072870193329085</v>
      </c>
      <c r="AM32" s="347">
        <f t="shared" ca="1" si="9"/>
        <v>0.90517540812782227</v>
      </c>
      <c r="AO32" s="89"/>
      <c r="BO32" s="89"/>
    </row>
    <row r="33" spans="2:67" ht="11.25" thickBot="1" x14ac:dyDescent="0.3">
      <c r="B33" s="197">
        <v>380000</v>
      </c>
      <c r="C33" s="87" t="s">
        <v>197</v>
      </c>
      <c r="H33" s="161">
        <v>2017</v>
      </c>
      <c r="I33" s="272">
        <v>2018</v>
      </c>
      <c r="J33" s="162">
        <v>2</v>
      </c>
      <c r="K33" s="163">
        <v>48</v>
      </c>
      <c r="L33" s="164">
        <v>133</v>
      </c>
      <c r="M33" s="162">
        <v>204</v>
      </c>
      <c r="N33" s="327">
        <v>247</v>
      </c>
      <c r="O33" s="186">
        <v>229</v>
      </c>
      <c r="P33" s="162">
        <v>161</v>
      </c>
      <c r="Q33" s="162">
        <v>103</v>
      </c>
      <c r="R33" s="162">
        <v>72</v>
      </c>
      <c r="S33" s="162">
        <v>54</v>
      </c>
      <c r="T33" s="162">
        <v>53</v>
      </c>
      <c r="U33" s="185">
        <v>49</v>
      </c>
      <c r="V33" s="348">
        <v>2017</v>
      </c>
      <c r="W33" s="278">
        <v>4</v>
      </c>
      <c r="X33" s="129">
        <f t="shared" si="13"/>
        <v>1305</v>
      </c>
      <c r="Y33" s="129">
        <v>519</v>
      </c>
      <c r="Z33" s="129">
        <f t="shared" si="10"/>
        <v>786</v>
      </c>
      <c r="AA33" s="279">
        <v>1.4</v>
      </c>
      <c r="AB33" s="129">
        <f t="shared" si="2"/>
        <v>561.42857142857144</v>
      </c>
      <c r="AC33" s="129">
        <f t="shared" si="11"/>
        <v>743.57142857142856</v>
      </c>
      <c r="AD33" s="129">
        <f t="shared" si="3"/>
        <v>185.89285714285714</v>
      </c>
      <c r="AE33" s="280">
        <v>51501.5</v>
      </c>
      <c r="AF33" s="349">
        <f t="shared" si="4"/>
        <v>3.6094649115629087E-3</v>
      </c>
      <c r="AG33" s="350">
        <f t="shared" si="15"/>
        <v>3.6094649115629087E-3</v>
      </c>
      <c r="AH33" s="283">
        <f t="shared" si="12"/>
        <v>0.28739265964253768</v>
      </c>
      <c r="AI33" s="283">
        <f t="shared" si="5"/>
        <v>0.28739265964253768</v>
      </c>
      <c r="AJ33" s="129">
        <f t="shared" si="6"/>
        <v>326.25</v>
      </c>
      <c r="AK33" s="329">
        <f t="shared" si="7"/>
        <v>0.20789082412914189</v>
      </c>
      <c r="AL33" s="330">
        <f t="shared" ca="1" si="8"/>
        <v>1.1256639048226047</v>
      </c>
      <c r="AM33" s="331">
        <f t="shared" ca="1" si="9"/>
        <v>0.92019798541160136</v>
      </c>
      <c r="AO33" s="89"/>
      <c r="BO33" s="89"/>
    </row>
    <row r="34" spans="2:67" ht="11.25" thickBot="1" x14ac:dyDescent="0.3">
      <c r="B34" s="197">
        <f>B33*3</f>
        <v>1140000</v>
      </c>
      <c r="C34" s="87" t="s">
        <v>198</v>
      </c>
      <c r="H34" s="141">
        <v>2018</v>
      </c>
      <c r="I34" s="244">
        <v>2019</v>
      </c>
      <c r="J34" s="190">
        <v>3</v>
      </c>
      <c r="K34" s="191">
        <v>46</v>
      </c>
      <c r="L34" s="192">
        <v>127</v>
      </c>
      <c r="M34" s="204">
        <v>195</v>
      </c>
      <c r="N34" s="186">
        <v>192</v>
      </c>
      <c r="O34" s="190">
        <v>135</v>
      </c>
      <c r="P34" s="190">
        <v>85</v>
      </c>
      <c r="Q34" s="190">
        <v>58</v>
      </c>
      <c r="R34" s="190">
        <v>42</v>
      </c>
      <c r="S34" s="190">
        <v>33</v>
      </c>
      <c r="T34" s="190">
        <v>38</v>
      </c>
      <c r="U34" s="193">
        <v>37</v>
      </c>
      <c r="V34" s="351">
        <v>2018</v>
      </c>
      <c r="W34" s="291">
        <v>3</v>
      </c>
      <c r="X34" s="139">
        <f t="shared" si="13"/>
        <v>942</v>
      </c>
      <c r="Y34" s="139">
        <v>332</v>
      </c>
      <c r="Z34" s="139">
        <f t="shared" si="10"/>
        <v>610</v>
      </c>
      <c r="AA34" s="292">
        <v>1.4</v>
      </c>
      <c r="AB34" s="139">
        <f t="shared" si="2"/>
        <v>435.71428571428572</v>
      </c>
      <c r="AC34" s="139">
        <f t="shared" si="11"/>
        <v>506.28571428571428</v>
      </c>
      <c r="AD34" s="139">
        <f t="shared" si="3"/>
        <v>168.76190476190476</v>
      </c>
      <c r="AE34" s="293">
        <v>50270.333333333336</v>
      </c>
      <c r="AF34" s="352">
        <f t="shared" si="4"/>
        <v>3.35708744246583E-3</v>
      </c>
      <c r="AG34" s="353">
        <f t="shared" si="15"/>
        <v>3.35708744246583E-3</v>
      </c>
      <c r="AH34" s="296">
        <f t="shared" si="12"/>
        <v>0.2672978716740198</v>
      </c>
      <c r="AI34" s="296">
        <f t="shared" si="5"/>
        <v>0.2672978716740198</v>
      </c>
      <c r="AJ34" s="139">
        <f t="shared" si="6"/>
        <v>314</v>
      </c>
      <c r="AK34" s="284">
        <f t="shared" si="7"/>
        <v>0.20008496176720478</v>
      </c>
      <c r="AL34" s="354">
        <f t="shared" ca="1" si="8"/>
        <v>1.1513702995538559</v>
      </c>
      <c r="AM34" s="355">
        <f t="shared" ca="1" si="9"/>
        <v>0.94121222646752345</v>
      </c>
      <c r="AO34" s="89"/>
      <c r="BO34" s="89"/>
    </row>
    <row r="35" spans="2:67" ht="11.25" thickBot="1" x14ac:dyDescent="0.3">
      <c r="B35" s="197">
        <v>308329399</v>
      </c>
      <c r="C35" s="87" t="s">
        <v>199</v>
      </c>
      <c r="H35" s="150">
        <v>2019</v>
      </c>
      <c r="I35" s="356">
        <v>2020</v>
      </c>
      <c r="J35" s="201">
        <v>2</v>
      </c>
      <c r="K35" s="202">
        <v>37</v>
      </c>
      <c r="L35" s="357">
        <v>104</v>
      </c>
      <c r="M35" s="358">
        <v>126</v>
      </c>
      <c r="N35" s="201">
        <v>91</v>
      </c>
      <c r="O35" s="201">
        <v>57</v>
      </c>
      <c r="P35" s="201">
        <v>39</v>
      </c>
      <c r="Q35" s="201">
        <v>28</v>
      </c>
      <c r="R35" s="201">
        <v>22</v>
      </c>
      <c r="S35" s="201">
        <v>19</v>
      </c>
      <c r="T35" s="201">
        <v>24</v>
      </c>
      <c r="U35" s="204">
        <v>24</v>
      </c>
      <c r="V35" s="359">
        <v>2019</v>
      </c>
      <c r="W35" s="317">
        <v>2</v>
      </c>
      <c r="X35" s="156">
        <f t="shared" si="13"/>
        <v>534</v>
      </c>
      <c r="Y35" s="156">
        <v>133</v>
      </c>
      <c r="Z35" s="156">
        <f t="shared" si="10"/>
        <v>401</v>
      </c>
      <c r="AA35" s="318">
        <v>1.4</v>
      </c>
      <c r="AB35" s="156">
        <f t="shared" si="2"/>
        <v>286.42857142857144</v>
      </c>
      <c r="AC35" s="156">
        <f t="shared" si="11"/>
        <v>247.57142857142856</v>
      </c>
      <c r="AD35" s="156">
        <f t="shared" si="3"/>
        <v>123.78571428571428</v>
      </c>
      <c r="AE35" s="319">
        <v>48960.5</v>
      </c>
      <c r="AF35" s="360">
        <f t="shared" si="4"/>
        <v>2.5282771680377914E-3</v>
      </c>
      <c r="AG35" s="361">
        <f t="shared" si="15"/>
        <v>2.5282771680377914E-3</v>
      </c>
      <c r="AH35" s="322">
        <f t="shared" si="12"/>
        <v>0.20130637572017859</v>
      </c>
      <c r="AI35" s="322">
        <f t="shared" si="5"/>
        <v>0.20130637572017859</v>
      </c>
      <c r="AJ35" s="156">
        <f t="shared" si="6"/>
        <v>267</v>
      </c>
      <c r="AK35" s="324">
        <f t="shared" si="7"/>
        <v>0.17013593882752762</v>
      </c>
      <c r="AL35" s="362">
        <f t="shared" ca="1" si="8"/>
        <v>1.1715530061610366</v>
      </c>
      <c r="AM35" s="363">
        <f t="shared" ca="1" si="9"/>
        <v>0.95771101076762755</v>
      </c>
      <c r="AO35" s="89"/>
      <c r="BO35" s="89"/>
    </row>
    <row r="36" spans="2:67" ht="11.25" thickBot="1" x14ac:dyDescent="0.3">
      <c r="B36" s="197">
        <v>334735155</v>
      </c>
      <c r="C36" s="87" t="s">
        <v>200</v>
      </c>
      <c r="H36" s="211">
        <v>2020</v>
      </c>
      <c r="I36" s="364">
        <v>2021</v>
      </c>
      <c r="J36" s="214">
        <v>3</v>
      </c>
      <c r="K36" s="215">
        <v>31</v>
      </c>
      <c r="L36" s="365">
        <v>94</v>
      </c>
      <c r="M36" s="219">
        <v>160</v>
      </c>
      <c r="N36" s="214">
        <v>206</v>
      </c>
      <c r="O36" s="214">
        <v>238</v>
      </c>
      <c r="P36" s="214">
        <v>262</v>
      </c>
      <c r="Q36" s="214">
        <v>283</v>
      </c>
      <c r="R36" s="366">
        <v>300</v>
      </c>
      <c r="S36" s="219">
        <v>282</v>
      </c>
      <c r="T36" s="214">
        <v>223</v>
      </c>
      <c r="U36" s="366">
        <v>160</v>
      </c>
      <c r="V36" s="367">
        <v>2020</v>
      </c>
      <c r="W36" s="368">
        <v>8</v>
      </c>
      <c r="X36" s="369">
        <f t="shared" si="13"/>
        <v>2208</v>
      </c>
      <c r="Y36" s="369">
        <v>394</v>
      </c>
      <c r="Z36" s="369">
        <f t="shared" si="10"/>
        <v>1814</v>
      </c>
      <c r="AA36" s="370">
        <v>1.4</v>
      </c>
      <c r="AB36" s="369">
        <f t="shared" si="2"/>
        <v>1295.7142857142858</v>
      </c>
      <c r="AC36" s="369">
        <f t="shared" si="11"/>
        <v>912.28571428571422</v>
      </c>
      <c r="AD36" s="369">
        <f t="shared" si="3"/>
        <v>114.03571428571428</v>
      </c>
      <c r="AE36" s="371">
        <v>47296</v>
      </c>
      <c r="AF36" s="372">
        <f t="shared" si="4"/>
        <v>2.4111069495457182E-3</v>
      </c>
      <c r="AG36" s="373">
        <f t="shared" si="15"/>
        <v>2.4111069495457182E-3</v>
      </c>
      <c r="AH36" s="374">
        <f t="shared" si="12"/>
        <v>0.19197705363272458</v>
      </c>
      <c r="AI36" s="374">
        <f t="shared" si="5"/>
        <v>0.19197705363272458</v>
      </c>
      <c r="AJ36" s="369">
        <f t="shared" si="6"/>
        <v>276</v>
      </c>
      <c r="AK36" s="375">
        <f t="shared" si="7"/>
        <v>0.17587085811384878</v>
      </c>
      <c r="AL36" s="376">
        <f t="shared" ca="1" si="8"/>
        <v>1.1971531761206713</v>
      </c>
      <c r="AM36" s="377">
        <f t="shared" ca="1" si="9"/>
        <v>0.97863841611670721</v>
      </c>
      <c r="AO36" s="89"/>
      <c r="BO36" s="89"/>
    </row>
    <row r="37" spans="2:67" ht="11.25" thickBot="1" x14ac:dyDescent="0.3">
      <c r="B37" s="378">
        <f>B36/B35</f>
        <v>1.0856413825137705</v>
      </c>
      <c r="C37" s="87" t="s">
        <v>201</v>
      </c>
      <c r="H37" s="161">
        <v>2021</v>
      </c>
      <c r="I37" s="379">
        <v>2022</v>
      </c>
      <c r="J37" s="223">
        <v>3</v>
      </c>
      <c r="K37" s="380">
        <v>21</v>
      </c>
      <c r="L37" s="222">
        <v>66</v>
      </c>
      <c r="M37" s="381">
        <v>115</v>
      </c>
      <c r="N37" s="223">
        <v>151</v>
      </c>
      <c r="O37" s="223">
        <v>175</v>
      </c>
      <c r="P37" s="223">
        <v>191</v>
      </c>
      <c r="Q37" s="223">
        <v>203</v>
      </c>
      <c r="R37" s="224">
        <v>190</v>
      </c>
      <c r="S37" s="381">
        <v>80</v>
      </c>
      <c r="T37" s="223">
        <v>12</v>
      </c>
      <c r="U37" s="224"/>
      <c r="V37" s="277">
        <v>2021</v>
      </c>
      <c r="W37" s="278">
        <v>7</v>
      </c>
      <c r="X37" s="129">
        <f>SUM(L37:U37)</f>
        <v>1183</v>
      </c>
      <c r="Y37" s="129">
        <v>518</v>
      </c>
      <c r="Z37" s="129">
        <f t="shared" si="10"/>
        <v>665</v>
      </c>
      <c r="AA37" s="279">
        <v>1.4</v>
      </c>
      <c r="AB37" s="129">
        <f>Z37/AA37</f>
        <v>475.00000000000006</v>
      </c>
      <c r="AC37" s="129">
        <f>X37-AB37</f>
        <v>708</v>
      </c>
      <c r="AD37" s="129">
        <f>AC37/W37</f>
        <v>101.14285714285714</v>
      </c>
      <c r="AE37" s="280">
        <v>46635.200000000004</v>
      </c>
      <c r="AF37" s="349">
        <f t="shared" si="4"/>
        <v>2.1688093359277356E-3</v>
      </c>
      <c r="AG37" s="350">
        <f t="shared" si="15"/>
        <v>2.1688093359277356E-3</v>
      </c>
      <c r="AH37" s="283">
        <f t="shared" si="12"/>
        <v>0.17268484348278296</v>
      </c>
      <c r="AI37" s="283">
        <f t="shared" si="5"/>
        <v>0.17268484348278296</v>
      </c>
      <c r="AJ37" s="129">
        <f t="shared" si="6"/>
        <v>169</v>
      </c>
      <c r="AK37" s="329">
        <f t="shared" si="7"/>
        <v>0.10768903993203059</v>
      </c>
      <c r="AL37" s="330">
        <f t="shared" ca="1" si="8"/>
        <v>1.2232844699383896</v>
      </c>
      <c r="AM37" s="331">
        <f t="shared" ca="1" si="9"/>
        <v>1</v>
      </c>
      <c r="AO37" s="89"/>
      <c r="BO37" s="89"/>
    </row>
    <row r="38" spans="2:67" x14ac:dyDescent="0.25">
      <c r="B38" s="197">
        <f>B37*B34</f>
        <v>1237631.1760656985</v>
      </c>
      <c r="C38" s="87" t="s">
        <v>202</v>
      </c>
      <c r="H38" s="229"/>
      <c r="I38" s="230"/>
      <c r="J38" s="232"/>
      <c r="K38" s="232"/>
      <c r="L38" s="232"/>
      <c r="M38" s="232"/>
      <c r="N38" s="232"/>
      <c r="O38" s="232"/>
      <c r="P38" s="232"/>
      <c r="Q38" s="232"/>
      <c r="R38" s="232"/>
      <c r="S38" s="232"/>
      <c r="T38" s="232"/>
      <c r="U38" s="232"/>
      <c r="V38" s="382"/>
      <c r="W38" s="383"/>
      <c r="X38" s="384"/>
      <c r="Y38" s="384"/>
      <c r="Z38" s="384"/>
      <c r="AA38" s="385"/>
      <c r="AB38" s="384"/>
      <c r="AC38" s="384"/>
      <c r="AD38" s="384"/>
      <c r="AE38" s="386"/>
      <c r="AF38" s="387"/>
      <c r="AG38" s="388"/>
      <c r="BO38" s="89" t="s">
        <v>83</v>
      </c>
    </row>
    <row r="39" spans="2:67" x14ac:dyDescent="0.25">
      <c r="B39" s="307">
        <f>B29</f>
        <v>2.1688093359277356E-3</v>
      </c>
      <c r="C39" s="87" t="s">
        <v>194</v>
      </c>
      <c r="H39" s="229"/>
      <c r="I39" s="230"/>
      <c r="J39" s="232"/>
      <c r="K39" s="232"/>
      <c r="L39" s="232"/>
      <c r="M39" s="232"/>
      <c r="N39" s="232"/>
      <c r="O39" s="232"/>
      <c r="P39" s="232"/>
      <c r="Q39" s="232"/>
      <c r="R39" s="232"/>
      <c r="S39" s="232"/>
      <c r="T39" s="232"/>
      <c r="U39" s="232"/>
      <c r="V39" s="382"/>
      <c r="W39" s="383"/>
      <c r="X39" s="384"/>
      <c r="Y39" s="384"/>
      <c r="Z39" s="384"/>
      <c r="AG39" s="389" t="s">
        <v>203</v>
      </c>
      <c r="AH39" s="390"/>
      <c r="AI39" s="390"/>
      <c r="AJ39" s="391"/>
      <c r="AK39" s="392"/>
      <c r="AL39" s="393"/>
      <c r="AM39" s="393"/>
      <c r="AN39" s="390"/>
      <c r="AO39" s="390"/>
      <c r="AP39" s="390"/>
      <c r="AQ39" s="394"/>
      <c r="AR39" s="390"/>
      <c r="AS39" s="390"/>
      <c r="AT39" s="393"/>
      <c r="AU39" s="393"/>
      <c r="AV39" s="395"/>
      <c r="AW39" s="396"/>
      <c r="AX39" s="394"/>
      <c r="AY39" s="390"/>
      <c r="AZ39" s="390"/>
      <c r="BA39" s="390"/>
      <c r="BB39" s="390"/>
      <c r="BC39" s="390"/>
      <c r="BD39" s="397"/>
    </row>
    <row r="40" spans="2:67" x14ac:dyDescent="0.25">
      <c r="B40" s="197">
        <f>B38*B39</f>
        <v>2684.1860490865101</v>
      </c>
      <c r="C40" s="87" t="s">
        <v>204</v>
      </c>
      <c r="L40" s="232"/>
      <c r="M40" s="232"/>
      <c r="N40" s="232"/>
      <c r="O40" s="232"/>
      <c r="P40" s="232"/>
      <c r="Q40" s="232"/>
      <c r="R40" s="232"/>
      <c r="S40" s="232"/>
      <c r="T40" s="232"/>
      <c r="U40" s="232"/>
      <c r="V40" s="382"/>
      <c r="W40" s="383"/>
      <c r="X40" s="384"/>
      <c r="Y40" s="384"/>
      <c r="Z40" s="384"/>
      <c r="AG40" s="389" t="s">
        <v>205</v>
      </c>
      <c r="AH40" s="398"/>
      <c r="AI40" s="398"/>
      <c r="AJ40" s="398"/>
      <c r="AK40" s="398"/>
      <c r="AL40" s="398"/>
      <c r="AM40" s="398"/>
      <c r="AN40" s="398"/>
      <c r="AO40" s="398"/>
      <c r="AP40" s="398"/>
      <c r="AQ40" s="398"/>
      <c r="AR40" s="398"/>
      <c r="AS40" s="398"/>
      <c r="AT40" s="398"/>
      <c r="AU40" s="398"/>
      <c r="AV40" s="398"/>
      <c r="AW40" s="398"/>
      <c r="AX40" s="398"/>
      <c r="AY40" s="398"/>
      <c r="AZ40" s="398"/>
      <c r="BA40" s="398"/>
      <c r="BB40" s="398"/>
      <c r="BC40" s="398"/>
      <c r="BD40" s="399"/>
      <c r="BO40" s="87" t="s">
        <v>110</v>
      </c>
    </row>
    <row r="41" spans="2:67" x14ac:dyDescent="0.25">
      <c r="H41" s="89"/>
      <c r="I41" s="89"/>
      <c r="L41" s="232"/>
      <c r="M41" s="87" t="s">
        <v>206</v>
      </c>
      <c r="O41" s="89"/>
      <c r="P41" s="89"/>
      <c r="W41" s="87" t="s">
        <v>207</v>
      </c>
      <c r="AG41" s="389" t="s">
        <v>208</v>
      </c>
      <c r="AH41" s="398"/>
      <c r="AI41" s="398"/>
      <c r="AJ41" s="398"/>
      <c r="AK41" s="398"/>
      <c r="AL41" s="398"/>
      <c r="AM41" s="398"/>
      <c r="AN41" s="398"/>
      <c r="AO41" s="398"/>
      <c r="AP41" s="398"/>
      <c r="AQ41" s="398"/>
      <c r="AR41" s="398"/>
      <c r="AS41" s="398"/>
      <c r="AT41" s="398"/>
      <c r="AU41" s="398"/>
      <c r="AV41" s="398"/>
      <c r="AW41" s="398"/>
      <c r="AX41" s="398"/>
      <c r="AY41" s="398"/>
      <c r="AZ41" s="400"/>
      <c r="BA41" s="398"/>
      <c r="BB41" s="398"/>
      <c r="BC41" s="398"/>
      <c r="BD41" s="399"/>
      <c r="BO41" s="87" t="s">
        <v>113</v>
      </c>
    </row>
    <row r="42" spans="2:67" x14ac:dyDescent="0.25">
      <c r="B42" s="87" t="s">
        <v>209</v>
      </c>
      <c r="C42" s="87" t="s">
        <v>210</v>
      </c>
      <c r="K42" s="230"/>
      <c r="L42" s="231"/>
      <c r="O42" s="89"/>
      <c r="P42" s="89"/>
      <c r="AB42" s="88" t="s">
        <v>211</v>
      </c>
      <c r="AC42" s="88" t="s">
        <v>211</v>
      </c>
      <c r="AD42" s="87" t="s">
        <v>212</v>
      </c>
      <c r="AG42" s="401" t="s">
        <v>213</v>
      </c>
      <c r="AH42" s="402"/>
      <c r="AI42" s="402"/>
      <c r="AJ42" s="402"/>
      <c r="AK42" s="402"/>
      <c r="AL42" s="403"/>
      <c r="AM42" s="403"/>
      <c r="AN42" s="403"/>
      <c r="AO42" s="403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3"/>
      <c r="BC42" s="403"/>
      <c r="BD42" s="404"/>
      <c r="BO42" s="87" t="s">
        <v>116</v>
      </c>
    </row>
    <row r="43" spans="2:67" x14ac:dyDescent="0.25">
      <c r="B43" s="197">
        <v>1200000</v>
      </c>
      <c r="C43" s="87" t="s">
        <v>214</v>
      </c>
      <c r="I43" s="87" t="s">
        <v>215</v>
      </c>
      <c r="K43" s="88">
        <v>7</v>
      </c>
      <c r="L43" s="231"/>
      <c r="M43" s="88" t="s">
        <v>216</v>
      </c>
      <c r="S43" s="243" t="s">
        <v>217</v>
      </c>
      <c r="T43" s="88" t="s">
        <v>216</v>
      </c>
      <c r="U43" s="87" t="s">
        <v>176</v>
      </c>
      <c r="X43" s="87" t="s">
        <v>218</v>
      </c>
      <c r="AB43" s="88" t="s">
        <v>219</v>
      </c>
      <c r="AC43" s="88" t="s">
        <v>219</v>
      </c>
      <c r="AD43" s="243" t="s">
        <v>180</v>
      </c>
      <c r="AJ43" s="88" t="s">
        <v>220</v>
      </c>
      <c r="AK43" s="88" t="s">
        <v>220</v>
      </c>
      <c r="AL43" s="88" t="s">
        <v>221</v>
      </c>
      <c r="AM43" s="89"/>
      <c r="AZ43" s="89"/>
      <c r="BA43" s="89"/>
      <c r="BO43" s="87" t="s">
        <v>119</v>
      </c>
    </row>
    <row r="44" spans="2:67" x14ac:dyDescent="0.25">
      <c r="I44" s="98" t="s">
        <v>94</v>
      </c>
      <c r="J44" s="99" t="s">
        <v>95</v>
      </c>
      <c r="K44" s="405" t="s">
        <v>180</v>
      </c>
      <c r="L44" s="231"/>
      <c r="M44" s="97" t="s">
        <v>169</v>
      </c>
      <c r="N44" s="97" t="s">
        <v>222</v>
      </c>
      <c r="O44" s="104" t="s">
        <v>223</v>
      </c>
      <c r="P44" s="140" t="s">
        <v>224</v>
      </c>
      <c r="Q44" s="140" t="s">
        <v>225</v>
      </c>
      <c r="R44" s="104" t="s">
        <v>217</v>
      </c>
      <c r="S44" s="104" t="s">
        <v>176</v>
      </c>
      <c r="T44" s="97" t="s">
        <v>169</v>
      </c>
      <c r="U44" s="88" t="s">
        <v>223</v>
      </c>
      <c r="W44" s="97" t="s">
        <v>226</v>
      </c>
      <c r="X44" s="406" t="s">
        <v>227</v>
      </c>
      <c r="Y44" s="407" t="s">
        <v>228</v>
      </c>
      <c r="Z44" s="408" t="s">
        <v>229</v>
      </c>
      <c r="AA44" s="409" t="s">
        <v>230</v>
      </c>
      <c r="AB44" s="97" t="s">
        <v>231</v>
      </c>
      <c r="AC44" s="97" t="s">
        <v>221</v>
      </c>
      <c r="AD44" s="97" t="s">
        <v>221</v>
      </c>
      <c r="AE44" s="97" t="s">
        <v>226</v>
      </c>
      <c r="AF44" s="406" t="s">
        <v>227</v>
      </c>
      <c r="AG44" s="407" t="s">
        <v>228</v>
      </c>
      <c r="AH44" s="408" t="s">
        <v>229</v>
      </c>
      <c r="AI44" s="409" t="s">
        <v>230</v>
      </c>
      <c r="AJ44" s="97" t="s">
        <v>231</v>
      </c>
      <c r="AK44" s="97" t="s">
        <v>221</v>
      </c>
      <c r="AL44" s="97" t="s">
        <v>180</v>
      </c>
      <c r="AM44" s="89"/>
      <c r="AN44" s="87" t="s">
        <v>232</v>
      </c>
      <c r="AP44" s="89"/>
      <c r="AQ44" s="89"/>
      <c r="AR44" s="89"/>
      <c r="AS44" s="89"/>
      <c r="AZ44" s="89"/>
      <c r="BA44" s="89"/>
      <c r="BO44" s="87" t="s">
        <v>122</v>
      </c>
    </row>
    <row r="45" spans="2:67" ht="11.25" thickBot="1" x14ac:dyDescent="0.3">
      <c r="B45" s="410"/>
      <c r="I45" s="109">
        <v>2008</v>
      </c>
      <c r="J45" s="109">
        <v>2009</v>
      </c>
      <c r="K45" s="271">
        <f t="shared" ref="K45:K58" ca="1" si="16">OFFSET($AE45,0,$K$43)</f>
        <v>1</v>
      </c>
      <c r="L45" s="411"/>
      <c r="M45" s="412">
        <v>2008</v>
      </c>
      <c r="N45" s="413">
        <v>0.85</v>
      </c>
      <c r="O45" s="265">
        <v>27500</v>
      </c>
      <c r="P45" s="414">
        <v>1.33</v>
      </c>
      <c r="Q45" s="265">
        <f t="shared" ref="Q45:Q58" si="17">100000-O45</f>
        <v>72500</v>
      </c>
      <c r="R45" s="265">
        <f t="shared" ref="R45:R58" si="18">Q45*N45</f>
        <v>61625</v>
      </c>
      <c r="S45" s="265">
        <f t="shared" ref="S45:S51" si="19">R45</f>
        <v>61625</v>
      </c>
      <c r="T45" s="412">
        <v>2008</v>
      </c>
      <c r="U45" s="265">
        <v>27500</v>
      </c>
      <c r="V45" s="119"/>
      <c r="W45" s="415">
        <v>2008</v>
      </c>
      <c r="X45" s="416">
        <v>1.3319295316952233</v>
      </c>
      <c r="Y45" s="416">
        <v>1.3606037003063329</v>
      </c>
      <c r="Z45" s="416">
        <v>1.3757667806536422</v>
      </c>
      <c r="AA45" s="416">
        <v>1.3398889753884715</v>
      </c>
      <c r="AB45" s="417">
        <v>14712.825000000001</v>
      </c>
      <c r="AC45" s="417">
        <v>14743.325000000001</v>
      </c>
      <c r="AD45" s="418">
        <v>0.94140000000000001</v>
      </c>
      <c r="AE45" s="419">
        <v>2008</v>
      </c>
      <c r="AF45" s="420">
        <f t="shared" ref="AF45:AL58" si="20">X45/X$45</f>
        <v>1</v>
      </c>
      <c r="AG45" s="420">
        <f t="shared" si="20"/>
        <v>1</v>
      </c>
      <c r="AH45" s="420">
        <f t="shared" si="20"/>
        <v>1</v>
      </c>
      <c r="AI45" s="420">
        <f t="shared" si="20"/>
        <v>1</v>
      </c>
      <c r="AJ45" s="420">
        <f t="shared" si="20"/>
        <v>1</v>
      </c>
      <c r="AK45" s="420">
        <f t="shared" si="20"/>
        <v>1</v>
      </c>
      <c r="AL45" s="421">
        <f t="shared" si="20"/>
        <v>1</v>
      </c>
      <c r="AM45" s="89"/>
      <c r="AN45" s="89" t="s">
        <v>233</v>
      </c>
      <c r="AO45" s="89"/>
      <c r="AP45" s="89"/>
      <c r="AQ45" s="89"/>
      <c r="AR45" s="89"/>
      <c r="AS45" s="89"/>
      <c r="AZ45" s="89"/>
      <c r="BA45" s="89"/>
      <c r="BO45" s="87" t="s">
        <v>124</v>
      </c>
    </row>
    <row r="46" spans="2:67" x14ac:dyDescent="0.25">
      <c r="B46" s="422" t="s">
        <v>234</v>
      </c>
      <c r="I46" s="123">
        <v>2009</v>
      </c>
      <c r="J46" s="123">
        <v>2010</v>
      </c>
      <c r="K46" s="286">
        <f t="shared" ca="1" si="16"/>
        <v>0.9998937752283833</v>
      </c>
      <c r="L46" s="231"/>
      <c r="M46" s="423">
        <v>2009</v>
      </c>
      <c r="N46" s="424">
        <v>0.85</v>
      </c>
      <c r="O46" s="280">
        <v>27500</v>
      </c>
      <c r="P46" s="425">
        <v>1.33</v>
      </c>
      <c r="Q46" s="280">
        <f t="shared" si="17"/>
        <v>72500</v>
      </c>
      <c r="R46" s="280">
        <f t="shared" si="18"/>
        <v>61625</v>
      </c>
      <c r="S46" s="280">
        <f t="shared" si="19"/>
        <v>61625</v>
      </c>
      <c r="T46" s="423">
        <v>2009</v>
      </c>
      <c r="U46" s="280">
        <v>27500</v>
      </c>
      <c r="W46" s="426">
        <v>2009</v>
      </c>
      <c r="X46" s="427">
        <v>1.4094078736547715</v>
      </c>
      <c r="Y46" s="427">
        <v>1.435796359298273</v>
      </c>
      <c r="Z46" s="427">
        <v>1.4501385633446442</v>
      </c>
      <c r="AA46" s="427">
        <v>1.392740853338664</v>
      </c>
      <c r="AB46" s="428">
        <v>14448.924999999999</v>
      </c>
      <c r="AC46" s="428">
        <v>14431.8</v>
      </c>
      <c r="AD46" s="429">
        <v>0.94130000000000003</v>
      </c>
      <c r="AE46" s="430">
        <v>2009</v>
      </c>
      <c r="AF46" s="427">
        <f t="shared" si="20"/>
        <v>1.058170000826498</v>
      </c>
      <c r="AG46" s="427">
        <f t="shared" si="20"/>
        <v>1.055264188223956</v>
      </c>
      <c r="AH46" s="427">
        <f t="shared" si="20"/>
        <v>1.0540584230821937</v>
      </c>
      <c r="AI46" s="427">
        <f t="shared" si="20"/>
        <v>1.0394449681436249</v>
      </c>
      <c r="AJ46" s="427">
        <f t="shared" si="20"/>
        <v>0.98206326793120957</v>
      </c>
      <c r="AK46" s="427">
        <f t="shared" si="20"/>
        <v>0.97887009884134002</v>
      </c>
      <c r="AL46" s="431">
        <f t="shared" si="20"/>
        <v>0.9998937752283833</v>
      </c>
      <c r="AN46" s="89" t="s">
        <v>235</v>
      </c>
      <c r="AO46" s="89"/>
      <c r="AP46" s="89"/>
      <c r="AQ46" s="89"/>
      <c r="AR46" s="89"/>
      <c r="AS46" s="89"/>
      <c r="AZ46" s="89"/>
      <c r="BA46" s="89"/>
      <c r="BO46" s="87" t="s">
        <v>127</v>
      </c>
    </row>
    <row r="47" spans="2:67" x14ac:dyDescent="0.25">
      <c r="B47" s="422" t="s">
        <v>236</v>
      </c>
      <c r="C47" s="422"/>
      <c r="D47" s="422"/>
      <c r="I47" s="99">
        <v>2010</v>
      </c>
      <c r="J47" s="99">
        <v>2011</v>
      </c>
      <c r="K47" s="299">
        <f t="shared" ca="1" si="16"/>
        <v>1.0177395368599957</v>
      </c>
      <c r="L47" s="231"/>
      <c r="M47" s="97">
        <v>2010</v>
      </c>
      <c r="N47" s="432">
        <v>0.85</v>
      </c>
      <c r="O47" s="293">
        <v>27500</v>
      </c>
      <c r="P47" s="433">
        <v>1.33</v>
      </c>
      <c r="Q47" s="293">
        <f t="shared" si="17"/>
        <v>72500</v>
      </c>
      <c r="R47" s="293">
        <f t="shared" si="18"/>
        <v>61625</v>
      </c>
      <c r="S47" s="293">
        <f t="shared" si="19"/>
        <v>61625</v>
      </c>
      <c r="T47" s="97">
        <v>2010</v>
      </c>
      <c r="U47" s="293">
        <v>27500</v>
      </c>
      <c r="W47" s="434">
        <v>2010</v>
      </c>
      <c r="X47" s="435">
        <v>1.5215229995712298</v>
      </c>
      <c r="Y47" s="435">
        <v>1.5332668999699008</v>
      </c>
      <c r="Z47" s="435">
        <v>1.531516138446503</v>
      </c>
      <c r="AA47" s="435">
        <v>1.4590194506044565</v>
      </c>
      <c r="AB47" s="436">
        <v>14992.05</v>
      </c>
      <c r="AC47" s="436">
        <v>14838.85</v>
      </c>
      <c r="AD47" s="437">
        <v>0.95809999999999995</v>
      </c>
      <c r="AE47" s="438">
        <v>2010</v>
      </c>
      <c r="AF47" s="427">
        <f t="shared" si="20"/>
        <v>1.1423449689824807</v>
      </c>
      <c r="AG47" s="427">
        <f t="shared" si="20"/>
        <v>1.1269019036363739</v>
      </c>
      <c r="AH47" s="427">
        <f t="shared" si="20"/>
        <v>1.1132091281625964</v>
      </c>
      <c r="AI47" s="427">
        <f t="shared" si="20"/>
        <v>1.0889107063377739</v>
      </c>
      <c r="AJ47" s="427">
        <f t="shared" si="20"/>
        <v>1.0189783403255321</v>
      </c>
      <c r="AK47" s="427">
        <f t="shared" si="20"/>
        <v>1.0064792033004766</v>
      </c>
      <c r="AL47" s="431">
        <f t="shared" si="20"/>
        <v>1.0177395368599957</v>
      </c>
      <c r="AN47" s="90" t="s">
        <v>237</v>
      </c>
      <c r="AO47" s="91"/>
      <c r="AP47" s="89"/>
      <c r="AQ47" s="89"/>
      <c r="AR47" s="89"/>
      <c r="AS47" s="89"/>
      <c r="AZ47" s="89"/>
      <c r="BA47" s="89"/>
      <c r="BO47" s="87" t="s">
        <v>130</v>
      </c>
    </row>
    <row r="48" spans="2:67" x14ac:dyDescent="0.25">
      <c r="B48" s="422"/>
      <c r="C48" s="422"/>
      <c r="D48" s="422"/>
      <c r="I48" s="141">
        <v>2011</v>
      </c>
      <c r="J48" s="141">
        <v>2012</v>
      </c>
      <c r="K48" s="306">
        <f t="shared" ca="1" si="16"/>
        <v>1.0415338857021457</v>
      </c>
      <c r="L48" s="231"/>
      <c r="M48" s="97">
        <v>2011</v>
      </c>
      <c r="N48" s="439">
        <v>0.85</v>
      </c>
      <c r="O48" s="293">
        <v>27500</v>
      </c>
      <c r="P48" s="433">
        <v>1.33</v>
      </c>
      <c r="Q48" s="293">
        <f t="shared" si="17"/>
        <v>72500</v>
      </c>
      <c r="R48" s="293">
        <f t="shared" si="18"/>
        <v>61625</v>
      </c>
      <c r="S48" s="293">
        <f t="shared" si="19"/>
        <v>61625</v>
      </c>
      <c r="T48" s="97">
        <v>2011</v>
      </c>
      <c r="U48" s="293">
        <v>27500</v>
      </c>
      <c r="W48" s="434">
        <v>2011</v>
      </c>
      <c r="X48" s="435">
        <v>1.5480372179816488</v>
      </c>
      <c r="Y48" s="435">
        <v>1.5562788809472574</v>
      </c>
      <c r="Z48" s="435">
        <v>1.5508130863810206</v>
      </c>
      <c r="AA48" s="435">
        <v>1.5063776327971956</v>
      </c>
      <c r="AB48" s="436">
        <v>15542.6</v>
      </c>
      <c r="AC48" s="436">
        <v>15403.674999999999</v>
      </c>
      <c r="AD48" s="437">
        <v>0.98050000000000004</v>
      </c>
      <c r="AE48" s="438">
        <v>2011</v>
      </c>
      <c r="AF48" s="427">
        <f t="shared" si="20"/>
        <v>1.1622515915022718</v>
      </c>
      <c r="AG48" s="427">
        <f t="shared" si="20"/>
        <v>1.1438149702201084</v>
      </c>
      <c r="AH48" s="427">
        <f t="shared" si="20"/>
        <v>1.1272354502150517</v>
      </c>
      <c r="AI48" s="427">
        <f t="shared" si="20"/>
        <v>1.1242555618165708</v>
      </c>
      <c r="AJ48" s="427">
        <f t="shared" si="20"/>
        <v>1.0563980744690431</v>
      </c>
      <c r="AK48" s="427">
        <f t="shared" si="20"/>
        <v>1.0447897607900523</v>
      </c>
      <c r="AL48" s="431">
        <f t="shared" si="20"/>
        <v>1.0415338857021457</v>
      </c>
      <c r="AN48" s="91"/>
      <c r="AO48" s="91"/>
      <c r="AP48" s="89"/>
      <c r="AQ48" s="89"/>
      <c r="AR48" s="89"/>
      <c r="AS48" s="89"/>
      <c r="AZ48" s="89"/>
      <c r="BA48" s="89"/>
      <c r="BO48" s="87" t="s">
        <v>133</v>
      </c>
    </row>
    <row r="49" spans="2:79" x14ac:dyDescent="0.25">
      <c r="B49" s="440">
        <v>154000</v>
      </c>
      <c r="C49" s="422" t="s">
        <v>238</v>
      </c>
      <c r="D49" s="422"/>
      <c r="I49" s="141">
        <v>2012</v>
      </c>
      <c r="J49" s="141">
        <v>2013</v>
      </c>
      <c r="K49" s="306">
        <f t="shared" ca="1" si="16"/>
        <v>1.0622477161674102</v>
      </c>
      <c r="L49" s="231"/>
      <c r="M49" s="97">
        <v>2012</v>
      </c>
      <c r="N49" s="439">
        <v>0.85</v>
      </c>
      <c r="O49" s="293">
        <v>27500</v>
      </c>
      <c r="P49" s="433">
        <v>1.33</v>
      </c>
      <c r="Q49" s="293">
        <f t="shared" si="17"/>
        <v>72500</v>
      </c>
      <c r="R49" s="293">
        <f t="shared" si="18"/>
        <v>61625</v>
      </c>
      <c r="S49" s="293">
        <f t="shared" si="19"/>
        <v>61625</v>
      </c>
      <c r="T49" s="97">
        <v>2012</v>
      </c>
      <c r="U49" s="293">
        <v>27500</v>
      </c>
      <c r="W49" s="434">
        <v>2012</v>
      </c>
      <c r="X49" s="435">
        <v>1.5886542360898868</v>
      </c>
      <c r="Y49" s="435">
        <v>1.5952972770544274</v>
      </c>
      <c r="Z49" s="435">
        <v>1.5957037795073692</v>
      </c>
      <c r="AA49" s="435">
        <v>1.5694661365798455</v>
      </c>
      <c r="AB49" s="436">
        <v>16197.05</v>
      </c>
      <c r="AC49" s="436">
        <v>16056.45</v>
      </c>
      <c r="AD49" s="437">
        <v>1</v>
      </c>
      <c r="AE49" s="438">
        <v>2012</v>
      </c>
      <c r="AF49" s="427">
        <f t="shared" si="20"/>
        <v>1.1927464616449455</v>
      </c>
      <c r="AG49" s="427">
        <f t="shared" si="20"/>
        <v>1.1724922375966305</v>
      </c>
      <c r="AH49" s="427">
        <f t="shared" si="20"/>
        <v>1.1598650308660836</v>
      </c>
      <c r="AI49" s="427">
        <f t="shared" si="20"/>
        <v>1.1713404359676989</v>
      </c>
      <c r="AJ49" s="427">
        <f t="shared" si="20"/>
        <v>1.1008796747055714</v>
      </c>
      <c r="AK49" s="427">
        <f t="shared" si="20"/>
        <v>1.0890657297454951</v>
      </c>
      <c r="AL49" s="431">
        <f t="shared" si="20"/>
        <v>1.0622477161674102</v>
      </c>
      <c r="AN49" s="90" t="s">
        <v>239</v>
      </c>
      <c r="AO49" s="91"/>
      <c r="AP49" s="89"/>
      <c r="AQ49" s="89"/>
      <c r="AR49" s="89"/>
      <c r="AS49" s="89"/>
      <c r="AZ49" s="89"/>
      <c r="BA49" s="89"/>
      <c r="BO49" s="87" t="s">
        <v>135</v>
      </c>
    </row>
    <row r="50" spans="2:79" x14ac:dyDescent="0.25">
      <c r="B50" s="441">
        <v>307000000</v>
      </c>
      <c r="C50" s="442" t="s">
        <v>240</v>
      </c>
      <c r="D50" s="422"/>
      <c r="I50" s="141">
        <v>2013</v>
      </c>
      <c r="J50" s="141">
        <v>2014</v>
      </c>
      <c r="K50" s="299">
        <f t="shared" ca="1" si="16"/>
        <v>1.0773316337369874</v>
      </c>
      <c r="L50" s="231"/>
      <c r="M50" s="97">
        <v>2013</v>
      </c>
      <c r="N50" s="439">
        <v>0.85</v>
      </c>
      <c r="O50" s="293">
        <v>27500</v>
      </c>
      <c r="P50" s="433">
        <v>1.33</v>
      </c>
      <c r="Q50" s="293">
        <f t="shared" si="17"/>
        <v>72500</v>
      </c>
      <c r="R50" s="293">
        <f t="shared" si="18"/>
        <v>61625</v>
      </c>
      <c r="S50" s="293">
        <f t="shared" si="19"/>
        <v>61625</v>
      </c>
      <c r="T50" s="97">
        <v>2013</v>
      </c>
      <c r="U50" s="293">
        <v>27500</v>
      </c>
      <c r="W50" s="434">
        <v>2013</v>
      </c>
      <c r="X50" s="435">
        <v>1.6321515213860127</v>
      </c>
      <c r="Y50" s="435">
        <v>1.6445833183295084</v>
      </c>
      <c r="Z50" s="435">
        <v>1.6390805748531865</v>
      </c>
      <c r="AA50" s="435">
        <v>1.6221020748895671</v>
      </c>
      <c r="AB50" s="436">
        <v>16784.825000000001</v>
      </c>
      <c r="AC50" s="436">
        <v>16603.775000000001</v>
      </c>
      <c r="AD50" s="437">
        <v>1.0142</v>
      </c>
      <c r="AE50" s="438">
        <v>2013</v>
      </c>
      <c r="AF50" s="427">
        <f t="shared" si="20"/>
        <v>1.2254038089452672</v>
      </c>
      <c r="AG50" s="427">
        <f t="shared" si="20"/>
        <v>1.2087158942455021</v>
      </c>
      <c r="AH50" s="427">
        <f t="shared" si="20"/>
        <v>1.1913942085986702</v>
      </c>
      <c r="AI50" s="427">
        <f t="shared" si="20"/>
        <v>1.2106242417729232</v>
      </c>
      <c r="AJ50" s="427">
        <f t="shared" si="20"/>
        <v>1.1408295143862583</v>
      </c>
      <c r="AK50" s="427">
        <f t="shared" si="20"/>
        <v>1.1261893093993385</v>
      </c>
      <c r="AL50" s="431">
        <f t="shared" si="20"/>
        <v>1.0773316337369874</v>
      </c>
      <c r="AN50" s="89" t="s">
        <v>241</v>
      </c>
      <c r="AO50" s="89"/>
      <c r="AP50" s="89"/>
      <c r="AQ50" s="89"/>
      <c r="AR50" s="89"/>
      <c r="AS50" s="89"/>
      <c r="AZ50" s="89"/>
      <c r="BA50" s="89"/>
      <c r="BO50" s="87" t="s">
        <v>138</v>
      </c>
    </row>
    <row r="51" spans="2:79" ht="11.25" thickBot="1" x14ac:dyDescent="0.3">
      <c r="B51" s="441">
        <v>335110320</v>
      </c>
      <c r="C51" s="442" t="s">
        <v>242</v>
      </c>
      <c r="D51" s="422"/>
      <c r="I51" s="150">
        <v>2014</v>
      </c>
      <c r="J51" s="150">
        <v>2015</v>
      </c>
      <c r="K51" s="326">
        <f t="shared" ca="1" si="16"/>
        <v>1.0943275971956661</v>
      </c>
      <c r="L51" s="443"/>
      <c r="M51" s="444">
        <v>2014</v>
      </c>
      <c r="N51" s="445">
        <v>0.85</v>
      </c>
      <c r="O51" s="319">
        <v>27500</v>
      </c>
      <c r="P51" s="446">
        <v>1.33</v>
      </c>
      <c r="Q51" s="319">
        <f t="shared" si="17"/>
        <v>72500</v>
      </c>
      <c r="R51" s="319">
        <f t="shared" si="18"/>
        <v>61625</v>
      </c>
      <c r="S51" s="319">
        <f t="shared" si="19"/>
        <v>61625</v>
      </c>
      <c r="T51" s="444">
        <v>2014</v>
      </c>
      <c r="U51" s="319">
        <v>27500</v>
      </c>
      <c r="V51" s="447"/>
      <c r="W51" s="448">
        <v>2014</v>
      </c>
      <c r="X51" s="449">
        <v>1.6516359335334272</v>
      </c>
      <c r="Y51" s="449">
        <v>1.6649333459630333</v>
      </c>
      <c r="Z51" s="449">
        <v>1.6632457053106477</v>
      </c>
      <c r="AA51" s="449">
        <v>1.6378177716901932</v>
      </c>
      <c r="AB51" s="450">
        <v>17527.275000000001</v>
      </c>
      <c r="AC51" s="450">
        <v>17335.575000000001</v>
      </c>
      <c r="AD51" s="451">
        <v>1.0302</v>
      </c>
      <c r="AE51" s="452">
        <v>2014</v>
      </c>
      <c r="AF51" s="453">
        <f t="shared" si="20"/>
        <v>1.2400325199121423</v>
      </c>
      <c r="AG51" s="453">
        <f t="shared" si="20"/>
        <v>1.2236725106569841</v>
      </c>
      <c r="AH51" s="453">
        <f t="shared" si="20"/>
        <v>1.2089590537434121</v>
      </c>
      <c r="AI51" s="453">
        <f t="shared" si="20"/>
        <v>1.2223533455190523</v>
      </c>
      <c r="AJ51" s="453">
        <f t="shared" si="20"/>
        <v>1.1912922909094616</v>
      </c>
      <c r="AK51" s="453">
        <f t="shared" si="20"/>
        <v>1.175825331124424</v>
      </c>
      <c r="AL51" s="454">
        <f t="shared" si="20"/>
        <v>1.0943275971956661</v>
      </c>
      <c r="AN51" s="89" t="s">
        <v>243</v>
      </c>
      <c r="AO51" s="89"/>
      <c r="AP51" s="89"/>
      <c r="AQ51" s="89"/>
      <c r="AR51" s="89"/>
      <c r="AS51" s="89"/>
      <c r="AZ51" s="89"/>
      <c r="BA51" s="89"/>
      <c r="BO51" s="87" t="s">
        <v>140</v>
      </c>
    </row>
    <row r="52" spans="2:79" x14ac:dyDescent="0.25">
      <c r="B52" s="455">
        <f>B51/B50</f>
        <v>1.0915645602605863</v>
      </c>
      <c r="C52" s="442" t="s">
        <v>244</v>
      </c>
      <c r="D52" s="422"/>
      <c r="I52" s="161">
        <v>2015</v>
      </c>
      <c r="J52" s="161">
        <v>2016</v>
      </c>
      <c r="K52" s="331">
        <f t="shared" ca="1" si="16"/>
        <v>1.0999575100913535</v>
      </c>
      <c r="L52" s="231"/>
      <c r="M52" s="423">
        <v>2015</v>
      </c>
      <c r="N52" s="456">
        <v>0.85</v>
      </c>
      <c r="O52" s="457">
        <f>O51+2000</f>
        <v>29500</v>
      </c>
      <c r="P52" s="458">
        <v>1.4</v>
      </c>
      <c r="Q52" s="457">
        <f t="shared" si="17"/>
        <v>70500</v>
      </c>
      <c r="R52" s="457">
        <f t="shared" si="18"/>
        <v>59925</v>
      </c>
      <c r="S52" s="280">
        <f>AVERAGE(R52:R$57)</f>
        <v>53911.833333333336</v>
      </c>
      <c r="T52" s="423">
        <v>2015</v>
      </c>
      <c r="U52" s="280">
        <f>SUMPRODUCT(N52:N$57,O52:O$57)/SUM(N52:N$57)</f>
        <v>34652.32323232323</v>
      </c>
      <c r="W52" s="426">
        <v>2015</v>
      </c>
      <c r="X52" s="427">
        <v>1.6989019973297543</v>
      </c>
      <c r="Y52" s="427">
        <v>1.7104437503582621</v>
      </c>
      <c r="Z52" s="427">
        <v>1.7047846722773679</v>
      </c>
      <c r="AA52" s="427">
        <v>1.685956691570295</v>
      </c>
      <c r="AB52" s="428">
        <v>18238.3</v>
      </c>
      <c r="AC52" s="428">
        <v>18099.55</v>
      </c>
      <c r="AD52" s="429">
        <v>1.0355000000000001</v>
      </c>
      <c r="AE52" s="430">
        <v>2015</v>
      </c>
      <c r="AF52" s="427">
        <f t="shared" si="20"/>
        <v>1.275519430196479</v>
      </c>
      <c r="AG52" s="427">
        <f t="shared" si="20"/>
        <v>1.2571211955201684</v>
      </c>
      <c r="AH52" s="427">
        <f t="shared" si="20"/>
        <v>1.239152373970976</v>
      </c>
      <c r="AI52" s="427">
        <f t="shared" si="20"/>
        <v>1.2582808893412147</v>
      </c>
      <c r="AJ52" s="427">
        <f t="shared" si="20"/>
        <v>1.2396191757871109</v>
      </c>
      <c r="AK52" s="427">
        <f t="shared" si="20"/>
        <v>1.2276436963846349</v>
      </c>
      <c r="AL52" s="431">
        <f t="shared" si="20"/>
        <v>1.0999575100913535</v>
      </c>
      <c r="AN52" s="89" t="s">
        <v>237</v>
      </c>
      <c r="AO52" s="89"/>
      <c r="AP52" s="89"/>
      <c r="AQ52" s="89"/>
      <c r="AR52" s="89"/>
      <c r="AS52" s="89"/>
      <c r="AZ52" s="89"/>
      <c r="BA52" s="89"/>
      <c r="BO52" s="87" t="s">
        <v>143</v>
      </c>
    </row>
    <row r="53" spans="2:79" ht="11.25" thickBot="1" x14ac:dyDescent="0.3">
      <c r="B53" s="441">
        <f>B49*B52</f>
        <v>168100.94228013029</v>
      </c>
      <c r="C53" s="442" t="s">
        <v>245</v>
      </c>
      <c r="D53" s="422"/>
      <c r="I53" s="172">
        <v>2016</v>
      </c>
      <c r="J53" s="172">
        <v>2017</v>
      </c>
      <c r="K53" s="347">
        <f t="shared" ca="1" si="16"/>
        <v>1.1072870193329085</v>
      </c>
      <c r="L53" s="184"/>
      <c r="M53" s="459">
        <v>2016</v>
      </c>
      <c r="N53" s="460">
        <v>0.84</v>
      </c>
      <c r="O53" s="461">
        <f>O52+2000</f>
        <v>31500</v>
      </c>
      <c r="P53" s="462">
        <v>1.4</v>
      </c>
      <c r="Q53" s="461">
        <f t="shared" si="17"/>
        <v>68500</v>
      </c>
      <c r="R53" s="461">
        <f t="shared" si="18"/>
        <v>57540</v>
      </c>
      <c r="S53" s="340">
        <f>AVERAGE(R53:R$57)</f>
        <v>52709.2</v>
      </c>
      <c r="T53" s="459">
        <v>2016</v>
      </c>
      <c r="U53" s="463">
        <f>SUMPRODUCT(N53:N$57,O53:O$57)/SUM(N53:N$57)</f>
        <v>35720.487804878052</v>
      </c>
      <c r="V53" s="183"/>
      <c r="W53" s="464">
        <v>2016</v>
      </c>
      <c r="X53" s="465">
        <v>1.7380819948637312</v>
      </c>
      <c r="Y53" s="465">
        <v>1.7532193929936308</v>
      </c>
      <c r="Z53" s="465">
        <v>1.7441157119939534</v>
      </c>
      <c r="AA53" s="465">
        <v>1.7275794227315724</v>
      </c>
      <c r="AB53" s="466">
        <v>18745.099999999999</v>
      </c>
      <c r="AC53" s="466">
        <v>18554.775000000001</v>
      </c>
      <c r="AD53" s="467">
        <v>1.0424</v>
      </c>
      <c r="AE53" s="468">
        <v>2016</v>
      </c>
      <c r="AF53" s="469">
        <f t="shared" si="20"/>
        <v>1.3049353989858414</v>
      </c>
      <c r="AG53" s="469">
        <f t="shared" si="20"/>
        <v>1.2885599183648424</v>
      </c>
      <c r="AH53" s="469">
        <f t="shared" si="20"/>
        <v>1.267740823895533</v>
      </c>
      <c r="AI53" s="469">
        <f t="shared" si="20"/>
        <v>1.2893452028222701</v>
      </c>
      <c r="AJ53" s="469">
        <f t="shared" si="20"/>
        <v>1.2740653137653712</v>
      </c>
      <c r="AK53" s="469">
        <f t="shared" si="20"/>
        <v>1.2585203812572809</v>
      </c>
      <c r="AL53" s="470">
        <f t="shared" si="20"/>
        <v>1.1072870193329085</v>
      </c>
      <c r="BO53" s="87" t="s">
        <v>146</v>
      </c>
    </row>
    <row r="54" spans="2:79" ht="11.25" thickBot="1" x14ac:dyDescent="0.3">
      <c r="B54" s="471">
        <f>1/30</f>
        <v>3.3333333333333333E-2</v>
      </c>
      <c r="C54" s="422" t="s">
        <v>246</v>
      </c>
      <c r="D54" s="422"/>
      <c r="I54" s="161">
        <v>2017</v>
      </c>
      <c r="J54" s="161">
        <v>2018</v>
      </c>
      <c r="K54" s="331">
        <f t="shared" ca="1" si="16"/>
        <v>1.1256639048226047</v>
      </c>
      <c r="L54" s="231"/>
      <c r="M54" s="472">
        <v>2017</v>
      </c>
      <c r="N54" s="456">
        <v>0.83</v>
      </c>
      <c r="O54" s="457">
        <f>O53+2000</f>
        <v>33500</v>
      </c>
      <c r="P54" s="458">
        <v>1.4</v>
      </c>
      <c r="Q54" s="457">
        <f t="shared" si="17"/>
        <v>66500</v>
      </c>
      <c r="R54" s="457">
        <f t="shared" si="18"/>
        <v>55195</v>
      </c>
      <c r="S54" s="280">
        <f>AVERAGE(R54:R$57)</f>
        <v>51501.5</v>
      </c>
      <c r="T54" s="472">
        <v>2017</v>
      </c>
      <c r="U54" s="280">
        <f>SUMPRODUCT(N54:N$57,O54:O$57)/SUM(N54:N$57)</f>
        <v>36807.975460122703</v>
      </c>
      <c r="W54" s="426">
        <v>2017</v>
      </c>
      <c r="X54" s="427">
        <v>1.771035452260284</v>
      </c>
      <c r="Y54" s="427">
        <v>1.7928356621512653</v>
      </c>
      <c r="Z54" s="427">
        <v>1.7782203251745174</v>
      </c>
      <c r="AA54" s="427">
        <v>1.7600509782539187</v>
      </c>
      <c r="AB54" s="428">
        <v>19542.974999999999</v>
      </c>
      <c r="AC54" s="428">
        <v>19287.650000000001</v>
      </c>
      <c r="AD54" s="429">
        <v>1.0597000000000001</v>
      </c>
      <c r="AE54" s="430">
        <v>2017</v>
      </c>
      <c r="AF54" s="427">
        <f t="shared" si="20"/>
        <v>1.329676540774785</v>
      </c>
      <c r="AG54" s="427">
        <f t="shared" si="20"/>
        <v>1.3176766032222444</v>
      </c>
      <c r="AH54" s="427">
        <f t="shared" si="20"/>
        <v>1.2925303548394045</v>
      </c>
      <c r="AI54" s="427">
        <f t="shared" si="20"/>
        <v>1.3135797148742345</v>
      </c>
      <c r="AJ54" s="427">
        <f t="shared" si="20"/>
        <v>1.3282952118304947</v>
      </c>
      <c r="AK54" s="427">
        <f t="shared" si="20"/>
        <v>1.3082293173351331</v>
      </c>
      <c r="AL54" s="431">
        <f t="shared" si="20"/>
        <v>1.1256639048226047</v>
      </c>
      <c r="AN54" s="89" t="s">
        <v>247</v>
      </c>
      <c r="AO54" s="89"/>
      <c r="AP54" s="89"/>
      <c r="AQ54" s="89"/>
      <c r="AR54" s="89"/>
      <c r="AS54" s="89"/>
      <c r="AZ54" s="89"/>
      <c r="BA54" s="89"/>
      <c r="BO54" s="87" t="s">
        <v>131</v>
      </c>
    </row>
    <row r="55" spans="2:79" x14ac:dyDescent="0.25">
      <c r="B55" s="440">
        <f>B53*B54</f>
        <v>5603.3647426710095</v>
      </c>
      <c r="C55" s="422" t="s">
        <v>204</v>
      </c>
      <c r="D55" s="422"/>
      <c r="I55" s="141">
        <v>2018</v>
      </c>
      <c r="J55" s="141">
        <v>2019</v>
      </c>
      <c r="K55" s="355">
        <f t="shared" ca="1" si="16"/>
        <v>1.1513702995538559</v>
      </c>
      <c r="L55" s="231"/>
      <c r="M55" s="473">
        <v>2018</v>
      </c>
      <c r="N55" s="439">
        <v>0.82</v>
      </c>
      <c r="O55" s="474">
        <f>O54+2000</f>
        <v>35500</v>
      </c>
      <c r="P55" s="475">
        <v>1.4</v>
      </c>
      <c r="Q55" s="474">
        <f t="shared" si="17"/>
        <v>64500</v>
      </c>
      <c r="R55" s="474">
        <f t="shared" si="18"/>
        <v>52890</v>
      </c>
      <c r="S55" s="293">
        <f>AVERAGE(R55:R$57)</f>
        <v>50270.333333333336</v>
      </c>
      <c r="T55" s="473">
        <v>2018</v>
      </c>
      <c r="U55" s="280">
        <f>SUMPRODUCT(N55:N$57,O55:O$57)/SUM(N55:N$57)</f>
        <v>37937.860082304534</v>
      </c>
      <c r="W55" s="434">
        <v>2018</v>
      </c>
      <c r="X55" s="435">
        <v>1.8224430807136338</v>
      </c>
      <c r="Y55" s="435">
        <v>1.8476097618509359</v>
      </c>
      <c r="Z55" s="435">
        <v>1.8276784651180196</v>
      </c>
      <c r="AA55" s="435">
        <v>1.8100923623966019</v>
      </c>
      <c r="AB55" s="436">
        <v>20611.875</v>
      </c>
      <c r="AC55" s="436">
        <v>20335.525000000001</v>
      </c>
      <c r="AD55" s="437">
        <v>1.0839000000000001</v>
      </c>
      <c r="AE55" s="438">
        <v>2018</v>
      </c>
      <c r="AF55" s="427">
        <f t="shared" si="20"/>
        <v>1.3682728983372758</v>
      </c>
      <c r="AG55" s="427">
        <f t="shared" si="20"/>
        <v>1.3579338064676409</v>
      </c>
      <c r="AH55" s="427">
        <f t="shared" si="20"/>
        <v>1.3284798636071653</v>
      </c>
      <c r="AI55" s="427">
        <f t="shared" si="20"/>
        <v>1.3509271257880193</v>
      </c>
      <c r="AJ55" s="427">
        <f t="shared" si="20"/>
        <v>1.4009461133398922</v>
      </c>
      <c r="AK55" s="427">
        <f t="shared" si="20"/>
        <v>1.3793038544561691</v>
      </c>
      <c r="AL55" s="431">
        <f t="shared" si="20"/>
        <v>1.1513702995538559</v>
      </c>
      <c r="AN55" s="140"/>
      <c r="AO55" s="140">
        <v>2008</v>
      </c>
      <c r="AP55" s="140">
        <f t="shared" ref="AP55:AY55" si="21">AO55+1</f>
        <v>2009</v>
      </c>
      <c r="AQ55" s="140">
        <f t="shared" si="21"/>
        <v>2010</v>
      </c>
      <c r="AR55" s="140">
        <f t="shared" si="21"/>
        <v>2011</v>
      </c>
      <c r="AS55" s="140">
        <f t="shared" si="21"/>
        <v>2012</v>
      </c>
      <c r="AT55" s="140">
        <f t="shared" si="21"/>
        <v>2013</v>
      </c>
      <c r="AU55" s="140">
        <f t="shared" si="21"/>
        <v>2014</v>
      </c>
      <c r="AV55" s="140">
        <f t="shared" si="21"/>
        <v>2015</v>
      </c>
      <c r="AW55" s="140">
        <f t="shared" si="21"/>
        <v>2016</v>
      </c>
      <c r="AX55" s="140">
        <f t="shared" si="21"/>
        <v>2017</v>
      </c>
      <c r="AY55" s="476">
        <f t="shared" si="21"/>
        <v>2018</v>
      </c>
      <c r="AZ55" s="477" t="s">
        <v>248</v>
      </c>
      <c r="BA55" s="478" t="s">
        <v>187</v>
      </c>
    </row>
    <row r="56" spans="2:79" ht="11.25" thickBot="1" x14ac:dyDescent="0.3">
      <c r="B56" s="197"/>
      <c r="I56" s="150">
        <v>2019</v>
      </c>
      <c r="J56" s="150">
        <v>2020</v>
      </c>
      <c r="K56" s="363">
        <f t="shared" ca="1" si="16"/>
        <v>1.1715530061610366</v>
      </c>
      <c r="L56" s="443"/>
      <c r="M56" s="479">
        <v>2019</v>
      </c>
      <c r="N56" s="445">
        <v>0.81</v>
      </c>
      <c r="O56" s="480">
        <f>O55+2000</f>
        <v>37500</v>
      </c>
      <c r="P56" s="481">
        <v>1.4</v>
      </c>
      <c r="Q56" s="480">
        <f t="shared" si="17"/>
        <v>62500</v>
      </c>
      <c r="R56" s="480">
        <f t="shared" si="18"/>
        <v>50625</v>
      </c>
      <c r="S56" s="319">
        <f>AVERAGE(R56:R$57)</f>
        <v>48960.5</v>
      </c>
      <c r="T56" s="479">
        <v>2019</v>
      </c>
      <c r="U56" s="482">
        <f>SUMPRODUCT(N56:N$57,O56:O$57)/SUM(N56:N$57)</f>
        <v>39179.503105590062</v>
      </c>
      <c r="V56" s="447"/>
      <c r="W56" s="448">
        <v>2019</v>
      </c>
      <c r="X56" s="449">
        <v>1.8694672989776977</v>
      </c>
      <c r="Y56" s="449">
        <v>1.8928604756513698</v>
      </c>
      <c r="Z56" s="449">
        <v>1.8730063988233292</v>
      </c>
      <c r="AA56" s="449">
        <v>1.8570643080247435</v>
      </c>
      <c r="AB56" s="450">
        <v>21433.224999999999</v>
      </c>
      <c r="AC56" s="450">
        <v>21215.7</v>
      </c>
      <c r="AD56" s="451">
        <v>1.1029</v>
      </c>
      <c r="AE56" s="452">
        <v>2019</v>
      </c>
      <c r="AF56" s="453">
        <f t="shared" si="20"/>
        <v>1.4035782333006155</v>
      </c>
      <c r="AG56" s="453">
        <f t="shared" si="20"/>
        <v>1.391191627088183</v>
      </c>
      <c r="AH56" s="453">
        <f t="shared" si="20"/>
        <v>1.3614272601737358</v>
      </c>
      <c r="AI56" s="453">
        <f t="shared" si="20"/>
        <v>1.3859837211410209</v>
      </c>
      <c r="AJ56" s="453">
        <f t="shared" si="20"/>
        <v>1.4567715581473983</v>
      </c>
      <c r="AK56" s="453">
        <f t="shared" si="20"/>
        <v>1.4390037525456436</v>
      </c>
      <c r="AL56" s="454">
        <f t="shared" si="20"/>
        <v>1.1715530061610366</v>
      </c>
      <c r="AN56" s="104" t="s">
        <v>249</v>
      </c>
      <c r="AO56" s="140">
        <v>0.1</v>
      </c>
      <c r="AP56" s="140">
        <v>0.4</v>
      </c>
      <c r="AQ56" s="140">
        <v>0.7</v>
      </c>
      <c r="AR56" s="140">
        <v>1</v>
      </c>
      <c r="AS56" s="140">
        <v>1.3</v>
      </c>
      <c r="AT56" s="140">
        <v>1.4</v>
      </c>
      <c r="AU56" s="140">
        <v>1.6</v>
      </c>
      <c r="AV56" s="140">
        <v>1.5</v>
      </c>
      <c r="AW56" s="140">
        <v>1.2</v>
      </c>
      <c r="AX56" s="140">
        <v>0.9</v>
      </c>
      <c r="AY56" s="476">
        <v>0.6</v>
      </c>
      <c r="AZ56" s="483">
        <v>4.9000000000000004</v>
      </c>
      <c r="BA56" s="484">
        <v>10.8</v>
      </c>
    </row>
    <row r="57" spans="2:79" ht="11.25" thickBot="1" x14ac:dyDescent="0.3">
      <c r="I57" s="485">
        <v>2020</v>
      </c>
      <c r="J57" s="485">
        <v>2021</v>
      </c>
      <c r="K57" s="486">
        <f t="shared" ca="1" si="16"/>
        <v>1.1971531761206713</v>
      </c>
      <c r="L57" s="487"/>
      <c r="M57" s="488">
        <v>2020</v>
      </c>
      <c r="N57" s="489">
        <v>0.8</v>
      </c>
      <c r="O57" s="490">
        <v>40880</v>
      </c>
      <c r="P57" s="491">
        <v>1.4</v>
      </c>
      <c r="Q57" s="492">
        <f t="shared" si="17"/>
        <v>59120</v>
      </c>
      <c r="R57" s="492">
        <f t="shared" si="18"/>
        <v>47296</v>
      </c>
      <c r="S57" s="492">
        <f>R57</f>
        <v>47296</v>
      </c>
      <c r="T57" s="488">
        <v>2020</v>
      </c>
      <c r="U57" s="492">
        <f>SUMPRODUCT(N57:N$57,O57:O$57)/SUM(N57:N$57)</f>
        <v>40880</v>
      </c>
      <c r="V57" s="493"/>
      <c r="W57" s="494">
        <v>2020</v>
      </c>
      <c r="X57" s="495">
        <v>1.9369884228516152</v>
      </c>
      <c r="Y57" s="495">
        <v>1.9649682316601633</v>
      </c>
      <c r="Z57" s="495">
        <v>1.9398052305760183</v>
      </c>
      <c r="AA57" s="495">
        <v>1.9229148745566116</v>
      </c>
      <c r="AB57" s="496">
        <v>20933.490000000002</v>
      </c>
      <c r="AC57" s="496">
        <v>22210.9</v>
      </c>
      <c r="AD57" s="497">
        <v>1.127</v>
      </c>
      <c r="AE57" s="498">
        <v>2020</v>
      </c>
      <c r="AF57" s="495">
        <f t="shared" si="20"/>
        <v>1.4542724496740445</v>
      </c>
      <c r="AG57" s="495">
        <f t="shared" si="20"/>
        <v>1.4441885107454586</v>
      </c>
      <c r="AH57" s="495">
        <f t="shared" si="20"/>
        <v>1.4099811522229044</v>
      </c>
      <c r="AI57" s="495">
        <f t="shared" si="20"/>
        <v>1.4351300069463624</v>
      </c>
      <c r="AJ57" s="495">
        <f t="shared" si="20"/>
        <v>1.422805613469881</v>
      </c>
      <c r="AK57" s="495">
        <f t="shared" si="20"/>
        <v>1.5065054863811251</v>
      </c>
      <c r="AL57" s="499">
        <f t="shared" si="20"/>
        <v>1.1971531761206713</v>
      </c>
      <c r="AN57" s="104" t="s">
        <v>250</v>
      </c>
      <c r="AO57" s="140">
        <v>0</v>
      </c>
      <c r="AP57" s="140">
        <v>0.1</v>
      </c>
      <c r="AQ57" s="140">
        <v>0.3</v>
      </c>
      <c r="AR57" s="140">
        <v>0.6</v>
      </c>
      <c r="AS57" s="140">
        <v>1.3</v>
      </c>
      <c r="AT57" s="140">
        <v>0.8</v>
      </c>
      <c r="AU57" s="140">
        <v>0.9</v>
      </c>
      <c r="AV57" s="140">
        <v>1</v>
      </c>
      <c r="AW57" s="140">
        <v>1</v>
      </c>
      <c r="AX57" s="140">
        <v>0.8</v>
      </c>
      <c r="AY57" s="476">
        <v>0.1</v>
      </c>
      <c r="AZ57" s="483">
        <v>3.1</v>
      </c>
      <c r="BA57" s="484">
        <v>6.9</v>
      </c>
    </row>
    <row r="58" spans="2:79" ht="11.25" thickBot="1" x14ac:dyDescent="0.3">
      <c r="B58" s="500" t="s">
        <v>234</v>
      </c>
      <c r="C58" s="500"/>
      <c r="D58" s="500"/>
      <c r="H58" s="89"/>
      <c r="I58" s="161">
        <v>2021</v>
      </c>
      <c r="J58" s="161">
        <v>2022</v>
      </c>
      <c r="K58" s="331">
        <f t="shared" ca="1" si="16"/>
        <v>1.2232844699383896</v>
      </c>
      <c r="L58" s="231"/>
      <c r="M58" s="423">
        <v>2021</v>
      </c>
      <c r="N58" s="501">
        <v>0.8</v>
      </c>
      <c r="O58" s="502">
        <v>41706</v>
      </c>
      <c r="P58" s="425">
        <v>1.4</v>
      </c>
      <c r="Q58" s="280">
        <f t="shared" si="17"/>
        <v>58294</v>
      </c>
      <c r="R58" s="280">
        <f t="shared" si="18"/>
        <v>46635.200000000004</v>
      </c>
      <c r="S58" s="280">
        <f>R58</f>
        <v>46635.200000000004</v>
      </c>
      <c r="T58" s="423">
        <v>2021</v>
      </c>
      <c r="U58" s="280">
        <f>SUMPRODUCT(N$57:N58,O$57:O58)/SUM(N$57:N58)</f>
        <v>41293</v>
      </c>
      <c r="W58" s="426">
        <v>2021</v>
      </c>
      <c r="X58" s="427">
        <v>1.974939993721845</v>
      </c>
      <c r="Y58" s="427">
        <v>2.0056054881598722</v>
      </c>
      <c r="Z58" s="427">
        <v>1.9763199455716212</v>
      </c>
      <c r="AA58" s="427">
        <v>1.9641407849515178</v>
      </c>
      <c r="AB58" s="428">
        <v>22253.125</v>
      </c>
      <c r="AC58" s="428">
        <v>23353.1</v>
      </c>
      <c r="AD58" s="429">
        <v>1.1516</v>
      </c>
      <c r="AE58" s="430">
        <v>2021</v>
      </c>
      <c r="AF58" s="427">
        <f t="shared" si="20"/>
        <v>1.4827661274303494</v>
      </c>
      <c r="AG58" s="427">
        <f t="shared" si="20"/>
        <v>1.4740555884923143</v>
      </c>
      <c r="AH58" s="427">
        <f t="shared" si="20"/>
        <v>1.4365225075667618</v>
      </c>
      <c r="AI58" s="427">
        <f t="shared" si="20"/>
        <v>1.4658981609890911</v>
      </c>
      <c r="AJ58" s="427">
        <f t="shared" si="20"/>
        <v>1.5124984494819995</v>
      </c>
      <c r="AK58" s="427">
        <f t="shared" si="20"/>
        <v>1.5839778340367587</v>
      </c>
      <c r="AL58" s="431">
        <f t="shared" si="20"/>
        <v>1.2232844699383896</v>
      </c>
      <c r="AN58" s="104" t="s">
        <v>108</v>
      </c>
      <c r="AO58" s="140">
        <v>0.1</v>
      </c>
      <c r="AP58" s="140">
        <v>0.3</v>
      </c>
      <c r="AQ58" s="140">
        <v>0.4</v>
      </c>
      <c r="AR58" s="140">
        <v>0.5</v>
      </c>
      <c r="AS58" s="140">
        <v>-0.1</v>
      </c>
      <c r="AT58" s="140">
        <v>0.7</v>
      </c>
      <c r="AU58" s="140">
        <v>0.7</v>
      </c>
      <c r="AV58" s="140">
        <v>0.5</v>
      </c>
      <c r="AW58" s="140">
        <v>0.3</v>
      </c>
      <c r="AX58" s="140">
        <v>0.1</v>
      </c>
      <c r="AY58" s="476">
        <v>0.5</v>
      </c>
      <c r="AZ58" s="503">
        <v>1.8</v>
      </c>
      <c r="BA58" s="504">
        <v>3.8</v>
      </c>
    </row>
    <row r="59" spans="2:79" x14ac:dyDescent="0.25">
      <c r="B59" s="500" t="s">
        <v>251</v>
      </c>
      <c r="C59" s="500"/>
      <c r="D59" s="500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N59" s="89"/>
      <c r="AO59" s="89"/>
      <c r="AP59" s="89"/>
      <c r="AQ59" s="89"/>
      <c r="AR59" s="89"/>
      <c r="AS59" s="89"/>
    </row>
    <row r="60" spans="2:79" x14ac:dyDescent="0.25">
      <c r="B60" s="500"/>
      <c r="C60" s="500"/>
      <c r="D60" s="500"/>
      <c r="M60" s="87" t="s">
        <v>252</v>
      </c>
    </row>
    <row r="61" spans="2:79" x14ac:dyDescent="0.25">
      <c r="B61" s="505">
        <f>1/910</f>
        <v>1.0989010989010989E-3</v>
      </c>
      <c r="C61" s="500" t="s">
        <v>253</v>
      </c>
      <c r="D61" s="500"/>
      <c r="AY61" s="89"/>
    </row>
    <row r="62" spans="2:79" x14ac:dyDescent="0.15">
      <c r="B62" s="506">
        <v>0.37</v>
      </c>
      <c r="C62" s="500" t="s">
        <v>254</v>
      </c>
      <c r="D62" s="500"/>
      <c r="BC62" s="89"/>
      <c r="BZ62" s="94"/>
      <c r="CA62" s="94"/>
    </row>
    <row r="63" spans="2:79" x14ac:dyDescent="0.15">
      <c r="B63" s="507">
        <v>335110320</v>
      </c>
      <c r="C63" s="500" t="s">
        <v>255</v>
      </c>
      <c r="D63" s="500"/>
      <c r="CA63" s="94"/>
    </row>
    <row r="64" spans="2:79" x14ac:dyDescent="0.15">
      <c r="B64" s="507">
        <f>B62*B63</f>
        <v>123990818.40000001</v>
      </c>
      <c r="C64" s="500" t="s">
        <v>256</v>
      </c>
      <c r="D64" s="500"/>
      <c r="CA64" s="94"/>
    </row>
    <row r="65" spans="2:80" x14ac:dyDescent="0.15">
      <c r="B65" s="507">
        <f>B64*B61</f>
        <v>136253.64659340659</v>
      </c>
      <c r="C65" s="500" t="s">
        <v>257</v>
      </c>
      <c r="D65" s="500"/>
      <c r="CA65" s="94"/>
    </row>
    <row r="66" spans="2:80" x14ac:dyDescent="0.25">
      <c r="B66" s="500"/>
      <c r="C66" s="500"/>
      <c r="D66" s="500"/>
      <c r="CB66" s="92"/>
    </row>
    <row r="67" spans="2:80" x14ac:dyDescent="0.25">
      <c r="B67" s="500" t="s">
        <v>258</v>
      </c>
      <c r="C67" s="500"/>
      <c r="D67" s="500"/>
      <c r="CB67" s="92"/>
    </row>
    <row r="68" spans="2:80" x14ac:dyDescent="0.25">
      <c r="B68" s="500"/>
      <c r="C68" s="500"/>
      <c r="D68" s="500"/>
      <c r="CB68" s="92"/>
    </row>
    <row r="69" spans="2:80" x14ac:dyDescent="0.25">
      <c r="B69" s="500" t="s">
        <v>259</v>
      </c>
      <c r="C69" s="500"/>
      <c r="D69" s="500"/>
      <c r="CB69" s="92"/>
    </row>
    <row r="70" spans="2:80" x14ac:dyDescent="0.25">
      <c r="B70" s="500" t="s">
        <v>260</v>
      </c>
      <c r="C70" s="500"/>
      <c r="D70" s="500"/>
      <c r="CB70" s="92"/>
    </row>
    <row r="71" spans="2:80" x14ac:dyDescent="0.25">
      <c r="B71" s="500" t="s">
        <v>261</v>
      </c>
      <c r="C71" s="500"/>
      <c r="D71" s="500"/>
      <c r="CB71" s="92"/>
    </row>
    <row r="72" spans="2:80" x14ac:dyDescent="0.25">
      <c r="B72" s="500" t="s">
        <v>262</v>
      </c>
      <c r="C72" s="500"/>
      <c r="D72" s="500"/>
      <c r="CB72" s="92"/>
    </row>
    <row r="73" spans="2:80" x14ac:dyDescent="0.25">
      <c r="B73" s="508" t="s">
        <v>263</v>
      </c>
      <c r="C73" s="500" t="s">
        <v>264</v>
      </c>
      <c r="D73" s="500"/>
      <c r="CB73" s="92"/>
    </row>
    <row r="74" spans="2:80" x14ac:dyDescent="0.25">
      <c r="B74" s="508"/>
      <c r="C74" s="500" t="s">
        <v>265</v>
      </c>
      <c r="D74" s="500"/>
      <c r="CB74" s="92"/>
    </row>
    <row r="75" spans="2:80" x14ac:dyDescent="0.25">
      <c r="B75" s="508"/>
      <c r="C75" s="500" t="s">
        <v>266</v>
      </c>
      <c r="D75" s="500"/>
      <c r="CB75" s="92"/>
    </row>
    <row r="76" spans="2:80" x14ac:dyDescent="0.25">
      <c r="B76" s="508" t="s">
        <v>267</v>
      </c>
      <c r="C76" s="500" t="s">
        <v>268</v>
      </c>
      <c r="D76" s="500"/>
      <c r="CB76" s="92"/>
    </row>
    <row r="77" spans="2:80" x14ac:dyDescent="0.25">
      <c r="B77" s="508"/>
      <c r="C77" s="500" t="s">
        <v>269</v>
      </c>
      <c r="D77" s="500"/>
      <c r="CB77" s="92"/>
    </row>
    <row r="78" spans="2:80" x14ac:dyDescent="0.25">
      <c r="B78" s="508"/>
      <c r="C78" s="500" t="s">
        <v>270</v>
      </c>
      <c r="D78" s="500"/>
      <c r="CB78" s="92"/>
    </row>
    <row r="79" spans="2:80" x14ac:dyDescent="0.25">
      <c r="B79" s="508" t="s">
        <v>271</v>
      </c>
      <c r="C79" s="500" t="s">
        <v>272</v>
      </c>
      <c r="D79" s="500"/>
    </row>
    <row r="80" spans="2:80" x14ac:dyDescent="0.25">
      <c r="B80" s="508"/>
      <c r="C80" s="500" t="s">
        <v>273</v>
      </c>
      <c r="D80" s="500"/>
    </row>
    <row r="81" spans="2:4" x14ac:dyDescent="0.25">
      <c r="B81" s="508"/>
      <c r="C81" s="500" t="s">
        <v>274</v>
      </c>
      <c r="D81" s="500"/>
    </row>
    <row r="82" spans="2:4" x14ac:dyDescent="0.25">
      <c r="B82" s="500"/>
      <c r="C82" s="500"/>
      <c r="D82" s="500"/>
    </row>
    <row r="83" spans="2:4" x14ac:dyDescent="0.25">
      <c r="B83" s="500" t="s">
        <v>275</v>
      </c>
      <c r="C83" s="500"/>
      <c r="D83" s="500"/>
    </row>
    <row r="84" spans="2:4" x14ac:dyDescent="0.25">
      <c r="B84" s="500"/>
      <c r="C84" s="500"/>
      <c r="D84" s="500"/>
    </row>
    <row r="85" spans="2:4" x14ac:dyDescent="0.25">
      <c r="B85" s="500" t="s">
        <v>276</v>
      </c>
      <c r="C85" s="500"/>
      <c r="D85" s="500"/>
    </row>
    <row r="86" spans="2:4" x14ac:dyDescent="0.25">
      <c r="B86" s="505">
        <v>0.33333333333333331</v>
      </c>
      <c r="C86" s="500" t="s">
        <v>277</v>
      </c>
      <c r="D86" s="500"/>
    </row>
    <row r="87" spans="2:4" x14ac:dyDescent="0.25">
      <c r="B87" s="505">
        <v>0.04</v>
      </c>
      <c r="C87" s="500" t="s">
        <v>278</v>
      </c>
      <c r="D87" s="500"/>
    </row>
    <row r="88" spans="2:4" x14ac:dyDescent="0.25">
      <c r="B88" s="509">
        <f>B86+B87</f>
        <v>0.37333333333333329</v>
      </c>
      <c r="C88" s="500" t="s">
        <v>279</v>
      </c>
      <c r="D88" s="500"/>
    </row>
    <row r="89" spans="2:4" x14ac:dyDescent="0.25">
      <c r="B89" s="500" t="s">
        <v>280</v>
      </c>
      <c r="C89" s="500"/>
      <c r="D89" s="500"/>
    </row>
    <row r="90" spans="2:4" x14ac:dyDescent="0.25">
      <c r="B90" s="500" t="s">
        <v>281</v>
      </c>
      <c r="C90" s="500"/>
      <c r="D90" s="500"/>
    </row>
    <row r="91" spans="2:4" x14ac:dyDescent="0.25">
      <c r="B91" s="500" t="s">
        <v>282</v>
      </c>
      <c r="C91" s="500"/>
      <c r="D91" s="500"/>
    </row>
  </sheetData>
  <conditionalFormatting sqref="X43:AA58">
    <cfRule type="colorScale" priority="19">
      <colorScale>
        <cfvo type="min"/>
        <cfvo type="percentile" val="50"/>
        <cfvo type="max"/>
        <color rgb="FFFFFFFF"/>
        <color rgb="FFCCFFFF"/>
        <color rgb="FF808080"/>
      </colorScale>
    </cfRule>
    <cfRule type="colorScale" priority="20">
      <colorScale>
        <cfvo type="min"/>
        <cfvo type="max"/>
        <color rgb="FFFFEF9C"/>
        <color rgb="FF63BE7B"/>
      </colorScale>
    </cfRule>
  </conditionalFormatting>
  <conditionalFormatting sqref="AF43:AL43 AF45:AL58 AF44:AI4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">
      <colorScale>
        <cfvo type="min"/>
        <cfvo type="max"/>
        <color rgb="FFFFEF9C"/>
        <color rgb="FF63BE7B"/>
      </colorScale>
    </cfRule>
  </conditionalFormatting>
  <conditionalFormatting sqref="N45:N5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5:U38 J24:P24 L39:U40 L41">
    <cfRule type="cellIs" dxfId="6" priority="14" operator="between">
      <formula>0.1</formula>
      <formula>8</formula>
    </cfRule>
    <cfRule type="colorScale" priority="15">
      <colorScale>
        <cfvo type="min"/>
        <cfvo type="max"/>
        <color rgb="FFFFEF9C"/>
        <color rgb="FF63BE7B"/>
      </colorScale>
    </cfRule>
  </conditionalFormatting>
  <conditionalFormatting sqref="J39:K39">
    <cfRule type="cellIs" dxfId="5" priority="21" operator="between">
      <formula>0.1</formula>
      <formula>10</formula>
    </cfRule>
    <cfRule type="colorScale" priority="22">
      <colorScale>
        <cfvo type="min"/>
        <cfvo type="max"/>
        <color rgb="FFFFEF9C"/>
        <color rgb="FF63BE7B"/>
      </colorScale>
    </cfRule>
  </conditionalFormatting>
  <conditionalFormatting sqref="AG24:AG37 AW39">
    <cfRule type="colorScale" priority="23">
      <colorScale>
        <cfvo type="min"/>
        <cfvo type="max"/>
        <color rgb="FFFFEF9C"/>
        <color rgb="FF63BE7B"/>
      </colorScale>
    </cfRule>
  </conditionalFormatting>
  <conditionalFormatting sqref="AF24:AF38 AV39">
    <cfRule type="colorScale" priority="24">
      <colorScale>
        <cfvo type="min"/>
        <cfvo type="max"/>
        <color rgb="FFFFEF9C"/>
        <color rgb="FF63BE7B"/>
      </colorScale>
    </cfRule>
  </conditionalFormatting>
  <conditionalFormatting sqref="M21:X21 AG22 K22:Y22 M4:S4 Y4:AJ4 U23 AL20:AZ20 AK4:AK17 M5:AJ17 M18:Y20 Z18:AN19 AO21:AO22">
    <cfRule type="cellIs" dxfId="4" priority="25" operator="between">
      <formula>0.1</formula>
      <formula>10</formula>
    </cfRule>
    <cfRule type="colorScale" priority="26">
      <colorScale>
        <cfvo type="min"/>
        <cfvo type="max"/>
        <color rgb="FFFFEF9C"/>
        <color rgb="FF63BE7B"/>
      </colorScale>
    </cfRule>
  </conditionalFormatting>
  <conditionalFormatting sqref="K45:K56 K58">
    <cfRule type="cellIs" dxfId="3" priority="10" operator="between">
      <formula>0.1</formula>
      <formula>10</formula>
    </cfRule>
    <cfRule type="colorScale" priority="11">
      <colorScale>
        <cfvo type="min"/>
        <cfvo type="max"/>
        <color rgb="FFFFEF9C"/>
        <color rgb="FF63BE7B"/>
      </colorScale>
    </cfRule>
  </conditionalFormatting>
  <conditionalFormatting sqref="L42:L58">
    <cfRule type="cellIs" dxfId="2" priority="12" operator="between">
      <formula>0.1</formula>
      <formula>10</formula>
    </cfRule>
    <cfRule type="colorScale" priority="13">
      <colorScale>
        <cfvo type="min"/>
        <cfvo type="max"/>
        <color rgb="FFFFEF9C"/>
        <color rgb="FF63BE7B"/>
      </colorScale>
    </cfRule>
  </conditionalFormatting>
  <conditionalFormatting sqref="AF24:AG37 AF3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4:AJ3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24:AM37">
    <cfRule type="cellIs" dxfId="1" priority="6" operator="between">
      <formula>0.1</formula>
      <formula>10</formula>
    </cfRule>
    <cfRule type="colorScale" priority="7">
      <colorScale>
        <cfvo type="min"/>
        <cfvo type="max"/>
        <color rgb="FFFFEF9C"/>
        <color rgb="FF63BE7B"/>
      </colorScale>
    </cfRule>
  </conditionalFormatting>
  <conditionalFormatting sqref="Z20:AK20">
    <cfRule type="colorScale" priority="5">
      <colorScale>
        <cfvo type="min"/>
        <cfvo type="max"/>
        <color rgb="FFFFEF9C"/>
        <color rgb="FF63BE7B"/>
      </colorScale>
    </cfRule>
  </conditionalFormatting>
  <conditionalFormatting sqref="AD24:AD3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6:AC3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7">
    <cfRule type="cellIs" dxfId="0" priority="1" operator="between">
      <formula>0.1</formula>
      <formula>10</formula>
    </cfRule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probabilities</vt:lpstr>
      <vt:lpstr>Lugar 5 year distributions</vt:lpstr>
      <vt:lpstr>Lugar 10 year distributions</vt:lpstr>
      <vt:lpstr>Lugar Survey summary numbers</vt:lpstr>
      <vt:lpstr>Net - President's estimate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September</dc:creator>
  <cp:lastModifiedBy>September</cp:lastModifiedBy>
  <dcterms:created xsi:type="dcterms:W3CDTF">2021-12-18T20:56:46Z</dcterms:created>
  <dcterms:modified xsi:type="dcterms:W3CDTF">2021-12-19T01:32:17Z</dcterms:modified>
</cp:coreProperties>
</file>