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rdocohen/Desktop/"/>
    </mc:Choice>
  </mc:AlternateContent>
  <xr:revisionPtr revIDLastSave="0" documentId="13_ncr:1_{E7F09C6B-3FEB-C849-88E2-3812F8BAD8FD}" xr6:coauthVersionLast="47" xr6:coauthVersionMax="47" xr10:uidLastSave="{00000000-0000-0000-0000-000000000000}"/>
  <bookViews>
    <workbookView xWindow="3320" yWindow="0" windowWidth="23140" windowHeight="16800" activeTab="5" xr2:uid="{FD235515-03CC-5D41-A4D6-020362EFCCD6}"/>
  </bookViews>
  <sheets>
    <sheet name="CDS1" sheetId="1" r:id="rId1"/>
    <sheet name="CDS2" sheetId="2" r:id="rId2"/>
    <sheet name="CDS3" sheetId="3" r:id="rId3"/>
    <sheet name="CDS4" sheetId="4" r:id="rId4"/>
    <sheet name="CDS5" sheetId="5" r:id="rId5"/>
    <sheet name="Defaultable Bond" sheetId="6" r:id="rId6"/>
  </sheets>
  <definedNames>
    <definedName name="solver_adj" localSheetId="1" hidden="1">'CDS2'!$B$2</definedName>
    <definedName name="solver_adj" localSheetId="3" hidden="1">'CDS4'!$D$2</definedName>
    <definedName name="solver_adj" localSheetId="4" hidden="1">'CDS5'!$F$5:$F$9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in" localSheetId="1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opt" localSheetId="1" hidden="1">'CDS2'!$B$27</definedName>
    <definedName name="solver_opt" localSheetId="3" hidden="1">'CDS4'!$X$3</definedName>
    <definedName name="solver_opt" localSheetId="4" hidden="1">'CDS5'!$E$10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1" hidden="1">3</definedName>
    <definedName name="solver_typ" localSheetId="3" hidden="1">3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3" hidden="1">2</definedName>
    <definedName name="solver_ver" localSheetId="4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6" l="1"/>
  <c r="F25" i="6"/>
  <c r="F23" i="6"/>
  <c r="I17" i="6"/>
  <c r="I18" i="6"/>
  <c r="I19" i="6"/>
  <c r="I20" i="6"/>
  <c r="I16" i="6"/>
  <c r="H17" i="6"/>
  <c r="H18" i="6"/>
  <c r="H19" i="6"/>
  <c r="H20" i="6"/>
  <c r="B20" i="6"/>
  <c r="H16" i="6"/>
  <c r="P7" i="5"/>
  <c r="Q41" i="6"/>
  <c r="Q42" i="6"/>
  <c r="Q43" i="6"/>
  <c r="Q44" i="6"/>
  <c r="Q45" i="6"/>
  <c r="Q46" i="6"/>
  <c r="Q47" i="6"/>
  <c r="Q48" i="6"/>
  <c r="Q49" i="6"/>
  <c r="Q50" i="6"/>
  <c r="Q51" i="6"/>
  <c r="Q40" i="6"/>
  <c r="R40" i="6" s="1"/>
  <c r="Q33" i="6"/>
  <c r="Q34" i="6"/>
  <c r="Q35" i="6"/>
  <c r="Q36" i="6"/>
  <c r="Q37" i="6"/>
  <c r="Q38" i="6"/>
  <c r="Q39" i="6"/>
  <c r="Q32" i="6"/>
  <c r="Q23" i="6"/>
  <c r="Q24" i="6"/>
  <c r="Q25" i="6"/>
  <c r="Q26" i="6"/>
  <c r="Q27" i="6"/>
  <c r="Q28" i="6"/>
  <c r="Q29" i="6"/>
  <c r="Q30" i="6"/>
  <c r="Q31" i="6"/>
  <c r="Q22" i="6"/>
  <c r="Q20" i="6"/>
  <c r="Q21" i="6"/>
  <c r="Q13" i="6"/>
  <c r="Q14" i="6"/>
  <c r="Q15" i="6"/>
  <c r="Q16" i="6"/>
  <c r="Q17" i="6"/>
  <c r="Q18" i="6"/>
  <c r="Q19" i="6"/>
  <c r="Q12" i="6"/>
  <c r="Q11" i="6"/>
  <c r="Q10" i="6"/>
  <c r="R10" i="6" s="1"/>
  <c r="Q9" i="6"/>
  <c r="Q8" i="6"/>
  <c r="Q7" i="6"/>
  <c r="T6" i="6"/>
  <c r="F15" i="6" s="1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6" i="6"/>
  <c r="N8" i="6"/>
  <c r="N9" i="6"/>
  <c r="N12" i="6"/>
  <c r="N24" i="6"/>
  <c r="N40" i="6"/>
  <c r="N41" i="6"/>
  <c r="R41" i="6" s="1"/>
  <c r="N44" i="6"/>
  <c r="R44" i="6" s="1"/>
  <c r="N45" i="6"/>
  <c r="R45" i="6" s="1"/>
  <c r="N46" i="6"/>
  <c r="R46" i="6" s="1"/>
  <c r="N47" i="6"/>
  <c r="R47" i="6" s="1"/>
  <c r="N48" i="6"/>
  <c r="R48" i="6" s="1"/>
  <c r="M50" i="6"/>
  <c r="M51" i="6"/>
  <c r="M7" i="6"/>
  <c r="M8" i="6"/>
  <c r="M9" i="6"/>
  <c r="M10" i="6"/>
  <c r="N10" i="6" s="1"/>
  <c r="M11" i="6"/>
  <c r="M12" i="6"/>
  <c r="M13" i="6"/>
  <c r="N13" i="6" s="1"/>
  <c r="M14" i="6"/>
  <c r="N14" i="6" s="1"/>
  <c r="M15" i="6"/>
  <c r="N15" i="6" s="1"/>
  <c r="M16" i="6"/>
  <c r="N16" i="6" s="1"/>
  <c r="M17" i="6"/>
  <c r="N17" i="6" s="1"/>
  <c r="M18" i="6"/>
  <c r="N18" i="6" s="1"/>
  <c r="M19" i="6"/>
  <c r="N19" i="6" s="1"/>
  <c r="M20" i="6"/>
  <c r="M21" i="6"/>
  <c r="N21" i="6" s="1"/>
  <c r="M22" i="6"/>
  <c r="N22" i="6" s="1"/>
  <c r="M23" i="6"/>
  <c r="N23" i="6" s="1"/>
  <c r="M24" i="6"/>
  <c r="M25" i="6"/>
  <c r="N25" i="6" s="1"/>
  <c r="M26" i="6"/>
  <c r="N26" i="6" s="1"/>
  <c r="M27" i="6"/>
  <c r="M28" i="6"/>
  <c r="N28" i="6" s="1"/>
  <c r="M29" i="6"/>
  <c r="N29" i="6" s="1"/>
  <c r="M30" i="6"/>
  <c r="N30" i="6" s="1"/>
  <c r="M31" i="6"/>
  <c r="N31" i="6" s="1"/>
  <c r="M32" i="6"/>
  <c r="N32" i="6" s="1"/>
  <c r="M33" i="6"/>
  <c r="N33" i="6" s="1"/>
  <c r="M34" i="6"/>
  <c r="N34" i="6" s="1"/>
  <c r="M35" i="6"/>
  <c r="N35" i="6" s="1"/>
  <c r="M36" i="6"/>
  <c r="M37" i="6"/>
  <c r="M38" i="6"/>
  <c r="N38" i="6" s="1"/>
  <c r="M39" i="6"/>
  <c r="M40" i="6"/>
  <c r="M41" i="6"/>
  <c r="M42" i="6"/>
  <c r="N42" i="6" s="1"/>
  <c r="R42" i="6" s="1"/>
  <c r="M43" i="6"/>
  <c r="M44" i="6"/>
  <c r="M45" i="6"/>
  <c r="M46" i="6"/>
  <c r="M47" i="6"/>
  <c r="M48" i="6"/>
  <c r="M49" i="6"/>
  <c r="N49" i="6" s="1"/>
  <c r="R49" i="6" s="1"/>
  <c r="M6" i="6"/>
  <c r="L7" i="6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C17" i="6"/>
  <c r="D17" i="6" s="1"/>
  <c r="C18" i="6"/>
  <c r="D18" i="6" s="1"/>
  <c r="C19" i="6"/>
  <c r="D19" i="6" s="1"/>
  <c r="C20" i="6"/>
  <c r="D20" i="6" s="1"/>
  <c r="B17" i="6"/>
  <c r="B18" i="6"/>
  <c r="B19" i="6"/>
  <c r="B16" i="6"/>
  <c r="A16" i="6"/>
  <c r="C16" i="6" s="1"/>
  <c r="D16" i="6" s="1"/>
  <c r="B7" i="6"/>
  <c r="B9" i="6" s="1"/>
  <c r="O19" i="5"/>
  <c r="P19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27" i="5"/>
  <c r="P27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11" i="5"/>
  <c r="O8" i="5"/>
  <c r="O9" i="5"/>
  <c r="O10" i="5"/>
  <c r="O7" i="5"/>
  <c r="O18" i="5"/>
  <c r="O12" i="5"/>
  <c r="O13" i="5"/>
  <c r="O14" i="5"/>
  <c r="O15" i="5"/>
  <c r="O16" i="5"/>
  <c r="O1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7" i="5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J7" i="5"/>
  <c r="R6" i="5"/>
  <c r="K9" i="4"/>
  <c r="I13" i="4"/>
  <c r="J13" i="4" s="1"/>
  <c r="K13" i="4" s="1"/>
  <c r="L13" i="4" s="1"/>
  <c r="I14" i="4"/>
  <c r="J14" i="4" s="1"/>
  <c r="I15" i="4"/>
  <c r="J15" i="4" s="1"/>
  <c r="I16" i="4"/>
  <c r="J16" i="4" s="1"/>
  <c r="F13" i="4"/>
  <c r="G13" i="4"/>
  <c r="F14" i="4"/>
  <c r="G14" i="4"/>
  <c r="F15" i="4"/>
  <c r="G15" i="4"/>
  <c r="F16" i="4"/>
  <c r="G16" i="4"/>
  <c r="D13" i="4"/>
  <c r="D14" i="4"/>
  <c r="D15" i="4"/>
  <c r="D16" i="4"/>
  <c r="I12" i="4"/>
  <c r="F12" i="4"/>
  <c r="G12" i="4" s="1"/>
  <c r="D12" i="4"/>
  <c r="I11" i="4"/>
  <c r="J11" i="4" s="1"/>
  <c r="F11" i="4"/>
  <c r="G11" i="4" s="1"/>
  <c r="D11" i="4"/>
  <c r="I10" i="4"/>
  <c r="F10" i="4"/>
  <c r="G10" i="4" s="1"/>
  <c r="D10" i="4"/>
  <c r="I9" i="4"/>
  <c r="F9" i="4"/>
  <c r="G9" i="4" s="1"/>
  <c r="D9" i="4"/>
  <c r="L8" i="4"/>
  <c r="T6" i="3"/>
  <c r="R7" i="3"/>
  <c r="Q9" i="3"/>
  <c r="Q10" i="3"/>
  <c r="Q11" i="3"/>
  <c r="Q8" i="3"/>
  <c r="P7" i="3"/>
  <c r="O8" i="3"/>
  <c r="O9" i="3"/>
  <c r="O10" i="3"/>
  <c r="O11" i="3"/>
  <c r="N8" i="3"/>
  <c r="N9" i="3"/>
  <c r="N10" i="3"/>
  <c r="N11" i="3"/>
  <c r="L8" i="3"/>
  <c r="L9" i="3"/>
  <c r="L10" i="3"/>
  <c r="L11" i="3"/>
  <c r="L7" i="3"/>
  <c r="K9" i="3"/>
  <c r="K10" i="3"/>
  <c r="K11" i="3"/>
  <c r="K8" i="3"/>
  <c r="J9" i="3"/>
  <c r="J10" i="3"/>
  <c r="J11" i="3"/>
  <c r="J8" i="3"/>
  <c r="I9" i="3"/>
  <c r="I10" i="3"/>
  <c r="I11" i="3"/>
  <c r="I8" i="3"/>
  <c r="G9" i="3"/>
  <c r="G10" i="3"/>
  <c r="G11" i="3"/>
  <c r="G8" i="3"/>
  <c r="F9" i="3"/>
  <c r="F10" i="3"/>
  <c r="F11" i="3"/>
  <c r="F8" i="3"/>
  <c r="D8" i="3"/>
  <c r="D10" i="3"/>
  <c r="D11" i="3"/>
  <c r="D9" i="3"/>
  <c r="J12" i="2"/>
  <c r="J13" i="2"/>
  <c r="J14" i="2"/>
  <c r="J15" i="2"/>
  <c r="J16" i="2"/>
  <c r="J11" i="2"/>
  <c r="G12" i="2"/>
  <c r="G13" i="2"/>
  <c r="G14" i="2"/>
  <c r="G15" i="2"/>
  <c r="G16" i="2"/>
  <c r="G11" i="2"/>
  <c r="D12" i="2"/>
  <c r="D13" i="2"/>
  <c r="D14" i="2"/>
  <c r="D15" i="2"/>
  <c r="D16" i="2"/>
  <c r="D11" i="2"/>
  <c r="B11" i="2"/>
  <c r="C11" i="2" s="1"/>
  <c r="E11" i="2" s="1"/>
  <c r="C30" i="1"/>
  <c r="C28" i="1"/>
  <c r="C26" i="1"/>
  <c r="C25" i="1"/>
  <c r="F13" i="1"/>
  <c r="G13" i="1" s="1"/>
  <c r="F15" i="1"/>
  <c r="G15" i="1"/>
  <c r="F17" i="1"/>
  <c r="G17" i="1"/>
  <c r="F19" i="1"/>
  <c r="G19" i="1"/>
  <c r="F21" i="1"/>
  <c r="G21" i="1"/>
  <c r="J15" i="1"/>
  <c r="J17" i="1"/>
  <c r="K17" i="1" s="1"/>
  <c r="J19" i="1"/>
  <c r="K19" i="1" s="1"/>
  <c r="J21" i="1"/>
  <c r="K21" i="1" s="1"/>
  <c r="J13" i="1"/>
  <c r="I19" i="1"/>
  <c r="I17" i="1"/>
  <c r="I15" i="1"/>
  <c r="K15" i="1"/>
  <c r="K13" i="1"/>
  <c r="I21" i="1"/>
  <c r="I13" i="1"/>
  <c r="D23" i="1"/>
  <c r="D14" i="1"/>
  <c r="D16" i="1"/>
  <c r="D18" i="1"/>
  <c r="D20" i="1"/>
  <c r="D22" i="1"/>
  <c r="C14" i="1"/>
  <c r="C15" i="1"/>
  <c r="C16" i="1"/>
  <c r="C17" i="1"/>
  <c r="C18" i="1"/>
  <c r="C19" i="1"/>
  <c r="C20" i="1"/>
  <c r="C21" i="1"/>
  <c r="C22" i="1"/>
  <c r="C13" i="1"/>
  <c r="B13" i="1"/>
  <c r="B15" i="1"/>
  <c r="B16" i="1"/>
  <c r="B17" i="1"/>
  <c r="B18" i="1"/>
  <c r="B19" i="1"/>
  <c r="B20" i="1"/>
  <c r="B21" i="1"/>
  <c r="B22" i="1"/>
  <c r="B14" i="1"/>
  <c r="A15" i="1"/>
  <c r="A16" i="1"/>
  <c r="A17" i="1"/>
  <c r="A18" i="1"/>
  <c r="A19" i="1"/>
  <c r="A20" i="1"/>
  <c r="A21" i="1"/>
  <c r="A22" i="1"/>
  <c r="A14" i="1"/>
  <c r="R22" i="6" l="1"/>
  <c r="R13" i="6"/>
  <c r="N36" i="6"/>
  <c r="N20" i="6"/>
  <c r="R35" i="6"/>
  <c r="R19" i="6"/>
  <c r="R18" i="6"/>
  <c r="R15" i="6"/>
  <c r="R32" i="6"/>
  <c r="R14" i="6"/>
  <c r="R16" i="6"/>
  <c r="R17" i="6"/>
  <c r="R20" i="6"/>
  <c r="R36" i="6"/>
  <c r="R34" i="6"/>
  <c r="R8" i="6"/>
  <c r="N39" i="6"/>
  <c r="R39" i="6" s="1"/>
  <c r="R12" i="6"/>
  <c r="R26" i="6"/>
  <c r="N43" i="6"/>
  <c r="R43" i="6" s="1"/>
  <c r="N27" i="6"/>
  <c r="R27" i="6" s="1"/>
  <c r="N11" i="6"/>
  <c r="R11" i="6" s="1"/>
  <c r="R25" i="6"/>
  <c r="R31" i="6"/>
  <c r="R9" i="6"/>
  <c r="R28" i="6"/>
  <c r="N37" i="6"/>
  <c r="R37" i="6" s="1"/>
  <c r="R23" i="6"/>
  <c r="R29" i="6"/>
  <c r="R24" i="6"/>
  <c r="R33" i="6"/>
  <c r="R21" i="6"/>
  <c r="N51" i="6"/>
  <c r="R51" i="6" s="1"/>
  <c r="R38" i="6"/>
  <c r="R30" i="6"/>
  <c r="N50" i="6"/>
  <c r="R50" i="6" s="1"/>
  <c r="N7" i="6"/>
  <c r="R7" i="6" s="1"/>
  <c r="S7" i="6" s="1"/>
  <c r="K7" i="5"/>
  <c r="J8" i="5"/>
  <c r="O13" i="4"/>
  <c r="Q13" i="4"/>
  <c r="N13" i="4"/>
  <c r="K14" i="4"/>
  <c r="L14" i="4" s="1"/>
  <c r="J9" i="4"/>
  <c r="L9" i="4" s="1"/>
  <c r="N9" i="4" s="1"/>
  <c r="J10" i="4"/>
  <c r="K10" i="4" s="1"/>
  <c r="J12" i="4"/>
  <c r="F11" i="2"/>
  <c r="H11" i="2" s="1"/>
  <c r="I11" i="2"/>
  <c r="K11" i="2" s="1"/>
  <c r="B12" i="2"/>
  <c r="G23" i="1"/>
  <c r="K23" i="1"/>
  <c r="T7" i="6" l="1"/>
  <c r="S8" i="6"/>
  <c r="J9" i="5"/>
  <c r="K8" i="5"/>
  <c r="N14" i="4"/>
  <c r="K15" i="4"/>
  <c r="Q14" i="4"/>
  <c r="O14" i="4"/>
  <c r="L10" i="4"/>
  <c r="K11" i="4"/>
  <c r="O9" i="4"/>
  <c r="Q9" i="4"/>
  <c r="I12" i="2"/>
  <c r="K12" i="2" s="1"/>
  <c r="F12" i="2"/>
  <c r="H12" i="2" s="1"/>
  <c r="C12" i="2"/>
  <c r="S9" i="6" l="1"/>
  <c r="T8" i="6"/>
  <c r="K9" i="5"/>
  <c r="J10" i="5"/>
  <c r="L15" i="4"/>
  <c r="K16" i="4"/>
  <c r="L16" i="4" s="1"/>
  <c r="N16" i="4" s="1"/>
  <c r="O10" i="4"/>
  <c r="Q10" i="4"/>
  <c r="N10" i="4"/>
  <c r="K12" i="4"/>
  <c r="L12" i="4" s="1"/>
  <c r="N12" i="4" s="1"/>
  <c r="L11" i="4"/>
  <c r="B13" i="2"/>
  <c r="C13" i="2" s="1"/>
  <c r="E12" i="2"/>
  <c r="S10" i="6" l="1"/>
  <c r="T9" i="6"/>
  <c r="K10" i="5"/>
  <c r="J11" i="5"/>
  <c r="N15" i="4"/>
  <c r="Q16" i="4"/>
  <c r="O16" i="4"/>
  <c r="Q15" i="4"/>
  <c r="R8" i="4" s="1"/>
  <c r="O15" i="4"/>
  <c r="Q12" i="4"/>
  <c r="N11" i="4"/>
  <c r="O12" i="4"/>
  <c r="Q11" i="4"/>
  <c r="O11" i="4"/>
  <c r="B14" i="2"/>
  <c r="C14" i="2" s="1"/>
  <c r="E13" i="2"/>
  <c r="I13" i="2"/>
  <c r="K13" i="2" s="1"/>
  <c r="F13" i="2"/>
  <c r="H13" i="2" s="1"/>
  <c r="S11" i="6" l="1"/>
  <c r="T10" i="6"/>
  <c r="F16" i="6" s="1"/>
  <c r="K11" i="5"/>
  <c r="P11" i="5" s="1"/>
  <c r="J12" i="5"/>
  <c r="P8" i="4"/>
  <c r="T7" i="4" s="1"/>
  <c r="X3" i="4" s="1"/>
  <c r="F14" i="2"/>
  <c r="H14" i="2" s="1"/>
  <c r="I14" i="2"/>
  <c r="K14" i="2" s="1"/>
  <c r="E14" i="2"/>
  <c r="B15" i="2"/>
  <c r="S12" i="6" l="1"/>
  <c r="T11" i="6"/>
  <c r="K12" i="5"/>
  <c r="P12" i="5" s="1"/>
  <c r="J13" i="5"/>
  <c r="W3" i="4"/>
  <c r="I15" i="2"/>
  <c r="K15" i="2" s="1"/>
  <c r="F15" i="2"/>
  <c r="H15" i="2" s="1"/>
  <c r="C15" i="2"/>
  <c r="S13" i="6" l="1"/>
  <c r="T12" i="6"/>
  <c r="K13" i="5"/>
  <c r="P13" i="5" s="1"/>
  <c r="J14" i="5"/>
  <c r="B16" i="2"/>
  <c r="E15" i="2"/>
  <c r="S14" i="6" l="1"/>
  <c r="T13" i="6"/>
  <c r="K14" i="5"/>
  <c r="P14" i="5" s="1"/>
  <c r="J15" i="5"/>
  <c r="C16" i="2"/>
  <c r="E16" i="2" s="1"/>
  <c r="E18" i="2" s="1"/>
  <c r="I16" i="2"/>
  <c r="K16" i="2" s="1"/>
  <c r="K18" i="2" s="1"/>
  <c r="B20" i="2" s="1"/>
  <c r="F16" i="2"/>
  <c r="H16" i="2" s="1"/>
  <c r="H18" i="2" s="1"/>
  <c r="S15" i="6" l="1"/>
  <c r="T14" i="6"/>
  <c r="J16" i="5"/>
  <c r="K15" i="5"/>
  <c r="P15" i="5" s="1"/>
  <c r="B21" i="2"/>
  <c r="S16" i="6" l="1"/>
  <c r="T15" i="6"/>
  <c r="F17" i="6" s="1"/>
  <c r="J17" i="5"/>
  <c r="K16" i="5"/>
  <c r="P16" i="5" s="1"/>
  <c r="B23" i="2"/>
  <c r="B24" i="2" s="1"/>
  <c r="B27" i="2" s="1"/>
  <c r="S17" i="6" l="1"/>
  <c r="T16" i="6"/>
  <c r="J18" i="5"/>
  <c r="K17" i="5"/>
  <c r="P17" i="5" s="1"/>
  <c r="S18" i="6" l="1"/>
  <c r="T17" i="6"/>
  <c r="J19" i="5"/>
  <c r="K18" i="5"/>
  <c r="P18" i="5" s="1"/>
  <c r="S19" i="6" l="1"/>
  <c r="T18" i="6"/>
  <c r="J20" i="5"/>
  <c r="K19" i="5"/>
  <c r="S20" i="6" l="1"/>
  <c r="T19" i="6"/>
  <c r="J21" i="5"/>
  <c r="K20" i="5"/>
  <c r="S21" i="6" l="1"/>
  <c r="T20" i="6"/>
  <c r="F18" i="6" s="1"/>
  <c r="J22" i="5"/>
  <c r="K21" i="5"/>
  <c r="S22" i="6" l="1"/>
  <c r="T21" i="6"/>
  <c r="J23" i="5"/>
  <c r="K22" i="5"/>
  <c r="S23" i="6" l="1"/>
  <c r="T22" i="6"/>
  <c r="J24" i="5"/>
  <c r="K23" i="5"/>
  <c r="S24" i="6" l="1"/>
  <c r="T23" i="6"/>
  <c r="J25" i="5"/>
  <c r="K24" i="5"/>
  <c r="S25" i="6" l="1"/>
  <c r="T24" i="6"/>
  <c r="J26" i="5"/>
  <c r="K25" i="5"/>
  <c r="S26" i="6" l="1"/>
  <c r="T25" i="6"/>
  <c r="F19" i="6" s="1"/>
  <c r="J27" i="5"/>
  <c r="K26" i="5"/>
  <c r="S27" i="6" l="1"/>
  <c r="T26" i="6"/>
  <c r="J28" i="5"/>
  <c r="K27" i="5"/>
  <c r="S28" i="6" l="1"/>
  <c r="T27" i="6"/>
  <c r="J29" i="5"/>
  <c r="K28" i="5"/>
  <c r="S29" i="6" l="1"/>
  <c r="T28" i="6"/>
  <c r="J30" i="5"/>
  <c r="K29" i="5"/>
  <c r="S30" i="6" l="1"/>
  <c r="T29" i="6"/>
  <c r="J31" i="5"/>
  <c r="K30" i="5"/>
  <c r="S31" i="6" l="1"/>
  <c r="T30" i="6"/>
  <c r="F20" i="6" s="1"/>
  <c r="J32" i="5"/>
  <c r="K31" i="5"/>
  <c r="S32" i="6" l="1"/>
  <c r="T31" i="6"/>
  <c r="J33" i="5"/>
  <c r="K32" i="5"/>
  <c r="S33" i="6" l="1"/>
  <c r="T32" i="6"/>
  <c r="J34" i="5"/>
  <c r="K33" i="5"/>
  <c r="S34" i="6" l="1"/>
  <c r="T33" i="6"/>
  <c r="J35" i="5"/>
  <c r="K34" i="5"/>
  <c r="S35" i="6" l="1"/>
  <c r="T34" i="6"/>
  <c r="J36" i="5"/>
  <c r="K35" i="5"/>
  <c r="S36" i="6" l="1"/>
  <c r="T35" i="6"/>
  <c r="J37" i="5"/>
  <c r="K36" i="5"/>
  <c r="S37" i="6" l="1"/>
  <c r="T36" i="6"/>
  <c r="K37" i="5"/>
  <c r="J38" i="5"/>
  <c r="S38" i="6" l="1"/>
  <c r="T37" i="6"/>
  <c r="J39" i="5"/>
  <c r="K38" i="5"/>
  <c r="S39" i="6" l="1"/>
  <c r="T38" i="6"/>
  <c r="J40" i="5"/>
  <c r="K39" i="5"/>
  <c r="S40" i="6" l="1"/>
  <c r="T39" i="6"/>
  <c r="K40" i="5"/>
  <c r="J41" i="5"/>
  <c r="S41" i="6" l="1"/>
  <c r="T40" i="6"/>
  <c r="J42" i="5"/>
  <c r="K41" i="5"/>
  <c r="S42" i="6" l="1"/>
  <c r="T41" i="6"/>
  <c r="K42" i="5"/>
  <c r="J43" i="5"/>
  <c r="S43" i="6" l="1"/>
  <c r="T42" i="6"/>
  <c r="K43" i="5"/>
  <c r="J44" i="5"/>
  <c r="S44" i="6" l="1"/>
  <c r="T43" i="6"/>
  <c r="K44" i="5"/>
  <c r="J45" i="5"/>
  <c r="S45" i="6" l="1"/>
  <c r="T44" i="6"/>
  <c r="J46" i="5"/>
  <c r="K46" i="5" s="1"/>
  <c r="K45" i="5"/>
  <c r="S46" i="6" l="1"/>
  <c r="T45" i="6"/>
  <c r="S47" i="6" l="1"/>
  <c r="T46" i="6"/>
  <c r="S48" i="6" l="1"/>
  <c r="T47" i="6"/>
  <c r="S49" i="6" l="1"/>
  <c r="T48" i="6"/>
  <c r="S50" i="6" l="1"/>
  <c r="T49" i="6"/>
  <c r="Q7" i="5"/>
  <c r="S51" i="6" l="1"/>
  <c r="T51" i="6" s="1"/>
  <c r="T50" i="6"/>
  <c r="R7" i="5"/>
  <c r="W7" i="5" l="1"/>
  <c r="T7" i="5"/>
  <c r="U7" i="5"/>
  <c r="P10" i="5"/>
  <c r="P9" i="5"/>
  <c r="P8" i="5"/>
  <c r="Q8" i="5" s="1"/>
  <c r="Q9" i="5" l="1"/>
  <c r="R9" i="5" s="1"/>
  <c r="T9" i="5" s="1"/>
  <c r="R8" i="5"/>
  <c r="T8" i="5" s="1"/>
  <c r="Q10" i="5" l="1"/>
  <c r="W9" i="5"/>
  <c r="U9" i="5"/>
  <c r="U8" i="5"/>
  <c r="W8" i="5"/>
  <c r="R10" i="5"/>
  <c r="Q11" i="5"/>
  <c r="R11" i="5" l="1"/>
  <c r="U11" i="5" s="1"/>
  <c r="Q12" i="5"/>
  <c r="T10" i="5"/>
  <c r="U10" i="5"/>
  <c r="W10" i="5"/>
  <c r="V6" i="5" l="1"/>
  <c r="X6" i="5"/>
  <c r="W11" i="5"/>
  <c r="Q13" i="5"/>
  <c r="R12" i="5"/>
  <c r="T11" i="5"/>
  <c r="U12" i="5" l="1"/>
  <c r="W12" i="5"/>
  <c r="T12" i="5"/>
  <c r="Q14" i="5"/>
  <c r="R13" i="5"/>
  <c r="W13" i="5" s="1"/>
  <c r="T13" i="5" l="1"/>
  <c r="R14" i="5"/>
  <c r="Q15" i="5"/>
  <c r="U13" i="5"/>
  <c r="Z6" i="5"/>
  <c r="D5" i="5" l="1"/>
  <c r="E5" i="5" s="1"/>
  <c r="R15" i="5"/>
  <c r="W15" i="5" s="1"/>
  <c r="Q16" i="5"/>
  <c r="T14" i="5"/>
  <c r="U14" i="5"/>
  <c r="W14" i="5"/>
  <c r="U15" i="5" l="1"/>
  <c r="Q17" i="5"/>
  <c r="R16" i="5"/>
  <c r="W16" i="5" s="1"/>
  <c r="T15" i="5"/>
  <c r="U16" i="5" l="1"/>
  <c r="T16" i="5"/>
  <c r="R17" i="5"/>
  <c r="Q18" i="5"/>
  <c r="R18" i="5" l="1"/>
  <c r="Q19" i="5"/>
  <c r="T17" i="5"/>
  <c r="U18" i="5"/>
  <c r="W18" i="5"/>
  <c r="U17" i="5"/>
  <c r="W17" i="5"/>
  <c r="R19" i="5" l="1"/>
  <c r="Q20" i="5"/>
  <c r="T18" i="5"/>
  <c r="V10" i="5" s="1"/>
  <c r="W19" i="5"/>
  <c r="U19" i="5"/>
  <c r="X10" i="5"/>
  <c r="R20" i="5" l="1"/>
  <c r="U20" i="5" s="1"/>
  <c r="Q21" i="5"/>
  <c r="T19" i="5"/>
  <c r="Z10" i="5"/>
  <c r="W20" i="5" l="1"/>
  <c r="R21" i="5"/>
  <c r="U21" i="5" s="1"/>
  <c r="Q22" i="5"/>
  <c r="T20" i="5"/>
  <c r="D6" i="5"/>
  <c r="E6" i="5" s="1"/>
  <c r="W21" i="5" l="1"/>
  <c r="Q23" i="5"/>
  <c r="R22" i="5"/>
  <c r="W22" i="5" s="1"/>
  <c r="T21" i="5"/>
  <c r="U22" i="5" l="1"/>
  <c r="T22" i="5"/>
  <c r="R23" i="5"/>
  <c r="W23" i="5" s="1"/>
  <c r="Q24" i="5"/>
  <c r="Q25" i="5" l="1"/>
  <c r="R24" i="5"/>
  <c r="U24" i="5" s="1"/>
  <c r="T23" i="5"/>
  <c r="U23" i="5"/>
  <c r="W24" i="5" l="1"/>
  <c r="T24" i="5"/>
  <c r="R25" i="5"/>
  <c r="U25" i="5" s="1"/>
  <c r="Q26" i="5"/>
  <c r="Q27" i="5" l="1"/>
  <c r="R26" i="5"/>
  <c r="W26" i="5" s="1"/>
  <c r="T25" i="5"/>
  <c r="W25" i="5"/>
  <c r="X18" i="5" l="1"/>
  <c r="U26" i="5"/>
  <c r="T26" i="5"/>
  <c r="R27" i="5"/>
  <c r="Q28" i="5"/>
  <c r="V18" i="5" l="1"/>
  <c r="Z18" i="5" s="1"/>
  <c r="R28" i="5"/>
  <c r="U28" i="5" s="1"/>
  <c r="Q29" i="5"/>
  <c r="T27" i="5"/>
  <c r="U27" i="5"/>
  <c r="W27" i="5"/>
  <c r="D7" i="5" l="1"/>
  <c r="E7" i="5" s="1"/>
  <c r="W28" i="5"/>
  <c r="Q30" i="5"/>
  <c r="R29" i="5"/>
  <c r="U29" i="5" s="1"/>
  <c r="T28" i="5"/>
  <c r="W29" i="5" l="1"/>
  <c r="T29" i="5"/>
  <c r="Q31" i="5"/>
  <c r="R30" i="5"/>
  <c r="T30" i="5" l="1"/>
  <c r="R31" i="5"/>
  <c r="Q32" i="5"/>
  <c r="W30" i="5"/>
  <c r="U30" i="5"/>
  <c r="R32" i="5" l="1"/>
  <c r="Q33" i="5"/>
  <c r="U32" i="5"/>
  <c r="T31" i="5"/>
  <c r="W32" i="5"/>
  <c r="W31" i="5"/>
  <c r="U31" i="5"/>
  <c r="R33" i="5" l="1"/>
  <c r="W33" i="5" s="1"/>
  <c r="Q34" i="5"/>
  <c r="T32" i="5"/>
  <c r="U33" i="5"/>
  <c r="Q35" i="5" l="1"/>
  <c r="R34" i="5"/>
  <c r="W34" i="5" s="1"/>
  <c r="X26" i="5" s="1"/>
  <c r="T33" i="5"/>
  <c r="U34" i="5" l="1"/>
  <c r="T34" i="5"/>
  <c r="V26" i="5" s="1"/>
  <c r="Z26" i="5" s="1"/>
  <c r="D8" i="5" s="1"/>
  <c r="E8" i="5" s="1"/>
  <c r="Q36" i="5"/>
  <c r="R35" i="5"/>
  <c r="T35" i="5" l="1"/>
  <c r="Q37" i="5"/>
  <c r="R36" i="5"/>
  <c r="W36" i="5" s="1"/>
  <c r="U35" i="5"/>
  <c r="W35" i="5"/>
  <c r="T36" i="5" l="1"/>
  <c r="R37" i="5"/>
  <c r="Q38" i="5"/>
  <c r="U36" i="5"/>
  <c r="Q39" i="5" l="1"/>
  <c r="R38" i="5"/>
  <c r="W38" i="5" s="1"/>
  <c r="T37" i="5"/>
  <c r="W37" i="5"/>
  <c r="U37" i="5"/>
  <c r="U38" i="5" l="1"/>
  <c r="T38" i="5"/>
  <c r="R39" i="5"/>
  <c r="Q40" i="5"/>
  <c r="R40" i="5" l="1"/>
  <c r="U40" i="5" s="1"/>
  <c r="Q41" i="5"/>
  <c r="T39" i="5"/>
  <c r="W40" i="5"/>
  <c r="W39" i="5"/>
  <c r="U39" i="5"/>
  <c r="R41" i="5" l="1"/>
  <c r="W41" i="5" s="1"/>
  <c r="Q42" i="5"/>
  <c r="T40" i="5"/>
  <c r="U41" i="5" l="1"/>
  <c r="Q43" i="5"/>
  <c r="R42" i="5"/>
  <c r="W42" i="5" s="1"/>
  <c r="T41" i="5"/>
  <c r="U42" i="5" l="1"/>
  <c r="T42" i="5"/>
  <c r="Q44" i="5"/>
  <c r="R43" i="5"/>
  <c r="U43" i="5" s="1"/>
  <c r="T43" i="5" l="1"/>
  <c r="R44" i="5"/>
  <c r="Q45" i="5"/>
  <c r="W43" i="5"/>
  <c r="Q46" i="5" l="1"/>
  <c r="R46" i="5" s="1"/>
  <c r="T46" i="5" s="1"/>
  <c r="R45" i="5"/>
  <c r="W45" i="5" s="1"/>
  <c r="T44" i="5"/>
  <c r="W44" i="5"/>
  <c r="U44" i="5"/>
  <c r="U45" i="5" l="1"/>
  <c r="U46" i="5"/>
  <c r="T45" i="5"/>
  <c r="W46" i="5"/>
  <c r="X34" i="5" s="1"/>
  <c r="V34" i="5"/>
  <c r="Z34" i="5" l="1"/>
  <c r="D9" i="5" s="1"/>
  <c r="E9" i="5" s="1"/>
  <c r="E10" i="5" s="1"/>
</calcChain>
</file>

<file path=xl/sharedStrings.xml><?xml version="1.0" encoding="utf-8"?>
<sst xmlns="http://schemas.openxmlformats.org/spreadsheetml/2006/main" count="164" uniqueCount="90">
  <si>
    <t>Simple CDS</t>
  </si>
  <si>
    <t>Time</t>
  </si>
  <si>
    <t>Assumptions</t>
  </si>
  <si>
    <t>Notional</t>
  </si>
  <si>
    <t>Riskfree rate</t>
  </si>
  <si>
    <t>Prob. of Default</t>
  </si>
  <si>
    <t>Recovery</t>
  </si>
  <si>
    <t>DF</t>
  </si>
  <si>
    <t>Prob of Survival</t>
  </si>
  <si>
    <t>PV</t>
  </si>
  <si>
    <t>Expected Accrual</t>
  </si>
  <si>
    <t>Default Prob.</t>
  </si>
  <si>
    <t>Payments</t>
  </si>
  <si>
    <t>Accrual</t>
  </si>
  <si>
    <t>Payoffs</t>
  </si>
  <si>
    <t>spread</t>
  </si>
  <si>
    <t>spread (bp)</t>
  </si>
  <si>
    <t>prob. of default</t>
  </si>
  <si>
    <t>recovery</t>
  </si>
  <si>
    <t>duration</t>
  </si>
  <si>
    <t>6years</t>
  </si>
  <si>
    <t>defaults occur in mid-year</t>
  </si>
  <si>
    <t>Year</t>
  </si>
  <si>
    <t>prob. of survival</t>
  </si>
  <si>
    <t>discount factor</t>
  </si>
  <si>
    <t>swap rate given default</t>
  </si>
  <si>
    <t>cost of finance</t>
  </si>
  <si>
    <t>dcf swap rate given default</t>
  </si>
  <si>
    <t>payable given default</t>
  </si>
  <si>
    <t>dcf given default</t>
  </si>
  <si>
    <t>dcf (swap rate no default)</t>
  </si>
  <si>
    <t>Expected received premium</t>
  </si>
  <si>
    <t>Expected payable DCF</t>
  </si>
  <si>
    <t>spread bps</t>
  </si>
  <si>
    <t>Expected payoff</t>
  </si>
  <si>
    <t>Risk free rate</t>
  </si>
  <si>
    <t>t_i</t>
  </si>
  <si>
    <t>dt_i</t>
  </si>
  <si>
    <t>i</t>
  </si>
  <si>
    <t>Period</t>
  </si>
  <si>
    <t>Rates</t>
  </si>
  <si>
    <t>r</t>
  </si>
  <si>
    <t>DF(t)</t>
  </si>
  <si>
    <t>Prob Default 1yr</t>
  </si>
  <si>
    <t>Prob Default</t>
  </si>
  <si>
    <t>lambda</t>
  </si>
  <si>
    <t>lambda*dt_i</t>
  </si>
  <si>
    <t>sum</t>
  </si>
  <si>
    <t>DF(t_i)</t>
  </si>
  <si>
    <t>PS(t_i)</t>
  </si>
  <si>
    <t>Fee Leg</t>
  </si>
  <si>
    <t>RPV01</t>
  </si>
  <si>
    <t>DF*PS*dt</t>
  </si>
  <si>
    <t>DF*[PS(-1)-PS]*dt/2</t>
  </si>
  <si>
    <t>Default Leg</t>
  </si>
  <si>
    <t>DF*[PS(-1)-PS]</t>
  </si>
  <si>
    <t>(1-R)*Default Leg</t>
  </si>
  <si>
    <t>CDS spread</t>
  </si>
  <si>
    <t>1Y</t>
  </si>
  <si>
    <t>2Y</t>
  </si>
  <si>
    <t>lambdas</t>
  </si>
  <si>
    <t>CDS Spread</t>
  </si>
  <si>
    <t>Obj</t>
  </si>
  <si>
    <t>Outputs Python</t>
  </si>
  <si>
    <t>Tenors Y</t>
  </si>
  <si>
    <t>dPeriod</t>
  </si>
  <si>
    <t>dt</t>
  </si>
  <si>
    <t>Spread estimated</t>
  </si>
  <si>
    <t>Lambas</t>
  </si>
  <si>
    <t>l2 error</t>
  </si>
  <si>
    <t>Obj.</t>
  </si>
  <si>
    <t>Asof</t>
  </si>
  <si>
    <t>Settle. Date</t>
  </si>
  <si>
    <t>Prev Cpn Date</t>
  </si>
  <si>
    <t>Next Cpn Date</t>
  </si>
  <si>
    <t>Cpn Freq</t>
  </si>
  <si>
    <t>AI(YF Act/Act)</t>
  </si>
  <si>
    <t>Cpn Rate</t>
  </si>
  <si>
    <t>Accrued Interest</t>
  </si>
  <si>
    <t>Cpn Date</t>
  </si>
  <si>
    <t>Cpn</t>
  </si>
  <si>
    <t>PayDate</t>
  </si>
  <si>
    <t>YF</t>
  </si>
  <si>
    <t>PS</t>
  </si>
  <si>
    <t>CF on Surv</t>
  </si>
  <si>
    <t>CF on Def</t>
  </si>
  <si>
    <t>Dirty</t>
  </si>
  <si>
    <t>Ai</t>
  </si>
  <si>
    <t>Clean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</si>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</sst>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7" formatCode="_(* #,##0.000_);_(* \(#,##0.000\);_(* &quot;-&quot;??_);_(@_)"/>
    <numFmt numFmtId="184" formatCode="_(* #,##0.0000_);_(* \(#,##0.0000\);_(* &quot;-&quot;??_);_(@_)"/>
    <numFmt numFmtId="185" formatCode="_(* #,##0.0000_);_(* \(#,##0.0000\);_(* &quot;-&quot;??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2" xfId="1" applyNumberFormat="1" applyFont="1" applyBorder="1"/>
    <xf numFmtId="167" fontId="0" fillId="0" borderId="1" xfId="1" applyNumberFormat="1" applyFont="1" applyFill="1" applyBorder="1"/>
    <xf numFmtId="167" fontId="0" fillId="0" borderId="2" xfId="1" applyNumberFormat="1" applyFont="1" applyFill="1" applyBorder="1"/>
    <xf numFmtId="167" fontId="0" fillId="0" borderId="7" xfId="1" applyNumberFormat="1" applyFont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8" xfId="1" applyNumberFormat="1" applyFont="1" applyBorder="1"/>
    <xf numFmtId="10" fontId="0" fillId="0" borderId="3" xfId="2" applyNumberFormat="1" applyFont="1" applyBorder="1"/>
    <xf numFmtId="10" fontId="0" fillId="0" borderId="5" xfId="2" applyNumberFormat="1" applyFont="1" applyBorder="1"/>
    <xf numFmtId="167" fontId="0" fillId="0" borderId="0" xfId="0" applyNumberFormat="1"/>
    <xf numFmtId="10" fontId="0" fillId="0" borderId="0" xfId="2" applyNumberFormat="1" applyFont="1"/>
    <xf numFmtId="184" fontId="0" fillId="0" borderId="0" xfId="1" applyNumberFormat="1" applyFont="1"/>
    <xf numFmtId="184" fontId="0" fillId="0" borderId="0" xfId="0" applyNumberFormat="1"/>
    <xf numFmtId="185" fontId="0" fillId="0" borderId="0" xfId="0" applyNumberFormat="1"/>
    <xf numFmtId="43" fontId="0" fillId="0" borderId="0" xfId="0" applyNumberFormat="1"/>
    <xf numFmtId="0" fontId="0" fillId="2" borderId="0" xfId="0" applyFill="1"/>
    <xf numFmtId="0" fontId="2" fillId="2" borderId="9" xfId="0" applyFont="1" applyFill="1" applyBorder="1"/>
    <xf numFmtId="0" fontId="2" fillId="2" borderId="10" xfId="0" applyFont="1" applyFill="1" applyBorder="1"/>
    <xf numFmtId="14" fontId="0" fillId="0" borderId="0" xfId="0" applyNumberFormat="1"/>
    <xf numFmtId="0" fontId="0" fillId="0" borderId="0" xfId="0" applyBorder="1"/>
    <xf numFmtId="0" fontId="0" fillId="0" borderId="8" xfId="0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5511-90A9-5743-AB07-65C36C5F15C8}">
  <dimension ref="A1:K30"/>
  <sheetViews>
    <sheetView topLeftCell="B1" zoomScale="208" workbookViewId="0">
      <selection activeCell="B1" sqref="A1:XFD1048576"/>
    </sheetView>
  </sheetViews>
  <sheetFormatPr baseColWidth="10" defaultRowHeight="16" x14ac:dyDescent="0.2"/>
  <cols>
    <col min="1" max="1" width="10.6640625" bestFit="1" customWidth="1"/>
    <col min="2" max="2" width="14" bestFit="1" customWidth="1"/>
    <col min="3" max="3" width="15.1640625" bestFit="1" customWidth="1"/>
    <col min="4" max="4" width="9.1640625" bestFit="1" customWidth="1"/>
    <col min="5" max="5" width="4.1640625" customWidth="1"/>
    <col min="6" max="6" width="16.5" bestFit="1" customWidth="1"/>
    <col min="7" max="7" width="7.1640625" bestFit="1" customWidth="1"/>
    <col min="8" max="8" width="4.5" customWidth="1"/>
    <col min="9" max="9" width="13.1640625" bestFit="1" customWidth="1"/>
    <col min="10" max="10" width="9.5" bestFit="1" customWidth="1"/>
    <col min="11" max="11" width="7.1640625" bestFit="1" customWidth="1"/>
  </cols>
  <sheetData>
    <row r="1" spans="1:11" x14ac:dyDescent="0.2">
      <c r="A1" s="1" t="s">
        <v>0</v>
      </c>
    </row>
    <row r="3" spans="1:11" x14ac:dyDescent="0.2">
      <c r="B3" t="s">
        <v>2</v>
      </c>
    </row>
    <row r="4" spans="1:11" x14ac:dyDescent="0.2">
      <c r="B4" t="s">
        <v>3</v>
      </c>
      <c r="C4">
        <v>1000</v>
      </c>
    </row>
    <row r="5" spans="1:11" x14ac:dyDescent="0.2">
      <c r="B5" t="s">
        <v>4</v>
      </c>
      <c r="C5" s="2">
        <v>0.05</v>
      </c>
    </row>
    <row r="6" spans="1:11" x14ac:dyDescent="0.2">
      <c r="B6" t="s">
        <v>5</v>
      </c>
      <c r="C6" s="2">
        <v>0.02</v>
      </c>
    </row>
    <row r="7" spans="1:11" x14ac:dyDescent="0.2">
      <c r="B7" t="s">
        <v>6</v>
      </c>
      <c r="C7" s="2">
        <v>0.4</v>
      </c>
    </row>
    <row r="10" spans="1:11" x14ac:dyDescent="0.2">
      <c r="D10" t="s">
        <v>12</v>
      </c>
      <c r="G10" t="s">
        <v>13</v>
      </c>
      <c r="K10" t="s">
        <v>14</v>
      </c>
    </row>
    <row r="11" spans="1:11" ht="17" thickBot="1" x14ac:dyDescent="0.25"/>
    <row r="12" spans="1:11" x14ac:dyDescent="0.2">
      <c r="A12" s="17" t="s">
        <v>1</v>
      </c>
      <c r="B12" s="17" t="s">
        <v>7</v>
      </c>
      <c r="C12" s="18" t="s">
        <v>8</v>
      </c>
      <c r="D12" s="19" t="s">
        <v>9</v>
      </c>
      <c r="E12" s="17"/>
      <c r="F12" s="20" t="s">
        <v>10</v>
      </c>
      <c r="G12" s="21" t="s">
        <v>9</v>
      </c>
      <c r="H12" s="17"/>
      <c r="I12" s="18" t="s">
        <v>11</v>
      </c>
      <c r="J12" s="22" t="s">
        <v>3</v>
      </c>
      <c r="K12" s="19" t="s">
        <v>9</v>
      </c>
    </row>
    <row r="13" spans="1:11" x14ac:dyDescent="0.2">
      <c r="A13" s="17">
        <v>0.5</v>
      </c>
      <c r="B13" s="17">
        <f>EXP(-A13*$C$5)</f>
        <v>0.97530991202833262</v>
      </c>
      <c r="C13" s="23">
        <f>(1-$C$6)^A13</f>
        <v>0.98994949366116658</v>
      </c>
      <c r="D13" s="24"/>
      <c r="E13" s="17"/>
      <c r="F13" s="29">
        <f>0.5*I13</f>
        <v>0.01</v>
      </c>
      <c r="G13" s="24">
        <f>B13*F13</f>
        <v>9.7530991202833262E-3</v>
      </c>
      <c r="H13" s="17"/>
      <c r="I13" s="23">
        <f>C6</f>
        <v>0.02</v>
      </c>
      <c r="J13" s="25">
        <f>I13*(1-$C$7)</f>
        <v>1.2E-2</v>
      </c>
      <c r="K13" s="24">
        <f>J13*B13</f>
        <v>1.1703718944339992E-2</v>
      </c>
    </row>
    <row r="14" spans="1:11" x14ac:dyDescent="0.2">
      <c r="A14" s="17">
        <f>A13+0.5</f>
        <v>1</v>
      </c>
      <c r="B14" s="17">
        <f>EXP(-A14*$C$5)</f>
        <v>0.95122942450071402</v>
      </c>
      <c r="C14" s="23">
        <f t="shared" ref="C14:C22" si="0">(1-$C$6)^A14</f>
        <v>0.98</v>
      </c>
      <c r="D14" s="24">
        <f t="shared" ref="D14:D22" si="1">B14*C14</f>
        <v>0.9322048360106997</v>
      </c>
      <c r="E14" s="17"/>
      <c r="F14" s="29"/>
      <c r="G14" s="24"/>
      <c r="H14" s="17"/>
      <c r="I14" s="23"/>
      <c r="J14" s="25"/>
      <c r="K14" s="24"/>
    </row>
    <row r="15" spans="1:11" x14ac:dyDescent="0.2">
      <c r="A15" s="17">
        <f t="shared" ref="A15:A23" si="2">A14+0.5</f>
        <v>1.5</v>
      </c>
      <c r="B15" s="17">
        <f t="shared" ref="B15:B22" si="3">EXP(-A15*$C$5)</f>
        <v>0.92774348632855286</v>
      </c>
      <c r="C15" s="23">
        <f t="shared" si="0"/>
        <v>0.97015050378794321</v>
      </c>
      <c r="D15" s="24"/>
      <c r="E15" s="17"/>
      <c r="F15" s="29">
        <f t="shared" ref="F14:F22" si="4">0.5*I15</f>
        <v>9.7999999999999997E-3</v>
      </c>
      <c r="G15" s="24">
        <f t="shared" ref="G14:G22" si="5">B15*F15</f>
        <v>9.0918861660198181E-3</v>
      </c>
      <c r="H15" s="17"/>
      <c r="I15" s="23">
        <f>C14*$C$6</f>
        <v>1.9599999999999999E-2</v>
      </c>
      <c r="J15" s="25">
        <f t="shared" ref="J14:J22" si="6">I15*(1-$C$7)</f>
        <v>1.176E-2</v>
      </c>
      <c r="K15" s="24">
        <f t="shared" ref="K14:K22" si="7">J15*B15</f>
        <v>1.0910263399223781E-2</v>
      </c>
    </row>
    <row r="16" spans="1:11" x14ac:dyDescent="0.2">
      <c r="A16" s="17">
        <f t="shared" si="2"/>
        <v>2</v>
      </c>
      <c r="B16" s="17">
        <f t="shared" si="3"/>
        <v>0.90483741803595952</v>
      </c>
      <c r="C16" s="23">
        <f t="shared" si="0"/>
        <v>0.96039999999999992</v>
      </c>
      <c r="D16" s="24">
        <f t="shared" si="1"/>
        <v>0.86900585628173543</v>
      </c>
      <c r="E16" s="17"/>
      <c r="F16" s="29"/>
      <c r="G16" s="24"/>
      <c r="H16" s="17"/>
      <c r="I16" s="23"/>
      <c r="J16" s="25"/>
      <c r="K16" s="24"/>
    </row>
    <row r="17" spans="1:11" x14ac:dyDescent="0.2">
      <c r="A17" s="17">
        <f t="shared" si="2"/>
        <v>2.5</v>
      </c>
      <c r="B17" s="17">
        <f t="shared" si="3"/>
        <v>0.88249690258459546</v>
      </c>
      <c r="C17" s="23">
        <f t="shared" si="0"/>
        <v>0.95074749371218426</v>
      </c>
      <c r="D17" s="24"/>
      <c r="E17" s="17"/>
      <c r="F17" s="29">
        <f t="shared" si="4"/>
        <v>9.6039999999999997E-3</v>
      </c>
      <c r="G17" s="24">
        <f t="shared" si="5"/>
        <v>8.4755002524224549E-3</v>
      </c>
      <c r="H17" s="17"/>
      <c r="I17" s="23">
        <f>C16*$C$6</f>
        <v>1.9207999999999999E-2</v>
      </c>
      <c r="J17" s="25">
        <f t="shared" si="6"/>
        <v>1.15248E-2</v>
      </c>
      <c r="K17" s="24">
        <f t="shared" si="7"/>
        <v>1.0170600302906946E-2</v>
      </c>
    </row>
    <row r="18" spans="1:11" x14ac:dyDescent="0.2">
      <c r="A18" s="17">
        <f t="shared" si="2"/>
        <v>3</v>
      </c>
      <c r="B18" s="17">
        <f t="shared" si="3"/>
        <v>0.86070797642505781</v>
      </c>
      <c r="C18" s="23">
        <f t="shared" si="0"/>
        <v>0.94119199999999992</v>
      </c>
      <c r="D18" s="24">
        <f t="shared" si="1"/>
        <v>0.81009146174745295</v>
      </c>
      <c r="E18" s="17"/>
      <c r="F18" s="29"/>
      <c r="G18" s="24"/>
      <c r="H18" s="17"/>
      <c r="I18" s="23"/>
      <c r="J18" s="25"/>
      <c r="K18" s="24"/>
    </row>
    <row r="19" spans="1:11" x14ac:dyDescent="0.2">
      <c r="A19" s="17">
        <f t="shared" si="2"/>
        <v>3.5</v>
      </c>
      <c r="B19" s="17">
        <f t="shared" si="3"/>
        <v>0.83945702076920736</v>
      </c>
      <c r="C19" s="23">
        <f t="shared" si="0"/>
        <v>0.93173254383794057</v>
      </c>
      <c r="D19" s="24"/>
      <c r="E19" s="17"/>
      <c r="F19" s="29">
        <f t="shared" si="4"/>
        <v>9.411919999999999E-3</v>
      </c>
      <c r="G19" s="24">
        <f t="shared" si="5"/>
        <v>7.9009023229181172E-3</v>
      </c>
      <c r="H19" s="17"/>
      <c r="I19" s="23">
        <f>C18*$C$6</f>
        <v>1.8823839999999998E-2</v>
      </c>
      <c r="J19" s="25">
        <f t="shared" si="6"/>
        <v>1.1294303999999998E-2</v>
      </c>
      <c r="K19" s="24">
        <f t="shared" si="7"/>
        <v>9.481082787501741E-3</v>
      </c>
    </row>
    <row r="20" spans="1:11" x14ac:dyDescent="0.2">
      <c r="A20" s="17">
        <f t="shared" si="2"/>
        <v>4</v>
      </c>
      <c r="B20" s="17">
        <f t="shared" si="3"/>
        <v>0.81873075307798182</v>
      </c>
      <c r="C20" s="23">
        <f t="shared" si="0"/>
        <v>0.92236815999999988</v>
      </c>
      <c r="D20" s="24">
        <f t="shared" si="1"/>
        <v>0.75517117825195235</v>
      </c>
      <c r="E20" s="17"/>
      <c r="F20" s="29"/>
      <c r="G20" s="24"/>
      <c r="H20" s="17"/>
      <c r="I20" s="23"/>
      <c r="J20" s="25"/>
      <c r="K20" s="24"/>
    </row>
    <row r="21" spans="1:11" x14ac:dyDescent="0.2">
      <c r="A21" s="17">
        <f t="shared" si="2"/>
        <v>4.5</v>
      </c>
      <c r="B21" s="17">
        <f t="shared" si="3"/>
        <v>0.79851621875937706</v>
      </c>
      <c r="C21" s="23">
        <f t="shared" si="0"/>
        <v>0.91309789296118171</v>
      </c>
      <c r="D21" s="24"/>
      <c r="E21" s="17"/>
      <c r="F21" s="29">
        <f t="shared" si="4"/>
        <v>9.2236815999999985E-3</v>
      </c>
      <c r="G21" s="24">
        <f t="shared" si="5"/>
        <v>7.3652593542724402E-3</v>
      </c>
      <c r="H21" s="17"/>
      <c r="I21" s="23">
        <f t="shared" ref="I16:I22" si="8">C20*$C$6</f>
        <v>1.8447363199999997E-2</v>
      </c>
      <c r="J21" s="25">
        <f t="shared" si="6"/>
        <v>1.1068417919999999E-2</v>
      </c>
      <c r="K21" s="24">
        <f t="shared" si="7"/>
        <v>8.8383112251269273E-3</v>
      </c>
    </row>
    <row r="22" spans="1:11" ht="17" thickBot="1" x14ac:dyDescent="0.25">
      <c r="A22" s="17">
        <f t="shared" si="2"/>
        <v>5</v>
      </c>
      <c r="B22" s="17">
        <f t="shared" si="3"/>
        <v>0.77880078307140488</v>
      </c>
      <c r="C22" s="26">
        <f t="shared" si="0"/>
        <v>0.90392079679999982</v>
      </c>
      <c r="D22" s="27">
        <f t="shared" si="1"/>
        <v>0.70397422438236812</v>
      </c>
      <c r="E22" s="17"/>
      <c r="F22" s="30"/>
      <c r="G22" s="27"/>
      <c r="H22" s="17"/>
      <c r="I22" s="26"/>
      <c r="J22" s="28"/>
      <c r="K22" s="27"/>
    </row>
    <row r="23" spans="1:11" x14ac:dyDescent="0.2">
      <c r="A23" s="17"/>
      <c r="B23" s="17"/>
      <c r="C23" s="17"/>
      <c r="D23" s="17">
        <f>SUM(D13:D22)</f>
        <v>4.0704475566742087</v>
      </c>
      <c r="E23" s="17"/>
      <c r="F23" s="17"/>
      <c r="G23" s="17">
        <f>SUM(G13:G22)</f>
        <v>4.2586647215916151E-2</v>
      </c>
      <c r="H23" s="17"/>
      <c r="I23" s="17"/>
      <c r="J23" s="17"/>
      <c r="K23" s="17">
        <f>SUM(K13:K22)</f>
        <v>5.1103976659099382E-2</v>
      </c>
    </row>
    <row r="24" spans="1:11" ht="17" thickBo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">
      <c r="A25" s="10"/>
      <c r="B25" s="11" t="s">
        <v>12</v>
      </c>
      <c r="C25" s="12">
        <f>D23+G23</f>
        <v>4.1130342038901251</v>
      </c>
      <c r="D25" s="10"/>
      <c r="E25" s="10"/>
      <c r="F25" s="10"/>
      <c r="G25" s="10"/>
      <c r="H25" s="10"/>
      <c r="I25" s="10"/>
      <c r="J25" s="10"/>
      <c r="K25" s="10"/>
    </row>
    <row r="26" spans="1:11" x14ac:dyDescent="0.2">
      <c r="B26" s="13" t="s">
        <v>14</v>
      </c>
      <c r="C26" s="14">
        <f>K23</f>
        <v>5.1103976659099382E-2</v>
      </c>
    </row>
    <row r="27" spans="1:11" x14ac:dyDescent="0.2">
      <c r="B27" s="13"/>
      <c r="C27" s="14"/>
    </row>
    <row r="28" spans="1:11" x14ac:dyDescent="0.2">
      <c r="B28" s="13" t="s">
        <v>15</v>
      </c>
      <c r="C28" s="14">
        <f>C26/C25</f>
        <v>1.242488492090949E-2</v>
      </c>
    </row>
    <row r="29" spans="1:11" x14ac:dyDescent="0.2">
      <c r="B29" s="13"/>
      <c r="C29" s="14"/>
    </row>
    <row r="30" spans="1:11" ht="17" thickBot="1" x14ac:dyDescent="0.25">
      <c r="B30" s="15" t="s">
        <v>16</v>
      </c>
      <c r="C30" s="16">
        <f>C28*10000</f>
        <v>124.2488492090949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852A-A36A-DA4C-AA71-9C11F00C3A56}">
  <dimension ref="A2:K27"/>
  <sheetViews>
    <sheetView zoomScale="129" workbookViewId="0">
      <selection sqref="A1:XFD1048576"/>
    </sheetView>
  </sheetViews>
  <sheetFormatPr baseColWidth="10" defaultRowHeight="16" x14ac:dyDescent="0.2"/>
  <cols>
    <col min="1" max="1" width="24.83203125" bestFit="1" customWidth="1"/>
    <col min="2" max="2" width="14" bestFit="1" customWidth="1"/>
    <col min="3" max="3" width="14.5" bestFit="1" customWidth="1"/>
    <col min="4" max="4" width="13.5" bestFit="1" customWidth="1"/>
    <col min="5" max="5" width="22.83203125" bestFit="1" customWidth="1"/>
    <col min="6" max="6" width="20.83203125" bestFit="1" customWidth="1"/>
    <col min="7" max="7" width="13.5" bestFit="1" customWidth="1"/>
    <col min="8" max="8" width="24" bestFit="1" customWidth="1"/>
    <col min="9" max="9" width="19.1640625" bestFit="1" customWidth="1"/>
    <col min="10" max="10" width="13.5" bestFit="1" customWidth="1"/>
    <col min="11" max="11" width="15" bestFit="1" customWidth="1"/>
  </cols>
  <sheetData>
    <row r="2" spans="1:11" x14ac:dyDescent="0.2">
      <c r="A2" t="s">
        <v>17</v>
      </c>
      <c r="B2" s="32">
        <v>1.7299999999999999E-2</v>
      </c>
    </row>
    <row r="3" spans="1:11" x14ac:dyDescent="0.2">
      <c r="A3" t="s">
        <v>18</v>
      </c>
      <c r="B3" s="32">
        <v>0.25</v>
      </c>
    </row>
    <row r="4" spans="1:11" x14ac:dyDescent="0.2">
      <c r="A4" t="s">
        <v>26</v>
      </c>
      <c r="B4" s="32">
        <v>6.1100000000000002E-2</v>
      </c>
    </row>
    <row r="5" spans="1:11" x14ac:dyDescent="0.2">
      <c r="A5" t="s">
        <v>19</v>
      </c>
      <c r="B5" t="s">
        <v>20</v>
      </c>
    </row>
    <row r="6" spans="1:11" x14ac:dyDescent="0.2">
      <c r="A6" t="s">
        <v>21</v>
      </c>
    </row>
    <row r="10" spans="1:11" x14ac:dyDescent="0.2">
      <c r="A10" t="s">
        <v>22</v>
      </c>
      <c r="B10" t="s">
        <v>17</v>
      </c>
      <c r="C10" t="s">
        <v>23</v>
      </c>
      <c r="D10" t="s">
        <v>24</v>
      </c>
      <c r="E10" t="s">
        <v>30</v>
      </c>
      <c r="F10" t="s">
        <v>25</v>
      </c>
      <c r="G10" t="s">
        <v>24</v>
      </c>
      <c r="H10" t="s">
        <v>27</v>
      </c>
      <c r="I10" t="s">
        <v>28</v>
      </c>
      <c r="J10" t="s">
        <v>24</v>
      </c>
      <c r="K10" t="s">
        <v>29</v>
      </c>
    </row>
    <row r="11" spans="1:11" x14ac:dyDescent="0.2">
      <c r="A11">
        <v>1</v>
      </c>
      <c r="B11" s="32">
        <f>B2</f>
        <v>1.7299999999999999E-2</v>
      </c>
      <c r="C11" s="32">
        <f>1-B11</f>
        <v>0.98270000000000002</v>
      </c>
      <c r="D11" s="32">
        <f>1/(1+$B$4)^A11</f>
        <v>0.9424182452172275</v>
      </c>
      <c r="E11" s="33">
        <f>C11*D11</f>
        <v>0.92611440957496949</v>
      </c>
      <c r="F11">
        <f>B11/2</f>
        <v>8.6499999999999997E-3</v>
      </c>
      <c r="G11">
        <f>1/(1+$B$4)^(A11-0.5)</f>
        <v>0.97078228517893106</v>
      </c>
      <c r="H11">
        <f>F11*G11</f>
        <v>8.3972667667977542E-3</v>
      </c>
      <c r="I11" s="33">
        <f>B11*(1-$B$3)</f>
        <v>1.2975E-2</v>
      </c>
      <c r="J11" s="31">
        <f>G11</f>
        <v>0.97078228517893106</v>
      </c>
      <c r="K11">
        <f>I11*J11</f>
        <v>1.2595900150196631E-2</v>
      </c>
    </row>
    <row r="12" spans="1:11" x14ac:dyDescent="0.2">
      <c r="A12">
        <v>2</v>
      </c>
      <c r="B12" s="32">
        <f>C11*$B$2</f>
        <v>1.7000709999999999E-2</v>
      </c>
      <c r="C12" s="32">
        <f>C11-B12</f>
        <v>0.96569928999999999</v>
      </c>
      <c r="D12" s="32">
        <f t="shared" ref="D12:D16" si="0">1/(1+$B$4)^A12</f>
        <v>0.88815214891831828</v>
      </c>
      <c r="E12" s="33">
        <f t="shared" ref="E12:E16" si="1">C12*D12</f>
        <v>0.85768789962239422</v>
      </c>
      <c r="F12">
        <f t="shared" ref="F12:F16" si="2">B12/2</f>
        <v>8.5003549999999994E-3</v>
      </c>
      <c r="G12">
        <f t="shared" ref="G12:G16" si="3">1/(1+$B$4)^(A12-0.5)</f>
        <v>0.91488293768629825</v>
      </c>
      <c r="H12">
        <f t="shared" ref="H12:H16" si="4">F12*G12</f>
        <v>7.7768297537764135E-3</v>
      </c>
      <c r="I12" s="33">
        <f t="shared" ref="I12:I16" si="5">B12*(1-$B$3)</f>
        <v>1.2750532499999998E-2</v>
      </c>
      <c r="J12" s="31">
        <f t="shared" ref="J12:J16" si="6">G12</f>
        <v>0.91488293768629825</v>
      </c>
      <c r="K12">
        <f t="shared" ref="K12:K16" si="7">I12*J12</f>
        <v>1.1665244630664619E-2</v>
      </c>
    </row>
    <row r="13" spans="1:11" x14ac:dyDescent="0.2">
      <c r="A13">
        <v>3</v>
      </c>
      <c r="B13" s="32">
        <f t="shared" ref="B13:B16" si="8">C12*$B$2</f>
        <v>1.6706597716999998E-2</v>
      </c>
      <c r="C13" s="32">
        <f t="shared" ref="C13:C16" si="9">C12-B13</f>
        <v>0.94899269228299998</v>
      </c>
      <c r="D13" s="32">
        <f t="shared" si="0"/>
        <v>0.83701078966951115</v>
      </c>
      <c r="E13" s="33">
        <f t="shared" si="1"/>
        <v>0.79431712275838917</v>
      </c>
      <c r="F13">
        <f t="shared" si="2"/>
        <v>8.3532988584999988E-3</v>
      </c>
      <c r="G13">
        <f t="shared" si="3"/>
        <v>0.86220237271350331</v>
      </c>
      <c r="H13">
        <f t="shared" si="4"/>
        <v>7.2022340957836979E-3</v>
      </c>
      <c r="I13" s="33">
        <f t="shared" si="5"/>
        <v>1.2529948287749998E-2</v>
      </c>
      <c r="J13" s="31">
        <f t="shared" si="6"/>
        <v>0.86220237271350331</v>
      </c>
      <c r="K13">
        <f t="shared" si="7"/>
        <v>1.0803351143675546E-2</v>
      </c>
    </row>
    <row r="14" spans="1:11" x14ac:dyDescent="0.2">
      <c r="A14">
        <v>4</v>
      </c>
      <c r="B14" s="32">
        <f t="shared" si="8"/>
        <v>1.6417573576495897E-2</v>
      </c>
      <c r="C14" s="32">
        <f t="shared" si="9"/>
        <v>0.93257511870650411</v>
      </c>
      <c r="D14" s="32">
        <f t="shared" si="0"/>
        <v>0.7888142396282265</v>
      </c>
      <c r="E14" s="33">
        <f t="shared" si="1"/>
        <v>0.73562853315867416</v>
      </c>
      <c r="F14">
        <f t="shared" si="2"/>
        <v>8.2087867882479487E-3</v>
      </c>
      <c r="G14">
        <f t="shared" si="3"/>
        <v>0.81255524711478966</v>
      </c>
      <c r="H14">
        <f t="shared" si="4"/>
        <v>6.6700927772374323E-3</v>
      </c>
      <c r="I14" s="33">
        <f t="shared" si="5"/>
        <v>1.2313180182371923E-2</v>
      </c>
      <c r="J14" s="31">
        <f t="shared" si="6"/>
        <v>0.81255524711478966</v>
      </c>
      <c r="K14">
        <f t="shared" si="7"/>
        <v>1.0005139165856148E-2</v>
      </c>
    </row>
    <row r="15" spans="1:11" x14ac:dyDescent="0.2">
      <c r="A15">
        <v>5</v>
      </c>
      <c r="B15" s="32">
        <f t="shared" si="8"/>
        <v>1.613354955362252E-2</v>
      </c>
      <c r="C15" s="32">
        <f t="shared" si="9"/>
        <v>0.91644156915288155</v>
      </c>
      <c r="D15" s="32">
        <f t="shared" si="0"/>
        <v>0.74339293151279473</v>
      </c>
      <c r="E15" s="33">
        <f t="shared" si="1"/>
        <v>0.6812761846527462</v>
      </c>
      <c r="F15">
        <f t="shared" si="2"/>
        <v>8.0667747768112599E-3</v>
      </c>
      <c r="G15">
        <f t="shared" si="3"/>
        <v>0.76576689012797083</v>
      </c>
      <c r="H15">
        <f t="shared" si="4"/>
        <v>6.1772690342015149E-3</v>
      </c>
      <c r="I15" s="33">
        <f t="shared" si="5"/>
        <v>1.210016216521689E-2</v>
      </c>
      <c r="J15" s="31">
        <f t="shared" si="6"/>
        <v>0.76576689012797083</v>
      </c>
      <c r="K15">
        <f t="shared" si="7"/>
        <v>9.2659035513022719E-3</v>
      </c>
    </row>
    <row r="16" spans="1:11" x14ac:dyDescent="0.2">
      <c r="A16">
        <v>6</v>
      </c>
      <c r="B16" s="32">
        <f t="shared" si="8"/>
        <v>1.5854439146344851E-2</v>
      </c>
      <c r="C16" s="32">
        <f t="shared" si="9"/>
        <v>0.90058713000653667</v>
      </c>
      <c r="D16" s="32">
        <f t="shared" si="0"/>
        <v>0.70058706202317855</v>
      </c>
      <c r="E16" s="33">
        <f t="shared" si="1"/>
        <v>0.63093969150716589</v>
      </c>
      <c r="F16">
        <f t="shared" si="2"/>
        <v>7.9272195731724254E-3</v>
      </c>
      <c r="G16">
        <f t="shared" si="3"/>
        <v>0.72167268883985558</v>
      </c>
      <c r="H16">
        <f t="shared" si="4"/>
        <v>5.7208578643952769E-3</v>
      </c>
      <c r="I16" s="33">
        <f t="shared" si="5"/>
        <v>1.1890829359758638E-2</v>
      </c>
      <c r="J16" s="31">
        <f t="shared" si="6"/>
        <v>0.72167268883985558</v>
      </c>
      <c r="K16">
        <f t="shared" si="7"/>
        <v>8.5812867965929154E-3</v>
      </c>
    </row>
    <row r="18" spans="1:11" x14ac:dyDescent="0.2">
      <c r="E18" s="34">
        <f>SUM(E11:E16)</f>
        <v>4.6259638412743396</v>
      </c>
      <c r="H18" s="34">
        <f>SUM(H11:H16)</f>
        <v>4.1944550292192087E-2</v>
      </c>
      <c r="K18" s="34">
        <f>SUM(K11:K16)</f>
        <v>6.2916825438288124E-2</v>
      </c>
    </row>
    <row r="20" spans="1:11" x14ac:dyDescent="0.2">
      <c r="A20" t="s">
        <v>32</v>
      </c>
      <c r="B20" s="34">
        <f>K18</f>
        <v>6.2916825438288124E-2</v>
      </c>
    </row>
    <row r="21" spans="1:11" x14ac:dyDescent="0.2">
      <c r="A21" t="s">
        <v>31</v>
      </c>
      <c r="B21" s="36">
        <f>E18+H18</f>
        <v>4.6679083915665318</v>
      </c>
    </row>
    <row r="23" spans="1:11" x14ac:dyDescent="0.2">
      <c r="A23" t="s">
        <v>15</v>
      </c>
      <c r="B23">
        <f>B20/B21</f>
        <v>1.3478590443625541E-2</v>
      </c>
    </row>
    <row r="24" spans="1:11" x14ac:dyDescent="0.2">
      <c r="A24" t="s">
        <v>33</v>
      </c>
      <c r="B24">
        <f>B23*10000</f>
        <v>134.78590443625541</v>
      </c>
    </row>
    <row r="27" spans="1:11" x14ac:dyDescent="0.2">
      <c r="A27" t="s">
        <v>34</v>
      </c>
      <c r="B27" s="35">
        <f>B24/10000*B21-B20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CD80-6A51-1E40-9CF4-3DE67A26F95F}">
  <dimension ref="B1:T11"/>
  <sheetViews>
    <sheetView zoomScale="150" workbookViewId="0">
      <selection sqref="A1:T17"/>
    </sheetView>
  </sheetViews>
  <sheetFormatPr baseColWidth="10" defaultRowHeight="16" x14ac:dyDescent="0.2"/>
  <cols>
    <col min="2" max="2" width="14.33203125" bestFit="1" customWidth="1"/>
    <col min="5" max="5" width="4.33203125" customWidth="1"/>
    <col min="8" max="8" width="5.1640625" customWidth="1"/>
    <col min="13" max="13" width="4.5" customWidth="1"/>
    <col min="15" max="15" width="18" bestFit="1" customWidth="1"/>
    <col min="17" max="17" width="16" bestFit="1" customWidth="1"/>
    <col min="18" max="18" width="15.6640625" bestFit="1" customWidth="1"/>
  </cols>
  <sheetData>
    <row r="1" spans="2:20" x14ac:dyDescent="0.2">
      <c r="B1" t="s">
        <v>43</v>
      </c>
      <c r="C1">
        <v>0.01</v>
      </c>
    </row>
    <row r="2" spans="2:20" x14ac:dyDescent="0.2">
      <c r="B2" t="s">
        <v>6</v>
      </c>
      <c r="C2">
        <v>0.4</v>
      </c>
    </row>
    <row r="3" spans="2:20" x14ac:dyDescent="0.2">
      <c r="B3" t="s">
        <v>35</v>
      </c>
      <c r="C3">
        <v>0.05</v>
      </c>
    </row>
    <row r="5" spans="2:20" x14ac:dyDescent="0.2">
      <c r="B5" t="s">
        <v>39</v>
      </c>
      <c r="F5" t="s">
        <v>40</v>
      </c>
      <c r="I5" t="s">
        <v>44</v>
      </c>
      <c r="N5" t="s">
        <v>50</v>
      </c>
      <c r="Q5" t="s">
        <v>54</v>
      </c>
      <c r="T5" t="s">
        <v>57</v>
      </c>
    </row>
    <row r="6" spans="2:20" x14ac:dyDescent="0.2">
      <c r="B6" t="s">
        <v>38</v>
      </c>
      <c r="C6" t="s">
        <v>36</v>
      </c>
      <c r="D6" t="s">
        <v>37</v>
      </c>
      <c r="F6" t="s">
        <v>41</v>
      </c>
      <c r="G6" t="s">
        <v>48</v>
      </c>
      <c r="I6" t="s">
        <v>45</v>
      </c>
      <c r="J6" t="s">
        <v>46</v>
      </c>
      <c r="K6" t="s">
        <v>47</v>
      </c>
      <c r="L6" t="s">
        <v>49</v>
      </c>
      <c r="N6" t="s">
        <v>52</v>
      </c>
      <c r="O6" t="s">
        <v>53</v>
      </c>
      <c r="P6" t="s">
        <v>51</v>
      </c>
      <c r="Q6" t="s">
        <v>55</v>
      </c>
      <c r="R6" t="s">
        <v>56</v>
      </c>
      <c r="T6">
        <f>R7/P7</f>
        <v>5.9999968750019212E-3</v>
      </c>
    </row>
    <row r="7" spans="2:20" x14ac:dyDescent="0.2">
      <c r="B7">
        <v>0</v>
      </c>
      <c r="L7">
        <f>EXP(-K7)</f>
        <v>1</v>
      </c>
      <c r="P7">
        <f>SUM(N8:N21)+SUM(O8:O21)</f>
        <v>0.96453554094045302</v>
      </c>
      <c r="R7">
        <f>(1-C2)*SUM(Q8:Q11)</f>
        <v>5.7872102314710057E-3</v>
      </c>
    </row>
    <row r="8" spans="2:20" x14ac:dyDescent="0.2">
      <c r="B8">
        <v>1</v>
      </c>
      <c r="C8">
        <v>0.25</v>
      </c>
      <c r="D8">
        <f>C8-C7</f>
        <v>0.25</v>
      </c>
      <c r="F8">
        <f>$C$3</f>
        <v>0.05</v>
      </c>
      <c r="G8">
        <f>EXP(-F8*C8)</f>
        <v>0.98757780049388144</v>
      </c>
      <c r="I8">
        <f>$C$1</f>
        <v>0.01</v>
      </c>
      <c r="J8">
        <f>I8*D8</f>
        <v>2.5000000000000001E-3</v>
      </c>
      <c r="K8">
        <f>K7+J8</f>
        <v>2.5000000000000001E-3</v>
      </c>
      <c r="L8">
        <f t="shared" ref="L8:L11" si="0">EXP(-K8)</f>
        <v>0.99750312239746008</v>
      </c>
      <c r="N8">
        <f t="shared" ref="N8:N11" si="1">G8*L8*D8</f>
        <v>0.24627798490076566</v>
      </c>
      <c r="O8">
        <f t="shared" ref="O8:O10" si="2">G8*(L7-L8)*D8/2</f>
        <v>3.0823261135235066E-4</v>
      </c>
      <c r="Q8">
        <f>G8*(L7-L8)</f>
        <v>2.4658608908188053E-3</v>
      </c>
    </row>
    <row r="9" spans="2:20" x14ac:dyDescent="0.2">
      <c r="B9">
        <v>2</v>
      </c>
      <c r="C9">
        <v>0.5</v>
      </c>
      <c r="D9">
        <f>C9-C8</f>
        <v>0.25</v>
      </c>
      <c r="F9">
        <f t="shared" ref="F9:F11" si="3">$C$3</f>
        <v>0.05</v>
      </c>
      <c r="G9">
        <f t="shared" ref="G9:G11" si="4">EXP(-F9*C9)</f>
        <v>0.97530991202833262</v>
      </c>
      <c r="I9">
        <f t="shared" ref="I9:I11" si="5">$C$1</f>
        <v>0.01</v>
      </c>
      <c r="J9">
        <f t="shared" ref="J9:J11" si="6">I9*D9</f>
        <v>2.5000000000000001E-3</v>
      </c>
      <c r="K9">
        <f t="shared" ref="K9:K11" si="7">K8+J9</f>
        <v>5.0000000000000001E-3</v>
      </c>
      <c r="L9">
        <f t="shared" si="0"/>
        <v>0.99501247919268232</v>
      </c>
      <c r="N9">
        <f t="shared" si="1"/>
        <v>0.24261138338712704</v>
      </c>
      <c r="O9">
        <f t="shared" si="2"/>
        <v>3.0364362561822078E-4</v>
      </c>
      <c r="Q9">
        <f t="shared" ref="Q9:Q11" si="8">G9*(L8-L9)</f>
        <v>2.4291490049457663E-3</v>
      </c>
    </row>
    <row r="10" spans="2:20" x14ac:dyDescent="0.2">
      <c r="B10">
        <v>3</v>
      </c>
      <c r="C10">
        <v>0.75</v>
      </c>
      <c r="D10">
        <f t="shared" ref="D10:D11" si="9">C10-C9</f>
        <v>0.25</v>
      </c>
      <c r="F10">
        <f t="shared" si="3"/>
        <v>0.05</v>
      </c>
      <c r="G10">
        <f t="shared" si="4"/>
        <v>0.96319441772082182</v>
      </c>
      <c r="I10">
        <f t="shared" si="5"/>
        <v>0.01</v>
      </c>
      <c r="J10">
        <f t="shared" si="6"/>
        <v>2.5000000000000001E-3</v>
      </c>
      <c r="K10">
        <f t="shared" si="7"/>
        <v>7.4999999999999997E-3</v>
      </c>
      <c r="L10">
        <f t="shared" si="0"/>
        <v>0.99252805481913842</v>
      </c>
      <c r="N10">
        <f t="shared" si="1"/>
        <v>0.23899937045827499</v>
      </c>
      <c r="O10">
        <f t="shared" si="2"/>
        <v>2.9912296098087964E-4</v>
      </c>
      <c r="Q10">
        <f t="shared" si="8"/>
        <v>2.3929836878470371E-3</v>
      </c>
    </row>
    <row r="11" spans="2:20" x14ac:dyDescent="0.2">
      <c r="B11">
        <v>4</v>
      </c>
      <c r="C11">
        <v>1</v>
      </c>
      <c r="D11">
        <f t="shared" si="9"/>
        <v>0.25</v>
      </c>
      <c r="F11">
        <f t="shared" si="3"/>
        <v>0.05</v>
      </c>
      <c r="G11">
        <f t="shared" si="4"/>
        <v>0.95122942450071402</v>
      </c>
      <c r="I11">
        <f t="shared" si="5"/>
        <v>0.01</v>
      </c>
      <c r="J11">
        <f t="shared" si="6"/>
        <v>2.5000000000000001E-3</v>
      </c>
      <c r="K11">
        <f t="shared" si="7"/>
        <v>0.01</v>
      </c>
      <c r="L11">
        <f t="shared" si="0"/>
        <v>0.99004983374916811</v>
      </c>
      <c r="N11">
        <f t="shared" si="1"/>
        <v>0.23544113339606218</v>
      </c>
      <c r="O11">
        <f>G11*(L10-L11)*D11/2</f>
        <v>2.946696002716752E-4</v>
      </c>
      <c r="Q11">
        <f t="shared" si="8"/>
        <v>2.3573568021734016E-3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742B-8A1F-A445-A034-45782FA28574}">
  <dimension ref="B1:X16"/>
  <sheetViews>
    <sheetView zoomScale="185" workbookViewId="0">
      <selection activeCell="B3" sqref="B3:C3"/>
    </sheetView>
  </sheetViews>
  <sheetFormatPr baseColWidth="10" defaultColWidth="3" defaultRowHeight="16" x14ac:dyDescent="0.2"/>
  <cols>
    <col min="2" max="2" width="12.1640625" bestFit="1" customWidth="1"/>
    <col min="3" max="3" width="11.1640625" bestFit="1" customWidth="1"/>
    <col min="4" max="4" width="12.1640625" bestFit="1" customWidth="1"/>
    <col min="6" max="6" width="5.83203125" bestFit="1" customWidth="1"/>
    <col min="7" max="7" width="12.1640625" bestFit="1" customWidth="1"/>
    <col min="9" max="12" width="12.1640625" bestFit="1" customWidth="1"/>
    <col min="14" max="14" width="12.1640625" bestFit="1" customWidth="1"/>
    <col min="15" max="15" width="18" bestFit="1" customWidth="1"/>
    <col min="16" max="16" width="12.1640625" bestFit="1" customWidth="1"/>
    <col min="17" max="17" width="13.33203125" bestFit="1" customWidth="1"/>
    <col min="18" max="18" width="15.6640625" bestFit="1" customWidth="1"/>
    <col min="20" max="20" width="12.1640625" bestFit="1" customWidth="1"/>
    <col min="22" max="22" width="10.5" bestFit="1" customWidth="1"/>
    <col min="23" max="24" width="12.1640625" bestFit="1" customWidth="1"/>
  </cols>
  <sheetData>
    <row r="1" spans="2:24" x14ac:dyDescent="0.2">
      <c r="C1" t="s">
        <v>58</v>
      </c>
      <c r="D1" t="s">
        <v>59</v>
      </c>
      <c r="W1" t="s">
        <v>58</v>
      </c>
      <c r="X1" t="s">
        <v>59</v>
      </c>
    </row>
    <row r="2" spans="2:24" x14ac:dyDescent="0.2">
      <c r="B2" t="s">
        <v>60</v>
      </c>
      <c r="C2">
        <v>1.0000159659530399E-2</v>
      </c>
      <c r="D2">
        <v>1.9990856882736913E-2</v>
      </c>
      <c r="V2" t="s">
        <v>61</v>
      </c>
      <c r="W2">
        <v>6.0000000000000001E-3</v>
      </c>
      <c r="X2">
        <v>8.8999999999999999E-3</v>
      </c>
    </row>
    <row r="3" spans="2:24" x14ac:dyDescent="0.2">
      <c r="B3" t="s">
        <v>6</v>
      </c>
      <c r="C3">
        <v>0.4</v>
      </c>
      <c r="V3" t="s">
        <v>62</v>
      </c>
      <c r="W3">
        <f>ABS(W2-$T$7)</f>
        <v>2.9000024231585885E-3</v>
      </c>
      <c r="X3">
        <f>ABS(X2-$T$7)</f>
        <v>2.4231585887130036E-9</v>
      </c>
    </row>
    <row r="4" spans="2:24" x14ac:dyDescent="0.2">
      <c r="B4" t="s">
        <v>35</v>
      </c>
      <c r="C4">
        <v>0.05</v>
      </c>
    </row>
    <row r="5" spans="2:24" x14ac:dyDescent="0.2">
      <c r="W5" t="s">
        <v>58</v>
      </c>
      <c r="X5" t="s">
        <v>59</v>
      </c>
    </row>
    <row r="6" spans="2:24" x14ac:dyDescent="0.2">
      <c r="B6" t="s">
        <v>39</v>
      </c>
      <c r="F6" t="s">
        <v>40</v>
      </c>
      <c r="I6" t="s">
        <v>44</v>
      </c>
      <c r="N6" t="s">
        <v>50</v>
      </c>
      <c r="Q6" t="s">
        <v>54</v>
      </c>
      <c r="T6" t="s">
        <v>57</v>
      </c>
      <c r="V6" t="s">
        <v>60</v>
      </c>
      <c r="W6">
        <v>1.0000159659530399E-2</v>
      </c>
      <c r="X6">
        <v>1.9990856882736913E-2</v>
      </c>
    </row>
    <row r="7" spans="2:24" x14ac:dyDescent="0.2">
      <c r="B7" t="s">
        <v>38</v>
      </c>
      <c r="C7" t="s">
        <v>36</v>
      </c>
      <c r="D7" t="s">
        <v>37</v>
      </c>
      <c r="F7" t="s">
        <v>41</v>
      </c>
      <c r="G7" t="s">
        <v>48</v>
      </c>
      <c r="I7" t="s">
        <v>45</v>
      </c>
      <c r="J7" t="s">
        <v>46</v>
      </c>
      <c r="K7" t="s">
        <v>47</v>
      </c>
      <c r="L7" t="s">
        <v>49</v>
      </c>
      <c r="N7" t="s">
        <v>52</v>
      </c>
      <c r="O7" t="s">
        <v>53</v>
      </c>
      <c r="P7" t="s">
        <v>51</v>
      </c>
      <c r="Q7" t="s">
        <v>55</v>
      </c>
      <c r="R7" t="s">
        <v>56</v>
      </c>
      <c r="T7">
        <f>R8/P8</f>
        <v>8.9000024231585886E-3</v>
      </c>
    </row>
    <row r="8" spans="2:24" x14ac:dyDescent="0.2">
      <c r="B8">
        <v>0</v>
      </c>
      <c r="L8">
        <f>EXP(-K8)</f>
        <v>1</v>
      </c>
      <c r="P8">
        <f>SUM(N9:N22)+SUM(O9:O22)</f>
        <v>1.8684222914984208</v>
      </c>
      <c r="R8">
        <f>(1-C3)*SUM(Q9:Q16)</f>
        <v>1.6628962921819469E-2</v>
      </c>
    </row>
    <row r="9" spans="2:24" x14ac:dyDescent="0.2">
      <c r="B9">
        <v>1</v>
      </c>
      <c r="C9">
        <v>0.25</v>
      </c>
      <c r="D9">
        <f>C9-C8</f>
        <v>0.25</v>
      </c>
      <c r="F9">
        <f>$C$4</f>
        <v>0.05</v>
      </c>
      <c r="G9">
        <f>EXP(-F9*C9)</f>
        <v>0.98757780049388144</v>
      </c>
      <c r="I9">
        <f>$C$2</f>
        <v>1.0000159659530399E-2</v>
      </c>
      <c r="J9">
        <f>I9*D9</f>
        <v>2.5000399148825997E-3</v>
      </c>
      <c r="K9">
        <f>K8+J9</f>
        <v>2.5000399148825997E-3</v>
      </c>
      <c r="L9">
        <f t="shared" ref="L9:L16" si="0">EXP(-K9)</f>
        <v>0.99750308258224085</v>
      </c>
      <c r="N9">
        <f t="shared" ref="N9:N12" si="1">G9*L9*D9</f>
        <v>0.246277975070609</v>
      </c>
      <c r="O9">
        <f t="shared" ref="O9:O11" si="2">G9*(L8-L9)*D9/2</f>
        <v>3.0823752643068019E-4</v>
      </c>
      <c r="Q9">
        <f>G9*(L8-L9)</f>
        <v>2.4659002114454415E-3</v>
      </c>
    </row>
    <row r="10" spans="2:24" x14ac:dyDescent="0.2">
      <c r="B10">
        <v>2</v>
      </c>
      <c r="C10">
        <v>0.5</v>
      </c>
      <c r="D10">
        <f>C10-C9</f>
        <v>0.25</v>
      </c>
      <c r="F10">
        <f t="shared" ref="F10:F16" si="3">$C$4</f>
        <v>0.05</v>
      </c>
      <c r="G10">
        <f t="shared" ref="G10:G12" si="4">EXP(-F10*C10)</f>
        <v>0.97530991202833262</v>
      </c>
      <c r="I10">
        <f t="shared" ref="I10:I13" si="5">$C$2</f>
        <v>1.0000159659530399E-2</v>
      </c>
      <c r="J10">
        <f t="shared" ref="J10:J12" si="6">I10*D10</f>
        <v>2.5000399148825997E-3</v>
      </c>
      <c r="K10">
        <f t="shared" ref="K10:K12" si="7">K9+J10</f>
        <v>5.0000798297651994E-3</v>
      </c>
      <c r="L10">
        <f t="shared" si="0"/>
        <v>0.99501239976107292</v>
      </c>
      <c r="N10">
        <f t="shared" si="1"/>
        <v>0.24261136401951805</v>
      </c>
      <c r="O10">
        <f t="shared" si="2"/>
        <v>3.0364845540047206E-4</v>
      </c>
      <c r="Q10">
        <f t="shared" ref="Q10:Q12" si="8">G10*(L9-L10)</f>
        <v>2.4291876432037765E-3</v>
      </c>
    </row>
    <row r="11" spans="2:24" x14ac:dyDescent="0.2">
      <c r="B11">
        <v>3</v>
      </c>
      <c r="C11">
        <v>0.75</v>
      </c>
      <c r="D11">
        <f t="shared" ref="D11:D16" si="9">C11-C10</f>
        <v>0.25</v>
      </c>
      <c r="F11">
        <f t="shared" si="3"/>
        <v>0.05</v>
      </c>
      <c r="G11">
        <f t="shared" si="4"/>
        <v>0.96319441772082182</v>
      </c>
      <c r="I11">
        <f t="shared" si="5"/>
        <v>1.0000159659530399E-2</v>
      </c>
      <c r="J11">
        <f t="shared" si="6"/>
        <v>2.5000399148825997E-3</v>
      </c>
      <c r="K11">
        <f t="shared" si="7"/>
        <v>7.5001197446477996E-3</v>
      </c>
      <c r="L11">
        <f t="shared" si="0"/>
        <v>0.99252793596922317</v>
      </c>
      <c r="N11">
        <f t="shared" si="1"/>
        <v>0.23899934183938126</v>
      </c>
      <c r="O11">
        <f t="shared" si="2"/>
        <v>2.991277069173975E-4</v>
      </c>
      <c r="Q11">
        <f t="shared" si="8"/>
        <v>2.39302165533918E-3</v>
      </c>
    </row>
    <row r="12" spans="2:24" x14ac:dyDescent="0.2">
      <c r="B12">
        <v>4</v>
      </c>
      <c r="C12">
        <v>1</v>
      </c>
      <c r="D12">
        <f t="shared" si="9"/>
        <v>0.25</v>
      </c>
      <c r="F12">
        <f t="shared" si="3"/>
        <v>0.05</v>
      </c>
      <c r="G12">
        <f t="shared" si="4"/>
        <v>0.95122942450071402</v>
      </c>
      <c r="I12">
        <f t="shared" si="5"/>
        <v>1.0000159659530399E-2</v>
      </c>
      <c r="J12">
        <f t="shared" si="6"/>
        <v>2.5000399148825997E-3</v>
      </c>
      <c r="K12">
        <f t="shared" si="7"/>
        <v>1.0000159659530399E-2</v>
      </c>
      <c r="L12">
        <f t="shared" si="0"/>
        <v>0.99004967567828916</v>
      </c>
      <c r="N12">
        <f t="shared" si="1"/>
        <v>0.2354410958056444</v>
      </c>
      <c r="O12">
        <f>G12*(L11-L12)*D12/2</f>
        <v>2.9467426378851618E-4</v>
      </c>
      <c r="Q12">
        <f t="shared" si="8"/>
        <v>2.3573941103081295E-3</v>
      </c>
    </row>
    <row r="13" spans="2:24" x14ac:dyDescent="0.2">
      <c r="B13">
        <v>5</v>
      </c>
      <c r="C13">
        <v>1.25</v>
      </c>
      <c r="D13">
        <f t="shared" si="9"/>
        <v>0.25</v>
      </c>
      <c r="F13">
        <f t="shared" si="3"/>
        <v>0.05</v>
      </c>
      <c r="G13">
        <f t="shared" ref="G13:G16" si="10">EXP(-F13*C13)</f>
        <v>0.93941306281347581</v>
      </c>
      <c r="I13">
        <f>$D$2</f>
        <v>1.9990856882736913E-2</v>
      </c>
      <c r="J13">
        <f t="shared" ref="J13:J16" si="11">I13*D13</f>
        <v>4.9977142206842282E-3</v>
      </c>
      <c r="K13">
        <f t="shared" ref="K13:K16" si="12">K12+J13</f>
        <v>1.4997873880214627E-2</v>
      </c>
      <c r="L13">
        <f t="shared" si="0"/>
        <v>0.98511403407127485</v>
      </c>
      <c r="N13">
        <f t="shared" ref="N13:N16" si="13">G13*L13*D13</f>
        <v>0.23135724799185878</v>
      </c>
      <c r="O13">
        <f t="shared" ref="O13:O16" si="14">G13*(L12-L13)*D13/2</f>
        <v>5.7957577487436826E-4</v>
      </c>
      <c r="Q13">
        <f t="shared" ref="Q13:Q16" si="15">G13*(L12-L13)</f>
        <v>4.6366061989949461E-3</v>
      </c>
    </row>
    <row r="14" spans="2:24" x14ac:dyDescent="0.2">
      <c r="B14">
        <v>6</v>
      </c>
      <c r="C14">
        <v>1.5</v>
      </c>
      <c r="D14">
        <f t="shared" si="9"/>
        <v>0.25</v>
      </c>
      <c r="F14">
        <f t="shared" si="3"/>
        <v>0.05</v>
      </c>
      <c r="G14">
        <f t="shared" si="10"/>
        <v>0.92774348632855286</v>
      </c>
      <c r="I14">
        <f t="shared" ref="I14:I16" si="16">$D$2</f>
        <v>1.9990856882736913E-2</v>
      </c>
      <c r="J14">
        <f t="shared" si="11"/>
        <v>4.9977142206842282E-3</v>
      </c>
      <c r="K14">
        <f t="shared" si="12"/>
        <v>1.9995588100898853E-2</v>
      </c>
      <c r="L14">
        <f t="shared" si="0"/>
        <v>0.98020299785394072</v>
      </c>
      <c r="N14">
        <f t="shared" si="13"/>
        <v>0.22734423663467848</v>
      </c>
      <c r="O14">
        <f t="shared" si="14"/>
        <v>5.6952273271941936E-4</v>
      </c>
      <c r="Q14">
        <f t="shared" si="15"/>
        <v>4.5561818617553549E-3</v>
      </c>
    </row>
    <row r="15" spans="2:24" x14ac:dyDescent="0.2">
      <c r="B15">
        <v>7</v>
      </c>
      <c r="C15">
        <v>1.75</v>
      </c>
      <c r="D15">
        <f t="shared" si="9"/>
        <v>0.25</v>
      </c>
      <c r="F15">
        <f t="shared" si="3"/>
        <v>0.05</v>
      </c>
      <c r="G15">
        <f t="shared" si="10"/>
        <v>0.91621887165087756</v>
      </c>
      <c r="I15">
        <f t="shared" si="16"/>
        <v>1.9990856882736913E-2</v>
      </c>
      <c r="J15">
        <f t="shared" si="11"/>
        <v>4.9977142206842282E-3</v>
      </c>
      <c r="K15">
        <f t="shared" si="12"/>
        <v>2.4993302321583082E-2</v>
      </c>
      <c r="L15">
        <f t="shared" si="0"/>
        <v>0.97531644436235598</v>
      </c>
      <c r="N15">
        <f t="shared" si="13"/>
        <v>0.22340083303905592</v>
      </c>
      <c r="O15">
        <f t="shared" si="14"/>
        <v>5.5964406579017754E-4</v>
      </c>
      <c r="Q15">
        <f t="shared" si="15"/>
        <v>4.4771525263214203E-3</v>
      </c>
    </row>
    <row r="16" spans="2:24" x14ac:dyDescent="0.2">
      <c r="B16">
        <v>8</v>
      </c>
      <c r="C16">
        <v>2</v>
      </c>
      <c r="D16">
        <f t="shared" si="9"/>
        <v>0.25</v>
      </c>
      <c r="F16">
        <f t="shared" si="3"/>
        <v>0.05</v>
      </c>
      <c r="G16">
        <f t="shared" si="10"/>
        <v>0.90483741803595952</v>
      </c>
      <c r="I16">
        <f t="shared" si="16"/>
        <v>1.9990856882736913E-2</v>
      </c>
      <c r="J16">
        <f t="shared" si="11"/>
        <v>4.9977142206842282E-3</v>
      </c>
      <c r="K16">
        <f t="shared" si="12"/>
        <v>2.999101654226731E-2</v>
      </c>
      <c r="L16">
        <f t="shared" si="0"/>
        <v>0.97045425154409948</v>
      </c>
      <c r="N16">
        <f t="shared" si="13"/>
        <v>0.21952582982229563</v>
      </c>
      <c r="O16">
        <f t="shared" si="14"/>
        <v>5.4993674945802526E-4</v>
      </c>
      <c r="Q16">
        <f t="shared" si="15"/>
        <v>4.3994939956642021E-3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F7BD-EDD0-FB4E-94C5-F6AADCBFDA80}">
  <dimension ref="B1:Z52"/>
  <sheetViews>
    <sheetView zoomScale="176" workbookViewId="0">
      <selection activeCell="B4" sqref="B4:C9"/>
    </sheetView>
  </sheetViews>
  <sheetFormatPr baseColWidth="10" defaultRowHeight="16" x14ac:dyDescent="0.2"/>
  <cols>
    <col min="2" max="2" width="13.6640625" bestFit="1" customWidth="1"/>
    <col min="4" max="4" width="14.6640625" bestFit="1" customWidth="1"/>
    <col min="5" max="5" width="14.6640625" customWidth="1"/>
    <col min="21" max="21" width="18" bestFit="1" customWidth="1"/>
    <col min="22" max="22" width="12.33203125" bestFit="1" customWidth="1"/>
    <col min="23" max="23" width="13.33203125" bestFit="1" customWidth="1"/>
    <col min="24" max="24" width="15.6640625" bestFit="1" customWidth="1"/>
  </cols>
  <sheetData>
    <row r="1" spans="2:26" x14ac:dyDescent="0.2">
      <c r="H1" t="s">
        <v>65</v>
      </c>
      <c r="I1">
        <v>1</v>
      </c>
    </row>
    <row r="2" spans="2:26" x14ac:dyDescent="0.2">
      <c r="B2" t="s">
        <v>6</v>
      </c>
      <c r="C2">
        <v>0.4</v>
      </c>
      <c r="H2" t="s">
        <v>66</v>
      </c>
      <c r="I2">
        <v>0.25</v>
      </c>
    </row>
    <row r="4" spans="2:26" x14ac:dyDescent="0.2">
      <c r="B4" t="s">
        <v>64</v>
      </c>
      <c r="C4" t="s">
        <v>61</v>
      </c>
      <c r="D4" t="s">
        <v>67</v>
      </c>
      <c r="E4" t="s">
        <v>69</v>
      </c>
      <c r="F4" t="s">
        <v>68</v>
      </c>
      <c r="I4" t="s">
        <v>39</v>
      </c>
      <c r="O4" t="s">
        <v>44</v>
      </c>
      <c r="T4" t="s">
        <v>50</v>
      </c>
      <c r="W4" t="s">
        <v>54</v>
      </c>
    </row>
    <row r="5" spans="2:26" x14ac:dyDescent="0.2">
      <c r="B5">
        <v>1</v>
      </c>
      <c r="C5">
        <v>52.715000000000003</v>
      </c>
      <c r="D5">
        <f>Z6*10000</f>
        <v>52.714893892956496</v>
      </c>
      <c r="E5">
        <f>(C5-D5)^2</f>
        <v>1.125870468181947E-8</v>
      </c>
      <c r="F5">
        <v>8.78581918102651E-3</v>
      </c>
      <c r="I5" t="s">
        <v>38</v>
      </c>
      <c r="J5" t="s">
        <v>36</v>
      </c>
      <c r="K5" t="s">
        <v>37</v>
      </c>
      <c r="M5" t="s">
        <v>48</v>
      </c>
      <c r="O5" t="s">
        <v>45</v>
      </c>
      <c r="P5" t="s">
        <v>46</v>
      </c>
      <c r="Q5" t="s">
        <v>47</v>
      </c>
      <c r="R5" t="s">
        <v>49</v>
      </c>
      <c r="T5" t="s">
        <v>52</v>
      </c>
      <c r="U5" t="s">
        <v>53</v>
      </c>
      <c r="V5" t="s">
        <v>51</v>
      </c>
      <c r="W5" t="s">
        <v>55</v>
      </c>
      <c r="X5" t="s">
        <v>56</v>
      </c>
      <c r="Z5" t="s">
        <v>57</v>
      </c>
    </row>
    <row r="6" spans="2:26" x14ac:dyDescent="0.2">
      <c r="B6">
        <v>3</v>
      </c>
      <c r="C6">
        <v>113.47</v>
      </c>
      <c r="D6">
        <f>Z10*10000</f>
        <v>113.47199460278441</v>
      </c>
      <c r="E6">
        <f>(C6-D6)^2</f>
        <v>3.9784402675645834E-6</v>
      </c>
      <c r="F6">
        <v>1.2647868957759639E-2</v>
      </c>
      <c r="I6">
        <v>0</v>
      </c>
      <c r="R6">
        <f>EXP(-Q6)</f>
        <v>1</v>
      </c>
      <c r="V6">
        <f>SUM(T7:T10)+SUM(U7:U10)</f>
        <v>0.99555922447029999</v>
      </c>
      <c r="X6">
        <f>(1-C2)*SUM(W7:W10)</f>
        <v>5.248079888210592E-3</v>
      </c>
      <c r="Z6">
        <f>X6/V6</f>
        <v>5.2714893892956494E-3</v>
      </c>
    </row>
    <row r="7" spans="2:26" x14ac:dyDescent="0.2">
      <c r="B7">
        <v>5</v>
      </c>
      <c r="C7">
        <v>176.32</v>
      </c>
      <c r="D7">
        <f>Z18*10000</f>
        <v>176.31843036720363</v>
      </c>
      <c r="E7">
        <f t="shared" ref="E7:E9" si="0">(C7-D7)^2</f>
        <v>2.463747115412116E-6</v>
      </c>
      <c r="F7">
        <v>2.75388846564152E-2</v>
      </c>
      <c r="I7">
        <f>I6+$I$1</f>
        <v>1</v>
      </c>
      <c r="J7">
        <f>J6+$I$2</f>
        <v>0.25</v>
      </c>
      <c r="K7">
        <f>J7-J6</f>
        <v>0.25</v>
      </c>
      <c r="M7">
        <f>C13</f>
        <v>1.0002600676175806</v>
      </c>
      <c r="O7">
        <f>$F$5</f>
        <v>8.78581918102651E-3</v>
      </c>
      <c r="P7">
        <f>O7*K7</f>
        <v>2.1964547952566275E-3</v>
      </c>
      <c r="Q7">
        <f>Q6+P7</f>
        <v>2.1964547952566275E-3</v>
      </c>
      <c r="R7">
        <f t="shared" ref="R7:R46" si="1">EXP(-Q7)</f>
        <v>0.99780595564644547</v>
      </c>
      <c r="T7">
        <f>M7*R7*K7</f>
        <v>0.24951636316603454</v>
      </c>
      <c r="U7">
        <f>M7*(R6-R7)*K7/2</f>
        <v>2.7432686918030252E-4</v>
      </c>
      <c r="W7">
        <f>M7*(R6-R7)</f>
        <v>2.1946149534424202E-3</v>
      </c>
    </row>
    <row r="8" spans="2:26" x14ac:dyDescent="0.2">
      <c r="B8">
        <v>7</v>
      </c>
      <c r="C8">
        <v>220.5</v>
      </c>
      <c r="D8">
        <f>Z26*10000</f>
        <v>220.49822457673861</v>
      </c>
      <c r="E8">
        <f t="shared" si="0"/>
        <v>3.1521277570934443E-6</v>
      </c>
      <c r="F8">
        <v>3.437143522267077E-2</v>
      </c>
      <c r="I8">
        <f t="shared" ref="I8:I37" si="2">I7+$I$1</f>
        <v>2</v>
      </c>
      <c r="J8">
        <f t="shared" ref="J8:J37" si="3">J7+$I$2</f>
        <v>0.5</v>
      </c>
      <c r="K8">
        <f t="shared" ref="K8:K46" si="4">J8-J7</f>
        <v>0.25</v>
      </c>
      <c r="M8">
        <f t="shared" ref="M8:M46" si="5">C14</f>
        <v>1.0001650272294929</v>
      </c>
      <c r="O8">
        <f t="shared" ref="O8:O10" si="6">$F$5</f>
        <v>8.78581918102651E-3</v>
      </c>
      <c r="P8">
        <f>O8*K8</f>
        <v>2.1964547952566275E-3</v>
      </c>
      <c r="Q8">
        <f t="shared" ref="Q8:Q14" si="7">Q7+P8</f>
        <v>4.392909590513255E-3</v>
      </c>
      <c r="R8">
        <f t="shared" si="1"/>
        <v>0.99561672512351629</v>
      </c>
      <c r="T8">
        <f>M8*R8*K8</f>
        <v>0.24894525724832503</v>
      </c>
      <c r="U8">
        <f>M8*(R7-R8)*K8/2</f>
        <v>2.7369897569713833E-4</v>
      </c>
      <c r="W8">
        <f t="shared" ref="W8:W46" si="8">M8*(R7-R8)</f>
        <v>2.1895918055771066E-3</v>
      </c>
    </row>
    <row r="9" spans="2:26" ht="17" thickBot="1" x14ac:dyDescent="0.25">
      <c r="B9">
        <v>10</v>
      </c>
      <c r="C9">
        <v>243.04</v>
      </c>
      <c r="D9">
        <f>Z34*10000</f>
        <v>243.03921475782829</v>
      </c>
      <c r="E9">
        <f t="shared" si="0"/>
        <v>6.1660526821901996E-7</v>
      </c>
      <c r="F9">
        <v>3.0714063305518874E-2</v>
      </c>
      <c r="I9">
        <f t="shared" si="2"/>
        <v>3</v>
      </c>
      <c r="J9">
        <f t="shared" si="3"/>
        <v>0.75</v>
      </c>
      <c r="K9">
        <f t="shared" si="4"/>
        <v>0.25</v>
      </c>
      <c r="M9">
        <f t="shared" si="5"/>
        <v>0.99990624664760019</v>
      </c>
      <c r="O9">
        <f t="shared" si="6"/>
        <v>8.78581918102651E-3</v>
      </c>
      <c r="P9">
        <f>O9*K9</f>
        <v>2.1964547952566275E-3</v>
      </c>
      <c r="Q9">
        <f t="shared" si="7"/>
        <v>6.5893643857698825E-3</v>
      </c>
      <c r="R9">
        <f t="shared" si="1"/>
        <v>0.99343229786945453</v>
      </c>
      <c r="T9">
        <f>M9*R9*K9</f>
        <v>0.24833479006528675</v>
      </c>
      <c r="U9">
        <f>M9*(R8-R9)*K9/2</f>
        <v>2.730278070854523E-4</v>
      </c>
      <c r="W9">
        <f t="shared" si="8"/>
        <v>2.1842224566836184E-3</v>
      </c>
    </row>
    <row r="10" spans="2:26" s="37" customFormat="1" ht="17" thickBot="1" x14ac:dyDescent="0.25">
      <c r="D10" s="38" t="s">
        <v>70</v>
      </c>
      <c r="E10" s="39">
        <f>SUM(E5:E9)</f>
        <v>1.0222179112970982E-5</v>
      </c>
      <c r="I10" s="37">
        <f t="shared" si="2"/>
        <v>4</v>
      </c>
      <c r="J10" s="37">
        <f t="shared" si="3"/>
        <v>1</v>
      </c>
      <c r="K10" s="37">
        <f t="shared" si="4"/>
        <v>0.25</v>
      </c>
      <c r="M10" s="37">
        <f t="shared" si="5"/>
        <v>0.99942012030720562</v>
      </c>
      <c r="O10" s="37">
        <f t="shared" si="6"/>
        <v>8.78581918102651E-3</v>
      </c>
      <c r="P10" s="37">
        <f>O10*K10</f>
        <v>2.1964547952566275E-3</v>
      </c>
      <c r="Q10" s="37">
        <f t="shared" si="7"/>
        <v>8.78581918102651E-3</v>
      </c>
      <c r="R10" s="37">
        <f t="shared" si="1"/>
        <v>0.9912526633456753</v>
      </c>
      <c r="T10" s="37">
        <f>M10*R10*K10</f>
        <v>0.24766946401394319</v>
      </c>
      <c r="U10" s="37">
        <f>M10*(R9-R10)*K10/2</f>
        <v>2.7229632474764685E-4</v>
      </c>
      <c r="V10" s="37">
        <f>SUM(T6:T18)+SUM(U6:U18)</f>
        <v>2.9561110370277857</v>
      </c>
      <c r="W10" s="37">
        <f t="shared" si="8"/>
        <v>2.1783705979811748E-3</v>
      </c>
      <c r="X10" s="37">
        <f>SUM(W6:W18)</f>
        <v>3.3543581563884831E-2</v>
      </c>
      <c r="Z10" s="37">
        <f>X10/V10</f>
        <v>1.1347199460278441E-2</v>
      </c>
    </row>
    <row r="11" spans="2:26" x14ac:dyDescent="0.2">
      <c r="B11" t="s">
        <v>63</v>
      </c>
      <c r="I11">
        <f t="shared" si="2"/>
        <v>5</v>
      </c>
      <c r="J11">
        <f t="shared" si="3"/>
        <v>1.25</v>
      </c>
      <c r="K11">
        <f t="shared" si="4"/>
        <v>0.25</v>
      </c>
      <c r="M11">
        <f t="shared" si="5"/>
        <v>0.99980602738772373</v>
      </c>
      <c r="O11">
        <f>$F$6</f>
        <v>1.2647868957759639E-2</v>
      </c>
      <c r="P11">
        <f>O11*K11</f>
        <v>3.1619672394399096E-3</v>
      </c>
      <c r="Q11">
        <f t="shared" si="7"/>
        <v>1.1947786420466421E-2</v>
      </c>
      <c r="R11">
        <f t="shared" si="1"/>
        <v>0.98812330496978751</v>
      </c>
      <c r="T11">
        <f>M11*R11*K11</f>
        <v>0.24698290902776787</v>
      </c>
      <c r="U11">
        <f>M11*(R10-R11)*K11/2</f>
        <v>3.9109392075860902E-4</v>
      </c>
      <c r="W11">
        <f t="shared" si="8"/>
        <v>3.1287513660688722E-3</v>
      </c>
    </row>
    <row r="12" spans="2:26" x14ac:dyDescent="0.2">
      <c r="B12">
        <v>0</v>
      </c>
      <c r="C12">
        <v>1</v>
      </c>
      <c r="I12">
        <f t="shared" si="2"/>
        <v>6</v>
      </c>
      <c r="J12">
        <f t="shared" si="3"/>
        <v>1.5</v>
      </c>
      <c r="K12">
        <f t="shared" si="4"/>
        <v>0.25</v>
      </c>
      <c r="M12">
        <f t="shared" si="5"/>
        <v>1.0004045742244059</v>
      </c>
      <c r="O12">
        <f t="shared" ref="O12:O17" si="9">$F$6</f>
        <v>1.2647868957759639E-2</v>
      </c>
      <c r="P12">
        <f>O12*K12</f>
        <v>3.1619672394399096E-3</v>
      </c>
      <c r="Q12">
        <f t="shared" si="7"/>
        <v>1.5109753659906331E-2</v>
      </c>
      <c r="R12">
        <f t="shared" si="1"/>
        <v>0.98500382589531987</v>
      </c>
      <c r="T12">
        <f>M12*R12*K12</f>
        <v>0.24635058326355458</v>
      </c>
      <c r="U12">
        <f>M12*(R11-R12)*K12/2</f>
        <v>3.9009264191184223E-4</v>
      </c>
      <c r="W12">
        <f t="shared" si="8"/>
        <v>3.1207411352947379E-3</v>
      </c>
    </row>
    <row r="13" spans="2:26" x14ac:dyDescent="0.2">
      <c r="B13">
        <v>0.25</v>
      </c>
      <c r="C13">
        <v>1.0002600676175806</v>
      </c>
      <c r="I13">
        <f t="shared" si="2"/>
        <v>7</v>
      </c>
      <c r="J13">
        <f t="shared" si="3"/>
        <v>1.75</v>
      </c>
      <c r="K13">
        <f t="shared" si="4"/>
        <v>0.25</v>
      </c>
      <c r="M13">
        <f t="shared" si="5"/>
        <v>1.0012161425154005</v>
      </c>
      <c r="O13">
        <f t="shared" si="9"/>
        <v>1.2647868957759639E-2</v>
      </c>
      <c r="P13">
        <f>O13*K13</f>
        <v>3.1619672394399096E-3</v>
      </c>
      <c r="Q13">
        <f t="shared" si="7"/>
        <v>1.8271720899346242E-2</v>
      </c>
      <c r="R13">
        <f t="shared" si="1"/>
        <v>0.98189419493357977</v>
      </c>
      <c r="T13">
        <f t="shared" ref="T13:T18" si="10">M13*R13*K13</f>
        <v>0.24577207955241587</v>
      </c>
      <c r="U13">
        <f t="shared" ref="U13:U18" si="11">M13*(R12-R13)*K13/2</f>
        <v>3.8917658951998554E-4</v>
      </c>
      <c r="W13">
        <f t="shared" si="8"/>
        <v>3.1134127161598843E-3</v>
      </c>
    </row>
    <row r="14" spans="2:26" x14ac:dyDescent="0.2">
      <c r="B14">
        <v>0.5</v>
      </c>
      <c r="C14">
        <v>1.0001650272294929</v>
      </c>
      <c r="I14">
        <f t="shared" si="2"/>
        <v>8</v>
      </c>
      <c r="J14">
        <f t="shared" si="3"/>
        <v>2</v>
      </c>
      <c r="K14">
        <f t="shared" si="4"/>
        <v>0.25</v>
      </c>
      <c r="M14">
        <f t="shared" si="5"/>
        <v>1.0022412500473876</v>
      </c>
      <c r="O14">
        <f t="shared" si="9"/>
        <v>1.2647868957759639E-2</v>
      </c>
      <c r="P14">
        <f>O14*K14</f>
        <v>3.1619672394399096E-3</v>
      </c>
      <c r="Q14">
        <f t="shared" si="7"/>
        <v>2.1433688138786152E-2</v>
      </c>
      <c r="R14">
        <f t="shared" si="1"/>
        <v>0.97879438099433647</v>
      </c>
      <c r="T14">
        <f t="shared" si="10"/>
        <v>0.24524702598678069</v>
      </c>
      <c r="U14">
        <f t="shared" si="11"/>
        <v>3.8834517467269038E-4</v>
      </c>
      <c r="W14">
        <f t="shared" si="8"/>
        <v>3.1067613973815231E-3</v>
      </c>
    </row>
    <row r="15" spans="2:26" x14ac:dyDescent="0.2">
      <c r="B15">
        <v>0.75</v>
      </c>
      <c r="C15">
        <v>0.99990624664760019</v>
      </c>
      <c r="I15">
        <f t="shared" si="2"/>
        <v>9</v>
      </c>
      <c r="J15">
        <f t="shared" si="3"/>
        <v>2.25</v>
      </c>
      <c r="K15">
        <f t="shared" si="4"/>
        <v>0.25</v>
      </c>
      <c r="M15">
        <f t="shared" si="5"/>
        <v>1.0022345986715118</v>
      </c>
      <c r="O15">
        <f t="shared" si="9"/>
        <v>1.2647868957759639E-2</v>
      </c>
      <c r="P15">
        <f t="shared" ref="P15:P18" si="12">O15*K15</f>
        <v>3.1619672394399096E-3</v>
      </c>
      <c r="Q15">
        <f t="shared" ref="Q15:Q18" si="13">Q14+P15</f>
        <v>2.4595655378226063E-2</v>
      </c>
      <c r="R15">
        <f t="shared" si="1"/>
        <v>0.97570435308551007</v>
      </c>
      <c r="T15">
        <f t="shared" si="10"/>
        <v>0.2444711651841758</v>
      </c>
      <c r="U15">
        <f t="shared" si="11"/>
        <v>3.8711661013579948E-4</v>
      </c>
      <c r="W15">
        <f t="shared" si="8"/>
        <v>3.0969328810863958E-3</v>
      </c>
    </row>
    <row r="16" spans="2:26" x14ac:dyDescent="0.2">
      <c r="B16">
        <v>1</v>
      </c>
      <c r="C16">
        <v>0.99942012030720562</v>
      </c>
      <c r="I16">
        <f t="shared" si="2"/>
        <v>10</v>
      </c>
      <c r="J16">
        <f t="shared" si="3"/>
        <v>2.5</v>
      </c>
      <c r="K16">
        <f t="shared" si="4"/>
        <v>0.25</v>
      </c>
      <c r="M16">
        <f t="shared" si="5"/>
        <v>1.0021641454687351</v>
      </c>
      <c r="O16">
        <f t="shared" si="9"/>
        <v>1.2647868957759639E-2</v>
      </c>
      <c r="P16">
        <f t="shared" si="12"/>
        <v>3.1619672394399096E-3</v>
      </c>
      <c r="Q16">
        <f t="shared" si="13"/>
        <v>2.7757622617665973E-2</v>
      </c>
      <c r="R16">
        <f t="shared" si="1"/>
        <v>0.97262408031286229</v>
      </c>
      <c r="T16">
        <f t="shared" si="10"/>
        <v>0.24368224507726352</v>
      </c>
      <c r="U16">
        <f t="shared" si="11"/>
        <v>3.8586736637639599E-4</v>
      </c>
      <c r="W16">
        <f t="shared" si="8"/>
        <v>3.0869389310111679E-3</v>
      </c>
    </row>
    <row r="17" spans="2:26" x14ac:dyDescent="0.2">
      <c r="B17">
        <v>1.25</v>
      </c>
      <c r="C17">
        <v>0.99980602738772373</v>
      </c>
      <c r="I17">
        <f t="shared" si="2"/>
        <v>11</v>
      </c>
      <c r="J17">
        <f t="shared" si="3"/>
        <v>2.75</v>
      </c>
      <c r="K17">
        <f t="shared" si="4"/>
        <v>0.25</v>
      </c>
      <c r="M17">
        <f t="shared" si="5"/>
        <v>1.0020299038938707</v>
      </c>
      <c r="O17">
        <f t="shared" si="9"/>
        <v>1.2647868957759639E-2</v>
      </c>
      <c r="P17">
        <f t="shared" si="12"/>
        <v>3.1619672394399096E-3</v>
      </c>
      <c r="Q17">
        <f t="shared" si="13"/>
        <v>3.0919589857105884E-2</v>
      </c>
      <c r="R17">
        <f t="shared" si="1"/>
        <v>0.96955353187968663</v>
      </c>
      <c r="T17">
        <f t="shared" si="10"/>
        <v>0.24288040809234132</v>
      </c>
      <c r="U17">
        <f t="shared" si="11"/>
        <v>3.8459766892456128E-4</v>
      </c>
      <c r="W17">
        <f t="shared" si="8"/>
        <v>3.0767813513964903E-3</v>
      </c>
    </row>
    <row r="18" spans="2:26" s="37" customFormat="1" x14ac:dyDescent="0.2">
      <c r="B18" s="37">
        <v>1.5</v>
      </c>
      <c r="C18" s="37">
        <v>1.0004045742244059</v>
      </c>
      <c r="I18" s="37">
        <f t="shared" si="2"/>
        <v>12</v>
      </c>
      <c r="J18" s="37">
        <f t="shared" si="3"/>
        <v>3</v>
      </c>
      <c r="K18" s="37">
        <f t="shared" si="4"/>
        <v>0.25</v>
      </c>
      <c r="M18" s="37">
        <f t="shared" si="5"/>
        <v>1.0018318995819817</v>
      </c>
      <c r="O18" s="37">
        <f>$F$6</f>
        <v>1.2647868957759639E-2</v>
      </c>
      <c r="P18" s="37">
        <f t="shared" si="12"/>
        <v>3.1619672394399096E-3</v>
      </c>
      <c r="Q18" s="37">
        <f t="shared" si="13"/>
        <v>3.4081557096545791E-2</v>
      </c>
      <c r="R18" s="37">
        <f t="shared" si="1"/>
        <v>0.96649267708650133</v>
      </c>
      <c r="T18" s="37">
        <f t="shared" si="10"/>
        <v>0.24206579865441111</v>
      </c>
      <c r="U18" s="37">
        <f t="shared" si="11"/>
        <v>3.8330774647518E-4</v>
      </c>
      <c r="V18" s="37">
        <f>SUM(T6:T26)+SUM(U6:U26)</f>
        <v>4.8313740002953107</v>
      </c>
      <c r="W18" s="37">
        <f t="shared" si="8"/>
        <v>3.06646197180144E-3</v>
      </c>
      <c r="X18" s="37">
        <f>SUM(W6:W26)</f>
        <v>8.5186028024898677E-2</v>
      </c>
      <c r="Z18" s="37">
        <f>X18/V18</f>
        <v>1.7631843036720364E-2</v>
      </c>
    </row>
    <row r="19" spans="2:26" x14ac:dyDescent="0.2">
      <c r="B19">
        <v>1.75</v>
      </c>
      <c r="C19">
        <v>1.0012161425154005</v>
      </c>
      <c r="I19">
        <f t="shared" si="2"/>
        <v>13</v>
      </c>
      <c r="J19">
        <f t="shared" si="3"/>
        <v>3.25</v>
      </c>
      <c r="K19">
        <f t="shared" si="4"/>
        <v>0.25</v>
      </c>
      <c r="M19">
        <f t="shared" si="5"/>
        <v>1.0011418921720547</v>
      </c>
      <c r="O19">
        <f>$F$7</f>
        <v>2.75388846564152E-2</v>
      </c>
      <c r="P19">
        <f t="shared" ref="P19:P46" si="14">O19*K19</f>
        <v>6.8847211641037999E-3</v>
      </c>
      <c r="Q19">
        <f t="shared" ref="Q19:Q46" si="15">Q18+P19</f>
        <v>4.0966278260649594E-2</v>
      </c>
      <c r="R19">
        <f t="shared" si="1"/>
        <v>0.9598614976012837</v>
      </c>
      <c r="T19">
        <f t="shared" ref="T19:T46" si="16">M19*R19*K19</f>
        <v>0.24023938898291283</v>
      </c>
      <c r="U19">
        <f t="shared" ref="U19:U46" si="17">M19*(R18-R19)*K19/2</f>
        <v>8.2984394714541139E-4</v>
      </c>
      <c r="W19">
        <f t="shared" si="8"/>
        <v>6.6387515771632911E-3</v>
      </c>
    </row>
    <row r="20" spans="2:26" x14ac:dyDescent="0.2">
      <c r="B20">
        <v>2</v>
      </c>
      <c r="C20">
        <v>1.0022412500473876</v>
      </c>
      <c r="I20">
        <f t="shared" si="2"/>
        <v>14</v>
      </c>
      <c r="J20">
        <f t="shared" si="3"/>
        <v>3.5</v>
      </c>
      <c r="K20">
        <f t="shared" si="4"/>
        <v>0.25</v>
      </c>
      <c r="M20">
        <f t="shared" si="5"/>
        <v>1.0003228480323494</v>
      </c>
      <c r="O20">
        <f t="shared" ref="O20:O26" si="18">$F$7</f>
        <v>2.75388846564152E-2</v>
      </c>
      <c r="P20">
        <f t="shared" si="14"/>
        <v>6.8847211641037999E-3</v>
      </c>
      <c r="Q20">
        <f t="shared" si="15"/>
        <v>4.785099942475339E-2</v>
      </c>
      <c r="R20">
        <f t="shared" si="1"/>
        <v>0.95327581514093507</v>
      </c>
      <c r="T20">
        <f t="shared" si="16"/>
        <v>0.2383958945905349</v>
      </c>
      <c r="U20">
        <f t="shared" si="17"/>
        <v>8.2347607937157893E-4</v>
      </c>
      <c r="W20">
        <f t="shared" si="8"/>
        <v>6.5878086349726315E-3</v>
      </c>
    </row>
    <row r="21" spans="2:26" x14ac:dyDescent="0.2">
      <c r="B21">
        <v>2.25</v>
      </c>
      <c r="C21">
        <v>1.0022345986715118</v>
      </c>
      <c r="I21">
        <f t="shared" si="2"/>
        <v>15</v>
      </c>
      <c r="J21">
        <f t="shared" si="3"/>
        <v>3.75</v>
      </c>
      <c r="K21">
        <f t="shared" si="4"/>
        <v>0.25</v>
      </c>
      <c r="M21">
        <f t="shared" si="5"/>
        <v>0.99937508469846825</v>
      </c>
      <c r="O21">
        <f t="shared" si="18"/>
        <v>2.75388846564152E-2</v>
      </c>
      <c r="P21">
        <f t="shared" si="14"/>
        <v>6.8847211641037999E-3</v>
      </c>
      <c r="Q21">
        <f t="shared" si="15"/>
        <v>5.4735720588857187E-2</v>
      </c>
      <c r="R21">
        <f t="shared" si="1"/>
        <v>0.94673531754692075</v>
      </c>
      <c r="T21">
        <f t="shared" si="16"/>
        <v>0.23653592204012128</v>
      </c>
      <c r="U21">
        <f t="shared" si="17"/>
        <v>8.1705129212352313E-4</v>
      </c>
      <c r="W21">
        <f t="shared" si="8"/>
        <v>6.5364103369881851E-3</v>
      </c>
    </row>
    <row r="22" spans="2:26" x14ac:dyDescent="0.2">
      <c r="B22">
        <v>2.5</v>
      </c>
      <c r="C22">
        <v>1.0021641454687351</v>
      </c>
      <c r="I22">
        <f t="shared" si="2"/>
        <v>16</v>
      </c>
      <c r="J22">
        <f t="shared" si="3"/>
        <v>4</v>
      </c>
      <c r="K22">
        <f t="shared" si="4"/>
        <v>0.25</v>
      </c>
      <c r="M22">
        <f t="shared" si="5"/>
        <v>0.99829896939251683</v>
      </c>
      <c r="O22">
        <f t="shared" si="18"/>
        <v>2.75388846564152E-2</v>
      </c>
      <c r="P22">
        <f t="shared" si="14"/>
        <v>6.8847211641037999E-3</v>
      </c>
      <c r="Q22">
        <f t="shared" si="15"/>
        <v>6.1620441752960983E-2</v>
      </c>
      <c r="R22">
        <f t="shared" si="1"/>
        <v>0.9402396948024494</v>
      </c>
      <c r="T22">
        <f t="shared" si="16"/>
        <v>0.23466007957580495</v>
      </c>
      <c r="U22">
        <f t="shared" si="17"/>
        <v>8.1057168642104278E-4</v>
      </c>
      <c r="W22">
        <f t="shared" si="8"/>
        <v>6.4845734913683423E-3</v>
      </c>
    </row>
    <row r="23" spans="2:26" x14ac:dyDescent="0.2">
      <c r="B23">
        <v>2.75</v>
      </c>
      <c r="C23">
        <v>1.0020299038938707</v>
      </c>
      <c r="I23">
        <f t="shared" si="2"/>
        <v>17</v>
      </c>
      <c r="J23">
        <f t="shared" si="3"/>
        <v>4.25</v>
      </c>
      <c r="K23">
        <f t="shared" si="4"/>
        <v>0.25</v>
      </c>
      <c r="M23">
        <f t="shared" si="5"/>
        <v>0.99685723775405122</v>
      </c>
      <c r="O23">
        <f t="shared" si="18"/>
        <v>2.75388846564152E-2</v>
      </c>
      <c r="P23">
        <f t="shared" si="14"/>
        <v>6.8847211641037999E-3</v>
      </c>
      <c r="Q23">
        <f t="shared" si="15"/>
        <v>6.850516291706478E-2</v>
      </c>
      <c r="R23">
        <f t="shared" si="1"/>
        <v>0.93378863901777809</v>
      </c>
      <c r="T23">
        <f t="shared" si="16"/>
        <v>0.23271349083434428</v>
      </c>
      <c r="U23">
        <f t="shared" si="17"/>
        <v>8.0384770626309207E-4</v>
      </c>
      <c r="W23">
        <f t="shared" si="8"/>
        <v>6.4307816501047365E-3</v>
      </c>
    </row>
    <row r="24" spans="2:26" x14ac:dyDescent="0.2">
      <c r="B24">
        <v>3</v>
      </c>
      <c r="C24">
        <v>1.0018318995819817</v>
      </c>
      <c r="I24">
        <f t="shared" si="2"/>
        <v>18</v>
      </c>
      <c r="J24">
        <f t="shared" si="3"/>
        <v>4.5</v>
      </c>
      <c r="K24">
        <f t="shared" si="4"/>
        <v>0.25</v>
      </c>
      <c r="M24">
        <f t="shared" si="5"/>
        <v>0.99526081328902039</v>
      </c>
      <c r="O24">
        <f t="shared" si="18"/>
        <v>2.75388846564152E-2</v>
      </c>
      <c r="P24">
        <f t="shared" si="14"/>
        <v>6.8847211641037999E-3</v>
      </c>
      <c r="Q24">
        <f t="shared" si="15"/>
        <v>7.5389884081168576E-2</v>
      </c>
      <c r="R24">
        <f t="shared" si="1"/>
        <v>0.92738184441561911</v>
      </c>
      <c r="T24">
        <f t="shared" si="16"/>
        <v>0.23074670217564022</v>
      </c>
      <c r="U24">
        <f t="shared" si="17"/>
        <v>7.9705395079005686E-4</v>
      </c>
      <c r="W24">
        <f t="shared" si="8"/>
        <v>6.3764316063204549E-3</v>
      </c>
    </row>
    <row r="25" spans="2:26" x14ac:dyDescent="0.2">
      <c r="B25">
        <v>3.25</v>
      </c>
      <c r="C25">
        <v>1.0011418921720547</v>
      </c>
      <c r="I25">
        <f t="shared" si="2"/>
        <v>19</v>
      </c>
      <c r="J25">
        <f t="shared" si="3"/>
        <v>4.75</v>
      </c>
      <c r="K25">
        <f t="shared" si="4"/>
        <v>0.25</v>
      </c>
      <c r="M25">
        <f t="shared" si="5"/>
        <v>0.99351044619183315</v>
      </c>
      <c r="O25">
        <f t="shared" si="18"/>
        <v>2.75388846564152E-2</v>
      </c>
      <c r="P25">
        <f t="shared" si="14"/>
        <v>6.8847211641037999E-3</v>
      </c>
      <c r="Q25">
        <f t="shared" si="15"/>
        <v>8.2274605245272373E-2</v>
      </c>
      <c r="R25">
        <f t="shared" si="1"/>
        <v>0.92101900731664565</v>
      </c>
      <c r="T25">
        <f t="shared" si="16"/>
        <v>0.22876050122757996</v>
      </c>
      <c r="U25">
        <f t="shared" si="17"/>
        <v>7.9019314065588279E-4</v>
      </c>
      <c r="W25">
        <f t="shared" si="8"/>
        <v>6.3215451252470623E-3</v>
      </c>
    </row>
    <row r="26" spans="2:26" s="37" customFormat="1" x14ac:dyDescent="0.2">
      <c r="B26" s="37">
        <v>3.5</v>
      </c>
      <c r="C26" s="37">
        <v>1.0003228480323494</v>
      </c>
      <c r="I26" s="37">
        <f t="shared" si="2"/>
        <v>20</v>
      </c>
      <c r="J26" s="37">
        <f t="shared" si="3"/>
        <v>5</v>
      </c>
      <c r="K26" s="37">
        <f t="shared" si="4"/>
        <v>0.25</v>
      </c>
      <c r="M26" s="37">
        <f t="shared" si="5"/>
        <v>0.99160695807084664</v>
      </c>
      <c r="O26" s="37">
        <f t="shared" si="18"/>
        <v>2.75388846564152E-2</v>
      </c>
      <c r="P26" s="37">
        <f t="shared" si="14"/>
        <v>6.8847211641037999E-3</v>
      </c>
      <c r="Q26" s="37">
        <f t="shared" si="15"/>
        <v>8.9159326409376169E-2</v>
      </c>
      <c r="R26" s="37">
        <f t="shared" si="1"/>
        <v>0.91469982612509793</v>
      </c>
      <c r="T26" s="37">
        <f t="shared" si="16"/>
        <v>0.22675567803296018</v>
      </c>
      <c r="U26" s="37">
        <f t="shared" si="17"/>
        <v>7.8326800485614397E-4</v>
      </c>
      <c r="V26" s="37">
        <f>SUM(T6:T34)+SUM(U6:U34)</f>
        <v>6.5637184334301892</v>
      </c>
      <c r="W26" s="37">
        <f t="shared" si="8"/>
        <v>6.2661440388491517E-3</v>
      </c>
      <c r="X26" s="37">
        <f>SUM(W6:W34)</f>
        <v>0.14472882611929688</v>
      </c>
      <c r="Z26" s="37">
        <f>X26/V26</f>
        <v>2.2049822457673861E-2</v>
      </c>
    </row>
    <row r="27" spans="2:26" x14ac:dyDescent="0.2">
      <c r="B27">
        <v>3.75</v>
      </c>
      <c r="C27">
        <v>0.99937508469846825</v>
      </c>
      <c r="I27">
        <f t="shared" si="2"/>
        <v>21</v>
      </c>
      <c r="J27">
        <f t="shared" si="3"/>
        <v>5.25</v>
      </c>
      <c r="K27">
        <f t="shared" si="4"/>
        <v>0.25</v>
      </c>
      <c r="M27">
        <f t="shared" si="5"/>
        <v>0.98937931206088225</v>
      </c>
      <c r="O27">
        <f>$F$8</f>
        <v>3.437143522267077E-2</v>
      </c>
      <c r="P27">
        <f t="shared" si="14"/>
        <v>8.5928588056676924E-3</v>
      </c>
      <c r="Q27">
        <f t="shared" si="15"/>
        <v>9.7752185215043863E-2</v>
      </c>
      <c r="R27">
        <f t="shared" si="1"/>
        <v>0.90687361259897248</v>
      </c>
      <c r="T27">
        <f t="shared" si="16"/>
        <v>0.22431049773983461</v>
      </c>
      <c r="U27">
        <f t="shared" si="17"/>
        <v>9.6788671931494587E-4</v>
      </c>
      <c r="W27">
        <f t="shared" si="8"/>
        <v>7.743093754519567E-3</v>
      </c>
    </row>
    <row r="28" spans="2:26" x14ac:dyDescent="0.2">
      <c r="B28">
        <v>4</v>
      </c>
      <c r="C28">
        <v>0.99829896939251683</v>
      </c>
      <c r="I28">
        <f t="shared" si="2"/>
        <v>22</v>
      </c>
      <c r="J28">
        <f t="shared" si="3"/>
        <v>5.5</v>
      </c>
      <c r="K28">
        <f t="shared" si="4"/>
        <v>0.25</v>
      </c>
      <c r="M28">
        <f t="shared" si="5"/>
        <v>0.98698486326675949</v>
      </c>
      <c r="O28">
        <f t="shared" ref="O28:O34" si="19">$F$8</f>
        <v>3.437143522267077E-2</v>
      </c>
      <c r="P28">
        <f t="shared" si="14"/>
        <v>8.5928588056676924E-3</v>
      </c>
      <c r="Q28">
        <f t="shared" si="15"/>
        <v>0.10634504402071156</v>
      </c>
      <c r="R28">
        <f t="shared" si="1"/>
        <v>0.89911436051353733</v>
      </c>
      <c r="T28">
        <f t="shared" si="16"/>
        <v>0.22185306604315838</v>
      </c>
      <c r="U28">
        <f t="shared" si="17"/>
        <v>9.5728304482444165E-4</v>
      </c>
      <c r="W28">
        <f t="shared" si="8"/>
        <v>7.6582643585955332E-3</v>
      </c>
    </row>
    <row r="29" spans="2:26" x14ac:dyDescent="0.2">
      <c r="B29">
        <v>4.25</v>
      </c>
      <c r="C29">
        <v>0.99685723775405122</v>
      </c>
      <c r="I29">
        <f t="shared" si="2"/>
        <v>23</v>
      </c>
      <c r="J29">
        <f t="shared" si="3"/>
        <v>5.75</v>
      </c>
      <c r="K29">
        <f t="shared" si="4"/>
        <v>0.25</v>
      </c>
      <c r="M29">
        <f t="shared" si="5"/>
        <v>0.98442484783968898</v>
      </c>
      <c r="O29">
        <f t="shared" si="19"/>
        <v>3.437143522267077E-2</v>
      </c>
      <c r="P29">
        <f t="shared" si="14"/>
        <v>8.5928588056676924E-3</v>
      </c>
      <c r="Q29">
        <f t="shared" si="15"/>
        <v>0.11493790282637925</v>
      </c>
      <c r="R29">
        <f t="shared" si="1"/>
        <v>0.89142149694364503</v>
      </c>
      <c r="T29">
        <f t="shared" si="16"/>
        <v>0.21938436787244389</v>
      </c>
      <c r="U29">
        <f t="shared" si="17"/>
        <v>9.4663075615533849E-4</v>
      </c>
      <c r="W29">
        <f t="shared" si="8"/>
        <v>7.5730460492427079E-3</v>
      </c>
    </row>
    <row r="30" spans="2:26" x14ac:dyDescent="0.2">
      <c r="B30">
        <v>4.5</v>
      </c>
      <c r="C30">
        <v>0.99526081328902039</v>
      </c>
      <c r="I30">
        <f t="shared" si="2"/>
        <v>24</v>
      </c>
      <c r="J30">
        <f t="shared" si="3"/>
        <v>6</v>
      </c>
      <c r="K30">
        <f t="shared" si="4"/>
        <v>0.25</v>
      </c>
      <c r="M30">
        <f t="shared" si="5"/>
        <v>0.9817005851692544</v>
      </c>
      <c r="O30">
        <f t="shared" si="19"/>
        <v>3.437143522267077E-2</v>
      </c>
      <c r="P30">
        <f t="shared" si="14"/>
        <v>8.5928588056676924E-3</v>
      </c>
      <c r="Q30">
        <f t="shared" si="15"/>
        <v>0.12353076163204695</v>
      </c>
      <c r="R30">
        <f t="shared" si="1"/>
        <v>0.88379445386612154</v>
      </c>
      <c r="T30">
        <f t="shared" si="16"/>
        <v>0.21690538313242827</v>
      </c>
      <c r="U30">
        <f t="shared" si="17"/>
        <v>9.3593408153948981E-4</v>
      </c>
      <c r="W30">
        <f t="shared" si="8"/>
        <v>7.4874726523159185E-3</v>
      </c>
    </row>
    <row r="31" spans="2:26" x14ac:dyDescent="0.2">
      <c r="B31">
        <v>4.75</v>
      </c>
      <c r="C31">
        <v>0.99351044619183315</v>
      </c>
      <c r="I31">
        <f t="shared" si="2"/>
        <v>25</v>
      </c>
      <c r="J31">
        <f t="shared" si="3"/>
        <v>6.25</v>
      </c>
      <c r="K31">
        <f t="shared" si="4"/>
        <v>0.25</v>
      </c>
      <c r="M31">
        <f t="shared" si="5"/>
        <v>0.97872182788172113</v>
      </c>
      <c r="O31">
        <f t="shared" si="19"/>
        <v>3.437143522267077E-2</v>
      </c>
      <c r="P31">
        <f t="shared" si="14"/>
        <v>8.5928588056676924E-3</v>
      </c>
      <c r="Q31">
        <f t="shared" si="15"/>
        <v>0.13212362043771464</v>
      </c>
      <c r="R31">
        <f t="shared" si="1"/>
        <v>0.87623266811782541</v>
      </c>
      <c r="T31">
        <f t="shared" si="16"/>
        <v>0.2143970096474889</v>
      </c>
      <c r="U31">
        <f t="shared" si="17"/>
        <v>9.2511059620279269E-4</v>
      </c>
      <c r="W31">
        <f t="shared" si="8"/>
        <v>7.4008847696223415E-3</v>
      </c>
    </row>
    <row r="32" spans="2:26" x14ac:dyDescent="0.2">
      <c r="B32">
        <v>5</v>
      </c>
      <c r="C32">
        <v>0.99160695807084664</v>
      </c>
      <c r="I32">
        <f t="shared" si="2"/>
        <v>26</v>
      </c>
      <c r="J32">
        <f t="shared" si="3"/>
        <v>6.5</v>
      </c>
      <c r="K32">
        <f t="shared" si="4"/>
        <v>0.25</v>
      </c>
      <c r="M32">
        <f t="shared" si="5"/>
        <v>0.97557497865080922</v>
      </c>
      <c r="O32">
        <f t="shared" si="19"/>
        <v>3.437143522267077E-2</v>
      </c>
      <c r="P32">
        <f t="shared" si="14"/>
        <v>8.5928588056676924E-3</v>
      </c>
      <c r="Q32">
        <f t="shared" si="15"/>
        <v>0.14071647924338232</v>
      </c>
      <c r="R32">
        <f t="shared" si="1"/>
        <v>0.86873558135406481</v>
      </c>
      <c r="T32">
        <f t="shared" si="16"/>
        <v>0.21187917405817253</v>
      </c>
      <c r="U32">
        <f t="shared" si="17"/>
        <v>9.1424628243737607E-4</v>
      </c>
      <c r="W32">
        <f t="shared" si="8"/>
        <v>7.3139702594990086E-3</v>
      </c>
    </row>
    <row r="33" spans="2:26" x14ac:dyDescent="0.2">
      <c r="B33">
        <v>5.25</v>
      </c>
      <c r="C33">
        <v>0.98937931206088225</v>
      </c>
      <c r="I33">
        <f t="shared" si="2"/>
        <v>27</v>
      </c>
      <c r="J33">
        <f t="shared" si="3"/>
        <v>6.75</v>
      </c>
      <c r="K33">
        <f t="shared" si="4"/>
        <v>0.25</v>
      </c>
      <c r="M33">
        <f t="shared" si="5"/>
        <v>0.97226171860812827</v>
      </c>
      <c r="O33">
        <f t="shared" si="19"/>
        <v>3.437143522267077E-2</v>
      </c>
      <c r="P33">
        <f t="shared" si="14"/>
        <v>8.5928588056676924E-3</v>
      </c>
      <c r="Q33">
        <f t="shared" si="15"/>
        <v>0.14930933804905</v>
      </c>
      <c r="R33">
        <f t="shared" si="1"/>
        <v>0.86130264000737011</v>
      </c>
      <c r="T33">
        <f t="shared" si="16"/>
        <v>0.20935289625382092</v>
      </c>
      <c r="U33">
        <f t="shared" si="17"/>
        <v>9.0334554100635046E-4</v>
      </c>
      <c r="W33">
        <f t="shared" si="8"/>
        <v>7.2267643280508036E-3</v>
      </c>
    </row>
    <row r="34" spans="2:26" s="37" customFormat="1" x14ac:dyDescent="0.2">
      <c r="B34" s="37">
        <v>5.5</v>
      </c>
      <c r="C34" s="37">
        <v>0.98698486326675949</v>
      </c>
      <c r="I34" s="37">
        <f t="shared" si="2"/>
        <v>28</v>
      </c>
      <c r="J34" s="37">
        <f t="shared" si="3"/>
        <v>7</v>
      </c>
      <c r="K34" s="37">
        <f t="shared" si="4"/>
        <v>0.25</v>
      </c>
      <c r="M34" s="37">
        <f t="shared" si="5"/>
        <v>0.96878381380362766</v>
      </c>
      <c r="O34" s="37">
        <f t="shared" si="19"/>
        <v>3.437143522267077E-2</v>
      </c>
      <c r="P34" s="37">
        <f t="shared" si="14"/>
        <v>8.5928588056676924E-3</v>
      </c>
      <c r="Q34" s="37">
        <f t="shared" si="15"/>
        <v>0.15790219685471768</v>
      </c>
      <c r="R34" s="37">
        <f t="shared" si="1"/>
        <v>0.85393329524662098</v>
      </c>
      <c r="T34" s="37">
        <f t="shared" si="16"/>
        <v>0.20681918862573018</v>
      </c>
      <c r="U34" s="37">
        <f t="shared" si="17"/>
        <v>8.9241274031904053E-4</v>
      </c>
      <c r="V34" s="37">
        <f>SUM(T6:T46)+SUM(U6:U46)</f>
        <v>8.8718763470986808</v>
      </c>
      <c r="W34" s="37">
        <f t="shared" si="8"/>
        <v>7.1393019225523243E-3</v>
      </c>
      <c r="X34" s="37">
        <f>SUM(W6:W46)</f>
        <v>0.21562138608274134</v>
      </c>
      <c r="Z34" s="37">
        <f>X34/V34</f>
        <v>2.4303921475782829E-2</v>
      </c>
    </row>
    <row r="35" spans="2:26" x14ac:dyDescent="0.2">
      <c r="B35">
        <v>5.75</v>
      </c>
      <c r="C35">
        <v>0.98442484783968898</v>
      </c>
      <c r="I35">
        <f t="shared" si="2"/>
        <v>29</v>
      </c>
      <c r="J35">
        <f t="shared" si="3"/>
        <v>7.25</v>
      </c>
      <c r="K35">
        <f t="shared" si="4"/>
        <v>0.25</v>
      </c>
      <c r="M35">
        <f t="shared" si="5"/>
        <v>0.96521304434297506</v>
      </c>
      <c r="O35">
        <f>$F$9</f>
        <v>3.0714063305518874E-2</v>
      </c>
      <c r="P35">
        <f t="shared" si="14"/>
        <v>7.6785158263797185E-3</v>
      </c>
      <c r="Q35">
        <f t="shared" si="15"/>
        <v>0.16558071268109739</v>
      </c>
      <c r="R35">
        <f t="shared" si="1"/>
        <v>0.8474014644004767</v>
      </c>
      <c r="T35">
        <f t="shared" si="16"/>
        <v>0.20448073680866982</v>
      </c>
      <c r="U35">
        <f t="shared" si="17"/>
        <v>7.8807604201753417E-4</v>
      </c>
      <c r="W35">
        <f t="shared" si="8"/>
        <v>6.3046083361402733E-3</v>
      </c>
    </row>
    <row r="36" spans="2:26" x14ac:dyDescent="0.2">
      <c r="B36">
        <v>6</v>
      </c>
      <c r="C36">
        <v>0.9817005851692544</v>
      </c>
      <c r="I36">
        <f t="shared" si="2"/>
        <v>30</v>
      </c>
      <c r="J36">
        <f t="shared" si="3"/>
        <v>7.5</v>
      </c>
      <c r="K36">
        <f t="shared" si="4"/>
        <v>0.25</v>
      </c>
      <c r="M36">
        <f t="shared" si="5"/>
        <v>0.96148566912864608</v>
      </c>
      <c r="O36">
        <f t="shared" ref="O36:O46" si="20">$F$9</f>
        <v>3.0714063305518874E-2</v>
      </c>
      <c r="P36">
        <f t="shared" si="14"/>
        <v>7.6785158263797185E-3</v>
      </c>
      <c r="Q36">
        <f t="shared" si="15"/>
        <v>0.1732592285074771</v>
      </c>
      <c r="R36">
        <f t="shared" si="1"/>
        <v>0.8409195962556818</v>
      </c>
      <c r="T36">
        <f t="shared" si="16"/>
        <v>0.20213303517232128</v>
      </c>
      <c r="U36">
        <f t="shared" si="17"/>
        <v>7.790279163002225E-4</v>
      </c>
      <c r="W36">
        <f t="shared" si="8"/>
        <v>6.23222333040178E-3</v>
      </c>
    </row>
    <row r="37" spans="2:26" x14ac:dyDescent="0.2">
      <c r="B37">
        <v>6.25</v>
      </c>
      <c r="C37">
        <v>0.97872182788172113</v>
      </c>
      <c r="I37">
        <f t="shared" si="2"/>
        <v>31</v>
      </c>
      <c r="J37">
        <f t="shared" si="3"/>
        <v>7.75</v>
      </c>
      <c r="K37">
        <f t="shared" si="4"/>
        <v>0.25</v>
      </c>
      <c r="M37">
        <f t="shared" si="5"/>
        <v>0.95760360641923348</v>
      </c>
      <c r="O37">
        <f t="shared" si="20"/>
        <v>3.0714063305518874E-2</v>
      </c>
      <c r="P37">
        <f t="shared" si="14"/>
        <v>7.6785158263797185E-3</v>
      </c>
      <c r="Q37">
        <f t="shared" si="15"/>
        <v>0.18093774433385681</v>
      </c>
      <c r="R37">
        <f t="shared" si="1"/>
        <v>0.83448730864197107</v>
      </c>
      <c r="T37">
        <f t="shared" si="16"/>
        <v>0.19977701406665788</v>
      </c>
      <c r="U37">
        <f t="shared" si="17"/>
        <v>7.6994772705189503E-4</v>
      </c>
      <c r="W37">
        <f t="shared" si="8"/>
        <v>6.1595818164151602E-3</v>
      </c>
    </row>
    <row r="38" spans="2:26" x14ac:dyDescent="0.2">
      <c r="B38">
        <v>6.5</v>
      </c>
      <c r="C38">
        <v>0.97557497865080922</v>
      </c>
      <c r="I38">
        <f t="shared" ref="I38:I41" si="21">I37+$I$1</f>
        <v>32</v>
      </c>
      <c r="J38">
        <f t="shared" ref="J38:J41" si="22">J37+$I$2</f>
        <v>8</v>
      </c>
      <c r="K38">
        <f t="shared" si="4"/>
        <v>0.25</v>
      </c>
      <c r="M38">
        <f t="shared" si="5"/>
        <v>0.9535688486579641</v>
      </c>
      <c r="O38">
        <f t="shared" si="20"/>
        <v>3.0714063305518874E-2</v>
      </c>
      <c r="P38">
        <f t="shared" si="14"/>
        <v>7.6785158263797185E-3</v>
      </c>
      <c r="Q38">
        <f t="shared" si="15"/>
        <v>0.18861626016023653</v>
      </c>
      <c r="R38">
        <f t="shared" si="1"/>
        <v>0.82810422231234238</v>
      </c>
      <c r="T38">
        <f t="shared" si="16"/>
        <v>0.19741359745979475</v>
      </c>
      <c r="U38">
        <f t="shared" si="17"/>
        <v>7.6083903527855311E-4</v>
      </c>
      <c r="W38">
        <f t="shared" si="8"/>
        <v>6.0867122822284249E-3</v>
      </c>
    </row>
    <row r="39" spans="2:26" x14ac:dyDescent="0.2">
      <c r="B39">
        <v>6.75</v>
      </c>
      <c r="C39">
        <v>0.97226171860812827</v>
      </c>
      <c r="I39">
        <f t="shared" si="21"/>
        <v>33</v>
      </c>
      <c r="J39">
        <f t="shared" si="22"/>
        <v>8.25</v>
      </c>
      <c r="K39">
        <f t="shared" si="4"/>
        <v>0.25</v>
      </c>
      <c r="M39">
        <f t="shared" si="5"/>
        <v>0.94954202023805168</v>
      </c>
      <c r="O39">
        <f t="shared" si="20"/>
        <v>3.0714063305518874E-2</v>
      </c>
      <c r="P39">
        <f t="shared" si="14"/>
        <v>7.6785158263797185E-3</v>
      </c>
      <c r="Q39">
        <f t="shared" si="15"/>
        <v>0.19629477598661624</v>
      </c>
      <c r="R39">
        <f t="shared" si="1"/>
        <v>0.82176996092069599</v>
      </c>
      <c r="T39">
        <f t="shared" si="16"/>
        <v>0.1950762772158956</v>
      </c>
      <c r="U39">
        <f t="shared" si="17"/>
        <v>7.5183091981747565E-4</v>
      </c>
      <c r="W39">
        <f t="shared" si="8"/>
        <v>6.0146473585398052E-3</v>
      </c>
    </row>
    <row r="40" spans="2:26" x14ac:dyDescent="0.2">
      <c r="B40">
        <v>7</v>
      </c>
      <c r="C40">
        <v>0.96878381380362766</v>
      </c>
      <c r="I40">
        <f t="shared" si="21"/>
        <v>34</v>
      </c>
      <c r="J40">
        <f t="shared" si="22"/>
        <v>8.5</v>
      </c>
      <c r="K40">
        <f t="shared" si="4"/>
        <v>0.25</v>
      </c>
      <c r="M40">
        <f t="shared" si="5"/>
        <v>0.94537484430814278</v>
      </c>
      <c r="O40">
        <f t="shared" si="20"/>
        <v>3.0714063305518874E-2</v>
      </c>
      <c r="P40">
        <f t="shared" si="14"/>
        <v>7.6785158263797185E-3</v>
      </c>
      <c r="Q40">
        <f t="shared" si="15"/>
        <v>0.20397329181299595</v>
      </c>
      <c r="R40">
        <f t="shared" si="1"/>
        <v>0.81548415099964544</v>
      </c>
      <c r="T40">
        <f t="shared" si="16"/>
        <v>0.19273455057176195</v>
      </c>
      <c r="U40">
        <f t="shared" si="17"/>
        <v>7.4280582193296724E-4</v>
      </c>
      <c r="W40">
        <f t="shared" si="8"/>
        <v>5.942446575463738E-3</v>
      </c>
    </row>
    <row r="41" spans="2:26" x14ac:dyDescent="0.2">
      <c r="B41">
        <v>7.25</v>
      </c>
      <c r="C41">
        <v>0.96521304434297506</v>
      </c>
      <c r="I41">
        <f t="shared" si="21"/>
        <v>35</v>
      </c>
      <c r="J41">
        <f t="shared" si="22"/>
        <v>8.75</v>
      </c>
      <c r="K41">
        <f t="shared" si="4"/>
        <v>0.25</v>
      </c>
      <c r="M41">
        <f t="shared" si="5"/>
        <v>0.94106932073212424</v>
      </c>
      <c r="O41">
        <f t="shared" si="20"/>
        <v>3.0714063305518874E-2</v>
      </c>
      <c r="P41">
        <f t="shared" si="14"/>
        <v>7.6785158263797185E-3</v>
      </c>
      <c r="Q41">
        <f t="shared" si="15"/>
        <v>0.21165180763937566</v>
      </c>
      <c r="R41">
        <f t="shared" si="1"/>
        <v>0.80924642193849805</v>
      </c>
      <c r="T41">
        <f t="shared" si="16"/>
        <v>0.19038924514964109</v>
      </c>
      <c r="U41">
        <f t="shared" si="17"/>
        <v>7.3376693131062569E-4</v>
      </c>
      <c r="W41">
        <f t="shared" si="8"/>
        <v>5.8701354504850055E-3</v>
      </c>
    </row>
    <row r="42" spans="2:26" x14ac:dyDescent="0.2">
      <c r="B42">
        <v>7.5</v>
      </c>
      <c r="C42">
        <v>0.96148566912864608</v>
      </c>
      <c r="I42">
        <f t="shared" ref="I42:I46" si="23">I41+$I$1</f>
        <v>36</v>
      </c>
      <c r="J42">
        <f t="shared" ref="J42:J46" si="24">J41+$I$2</f>
        <v>9</v>
      </c>
      <c r="K42">
        <f t="shared" si="4"/>
        <v>0.25</v>
      </c>
      <c r="M42">
        <f t="shared" si="5"/>
        <v>0.93662750934655492</v>
      </c>
      <c r="O42">
        <f t="shared" si="20"/>
        <v>3.0714063305518874E-2</v>
      </c>
      <c r="P42">
        <f t="shared" si="14"/>
        <v>7.6785158263797185E-3</v>
      </c>
      <c r="Q42">
        <f t="shared" si="15"/>
        <v>0.21933032346575537</v>
      </c>
      <c r="R42">
        <f t="shared" si="1"/>
        <v>0.80305640596140326</v>
      </c>
      <c r="T42">
        <f t="shared" si="16"/>
        <v>0.18804118034510625</v>
      </c>
      <c r="U42">
        <f t="shared" si="17"/>
        <v>7.2471740593020898E-4</v>
      </c>
      <c r="W42">
        <f t="shared" si="8"/>
        <v>5.7977392474416719E-3</v>
      </c>
    </row>
    <row r="43" spans="2:26" x14ac:dyDescent="0.2">
      <c r="B43">
        <v>7.75</v>
      </c>
      <c r="C43">
        <v>0.95760360641923348</v>
      </c>
      <c r="I43">
        <f t="shared" si="23"/>
        <v>37</v>
      </c>
      <c r="J43">
        <f t="shared" si="24"/>
        <v>9.25</v>
      </c>
      <c r="K43">
        <f t="shared" si="4"/>
        <v>0.25</v>
      </c>
      <c r="M43">
        <f t="shared" si="5"/>
        <v>0.93234155937232499</v>
      </c>
      <c r="O43">
        <f t="shared" si="20"/>
        <v>3.0714063305518874E-2</v>
      </c>
      <c r="P43">
        <f t="shared" si="14"/>
        <v>7.6785158263797185E-3</v>
      </c>
      <c r="Q43">
        <f t="shared" si="15"/>
        <v>0.22700883929213508</v>
      </c>
      <c r="R43">
        <f t="shared" si="1"/>
        <v>0.79691373810566934</v>
      </c>
      <c r="T43">
        <f t="shared" si="16"/>
        <v>0.18574894931766708</v>
      </c>
      <c r="U43">
        <f t="shared" si="17"/>
        <v>7.1588306591515219E-4</v>
      </c>
      <c r="W43">
        <f t="shared" si="8"/>
        <v>5.7270645273212175E-3</v>
      </c>
    </row>
    <row r="44" spans="2:26" x14ac:dyDescent="0.2">
      <c r="B44">
        <v>8</v>
      </c>
      <c r="C44">
        <v>0.9535688486579641</v>
      </c>
      <c r="I44">
        <f t="shared" si="23"/>
        <v>38</v>
      </c>
      <c r="J44">
        <f t="shared" si="24"/>
        <v>9.5</v>
      </c>
      <c r="K44">
        <f t="shared" si="4"/>
        <v>0.25</v>
      </c>
      <c r="M44">
        <f t="shared" si="5"/>
        <v>0.92793637993818689</v>
      </c>
      <c r="O44">
        <f t="shared" si="20"/>
        <v>3.0714063305518874E-2</v>
      </c>
      <c r="P44">
        <f t="shared" si="14"/>
        <v>7.6785158263797185E-3</v>
      </c>
      <c r="Q44">
        <f t="shared" si="15"/>
        <v>0.2346873551185148</v>
      </c>
      <c r="R44">
        <f t="shared" si="1"/>
        <v>0.79081805620024437</v>
      </c>
      <c r="T44">
        <f t="shared" si="16"/>
        <v>0.18345721106505211</v>
      </c>
      <c r="U44">
        <f t="shared" si="17"/>
        <v>7.0705062507184528E-4</v>
      </c>
      <c r="W44">
        <f t="shared" si="8"/>
        <v>5.6564050005747622E-3</v>
      </c>
    </row>
    <row r="45" spans="2:26" x14ac:dyDescent="0.2">
      <c r="B45">
        <v>8.25</v>
      </c>
      <c r="C45">
        <v>0.94954202023805168</v>
      </c>
      <c r="I45">
        <f t="shared" si="23"/>
        <v>39</v>
      </c>
      <c r="J45">
        <f t="shared" si="24"/>
        <v>9.75</v>
      </c>
      <c r="K45">
        <f t="shared" si="4"/>
        <v>0.25</v>
      </c>
      <c r="M45">
        <f t="shared" si="5"/>
        <v>0.92341384931771697</v>
      </c>
      <c r="O45">
        <f t="shared" si="20"/>
        <v>3.0714063305518874E-2</v>
      </c>
      <c r="P45">
        <f t="shared" si="14"/>
        <v>7.6785158263797185E-3</v>
      </c>
      <c r="Q45">
        <f t="shared" si="15"/>
        <v>0.24236587094489451</v>
      </c>
      <c r="R45">
        <f t="shared" si="1"/>
        <v>0.78476900084436352</v>
      </c>
      <c r="T45">
        <f t="shared" si="16"/>
        <v>0.18116664097372809</v>
      </c>
      <c r="U45">
        <f t="shared" si="17"/>
        <v>6.98222686363736E-4</v>
      </c>
      <c r="W45">
        <f t="shared" si="8"/>
        <v>5.585781490909888E-3</v>
      </c>
    </row>
    <row r="46" spans="2:26" x14ac:dyDescent="0.2">
      <c r="B46">
        <v>8.5</v>
      </c>
      <c r="C46">
        <v>0.94537484430814278</v>
      </c>
      <c r="I46">
        <f t="shared" si="23"/>
        <v>40</v>
      </c>
      <c r="J46">
        <f t="shared" si="24"/>
        <v>10</v>
      </c>
      <c r="K46">
        <f t="shared" si="4"/>
        <v>0.25</v>
      </c>
      <c r="M46">
        <f t="shared" si="5"/>
        <v>0.9187758893111202</v>
      </c>
      <c r="O46">
        <f t="shared" si="20"/>
        <v>3.0714063305518874E-2</v>
      </c>
      <c r="P46">
        <f t="shared" si="14"/>
        <v>7.6785158263797185E-3</v>
      </c>
      <c r="Q46">
        <f t="shared" si="15"/>
        <v>0.25004438677127422</v>
      </c>
      <c r="R46">
        <f t="shared" si="1"/>
        <v>0.77876621538635815</v>
      </c>
      <c r="T46">
        <f t="shared" si="16"/>
        <v>0.17887790552676414</v>
      </c>
      <c r="U46">
        <f t="shared" si="17"/>
        <v>6.8940181844034259E-4</v>
      </c>
      <c r="W46">
        <f t="shared" si="8"/>
        <v>5.5152145475227407E-3</v>
      </c>
    </row>
    <row r="47" spans="2:26" x14ac:dyDescent="0.2">
      <c r="B47">
        <v>8.75</v>
      </c>
      <c r="C47">
        <v>0.94106932073212424</v>
      </c>
    </row>
    <row r="48" spans="2:26" x14ac:dyDescent="0.2">
      <c r="B48">
        <v>9</v>
      </c>
      <c r="C48">
        <v>0.93662750934655492</v>
      </c>
    </row>
    <row r="49" spans="2:3" x14ac:dyDescent="0.2">
      <c r="B49">
        <v>9.25</v>
      </c>
      <c r="C49">
        <v>0.93234155937232499</v>
      </c>
    </row>
    <row r="50" spans="2:3" x14ac:dyDescent="0.2">
      <c r="B50">
        <v>9.5</v>
      </c>
      <c r="C50">
        <v>0.92793637993818689</v>
      </c>
    </row>
    <row r="51" spans="2:3" x14ac:dyDescent="0.2">
      <c r="B51">
        <v>9.75</v>
      </c>
      <c r="C51">
        <v>0.92341384931771697</v>
      </c>
    </row>
    <row r="52" spans="2:3" x14ac:dyDescent="0.2">
      <c r="B52">
        <v>10</v>
      </c>
      <c r="C52">
        <v>0.9187758893111202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6F44-6E0D-D04B-B245-A3DB5F06ECAD}">
  <dimension ref="A1:T70"/>
  <sheetViews>
    <sheetView tabSelected="1" topLeftCell="H1" zoomScale="110" workbookViewId="0">
      <selection activeCell="H4" sqref="H4"/>
    </sheetView>
  </sheetViews>
  <sheetFormatPr baseColWidth="10" defaultRowHeight="16" x14ac:dyDescent="0.2"/>
  <cols>
    <col min="1" max="1" width="14.5" bestFit="1" customWidth="1"/>
    <col min="7" max="7" width="3.83203125" customWidth="1"/>
  </cols>
  <sheetData>
    <row r="1" spans="1:20" x14ac:dyDescent="0.2">
      <c r="K1" t="s">
        <v>65</v>
      </c>
      <c r="L1">
        <v>1</v>
      </c>
    </row>
    <row r="2" spans="1:20" x14ac:dyDescent="0.2">
      <c r="A2" t="s">
        <v>71</v>
      </c>
      <c r="B2" s="40">
        <v>42333</v>
      </c>
      <c r="K2" t="s">
        <v>66</v>
      </c>
      <c r="L2">
        <v>0.25</v>
      </c>
    </row>
    <row r="3" spans="1:20" ht="17" thickBot="1" x14ac:dyDescent="0.25">
      <c r="A3" t="s">
        <v>72</v>
      </c>
      <c r="B3" s="40">
        <v>42335</v>
      </c>
    </row>
    <row r="4" spans="1:20" x14ac:dyDescent="0.2">
      <c r="A4" t="s">
        <v>73</v>
      </c>
      <c r="B4" s="40">
        <v>42261</v>
      </c>
      <c r="D4" s="3" t="s">
        <v>64</v>
      </c>
      <c r="E4" s="9" t="s">
        <v>61</v>
      </c>
      <c r="F4" s="4" t="s">
        <v>68</v>
      </c>
      <c r="L4" t="s">
        <v>39</v>
      </c>
    </row>
    <row r="5" spans="1:20" x14ac:dyDescent="0.2">
      <c r="A5" t="s">
        <v>74</v>
      </c>
      <c r="B5" s="40">
        <v>42627</v>
      </c>
      <c r="D5" s="5">
        <v>1</v>
      </c>
      <c r="E5" s="41">
        <v>52.715000000000003</v>
      </c>
      <c r="F5" s="6">
        <v>8.78581918102651E-3</v>
      </c>
      <c r="L5" t="s">
        <v>38</v>
      </c>
      <c r="M5" t="s">
        <v>36</v>
      </c>
      <c r="N5" t="s">
        <v>37</v>
      </c>
      <c r="P5" t="s">
        <v>48</v>
      </c>
      <c r="Q5" t="s">
        <v>45</v>
      </c>
      <c r="R5" t="s">
        <v>46</v>
      </c>
      <c r="S5" t="s">
        <v>47</v>
      </c>
      <c r="T5" t="s">
        <v>49</v>
      </c>
    </row>
    <row r="6" spans="1:20" x14ac:dyDescent="0.2">
      <c r="A6" t="s">
        <v>75</v>
      </c>
      <c r="B6" s="10">
        <v>1</v>
      </c>
      <c r="D6" s="5">
        <v>3</v>
      </c>
      <c r="E6" s="41">
        <v>113.47</v>
      </c>
      <c r="F6" s="6">
        <v>1.2647868957759639E-2</v>
      </c>
      <c r="L6">
        <v>0</v>
      </c>
      <c r="M6">
        <f>A25</f>
        <v>0</v>
      </c>
      <c r="P6">
        <f>B25</f>
        <v>1</v>
      </c>
      <c r="T6">
        <f>EXP(-S6)</f>
        <v>1</v>
      </c>
    </row>
    <row r="7" spans="1:20" x14ac:dyDescent="0.2">
      <c r="A7" t="s">
        <v>76</v>
      </c>
      <c r="B7">
        <f>YEARFRAC(B4,B3,1)</f>
        <v>0.20273972602739726</v>
      </c>
      <c r="D7" s="5">
        <v>5</v>
      </c>
      <c r="E7" s="41">
        <v>176.32</v>
      </c>
      <c r="F7" s="6">
        <v>2.75388846564152E-2</v>
      </c>
      <c r="L7">
        <f>L6+$L$1</f>
        <v>1</v>
      </c>
      <c r="M7">
        <f t="shared" ref="M7:M51" si="0">A26</f>
        <v>0.25</v>
      </c>
      <c r="N7">
        <f>M7-M6</f>
        <v>0.25</v>
      </c>
      <c r="P7">
        <f t="shared" ref="P7:P51" si="1">B26</f>
        <v>1.0002600676175806</v>
      </c>
      <c r="Q7">
        <f>$F$5</f>
        <v>8.78581918102651E-3</v>
      </c>
      <c r="R7">
        <f>Q7*N7</f>
        <v>2.1964547952566275E-3</v>
      </c>
      <c r="S7">
        <f>S6+R7</f>
        <v>2.1964547952566275E-3</v>
      </c>
      <c r="T7">
        <f>EXP(-S7)</f>
        <v>0.99780595564644547</v>
      </c>
    </row>
    <row r="8" spans="1:20" x14ac:dyDescent="0.2">
      <c r="A8" t="s">
        <v>77</v>
      </c>
      <c r="B8" s="10">
        <v>4.875</v>
      </c>
      <c r="D8" s="5">
        <v>7</v>
      </c>
      <c r="E8" s="41">
        <v>220.5</v>
      </c>
      <c r="F8" s="6">
        <v>3.437143522267077E-2</v>
      </c>
      <c r="L8">
        <f t="shared" ref="L8:L46" si="2">L7+$L$1</f>
        <v>2</v>
      </c>
      <c r="M8">
        <f t="shared" si="0"/>
        <v>0.5</v>
      </c>
      <c r="N8">
        <f t="shared" ref="N8:N51" si="3">M8-M7</f>
        <v>0.25</v>
      </c>
      <c r="P8">
        <f t="shared" si="1"/>
        <v>1.0001650272294929</v>
      </c>
      <c r="Q8">
        <f t="shared" ref="Q8:Q10" si="4">$F$5</f>
        <v>8.78581918102651E-3</v>
      </c>
      <c r="R8">
        <f t="shared" ref="R8:R51" si="5">Q8*N8</f>
        <v>2.1964547952566275E-3</v>
      </c>
      <c r="S8">
        <f t="shared" ref="S8:S51" si="6">S7+R8</f>
        <v>4.392909590513255E-3</v>
      </c>
      <c r="T8">
        <f t="shared" ref="T8:T51" si="7">EXP(-S8)</f>
        <v>0.99561672512351629</v>
      </c>
    </row>
    <row r="9" spans="1:20" ht="17" thickBot="1" x14ac:dyDescent="0.25">
      <c r="A9" t="s">
        <v>78</v>
      </c>
      <c r="B9" s="36">
        <f>B8*B7</f>
        <v>0.98835616438356166</v>
      </c>
      <c r="D9" s="7">
        <v>10</v>
      </c>
      <c r="E9" s="42">
        <v>243.04</v>
      </c>
      <c r="F9" s="8">
        <v>3.0714063305518874E-2</v>
      </c>
      <c r="L9">
        <f t="shared" si="2"/>
        <v>3</v>
      </c>
      <c r="M9">
        <f t="shared" si="0"/>
        <v>0.75</v>
      </c>
      <c r="N9">
        <f t="shared" si="3"/>
        <v>0.25</v>
      </c>
      <c r="P9">
        <f t="shared" si="1"/>
        <v>0.99990624664760019</v>
      </c>
      <c r="Q9">
        <f t="shared" si="4"/>
        <v>8.78581918102651E-3</v>
      </c>
      <c r="R9">
        <f t="shared" si="5"/>
        <v>2.1964547952566275E-3</v>
      </c>
      <c r="S9">
        <f t="shared" si="6"/>
        <v>6.5893643857698825E-3</v>
      </c>
      <c r="T9">
        <f t="shared" si="7"/>
        <v>0.99343229786945453</v>
      </c>
    </row>
    <row r="10" spans="1:20" x14ac:dyDescent="0.2">
      <c r="A10" t="s">
        <v>6</v>
      </c>
      <c r="B10" s="36">
        <v>0.4</v>
      </c>
      <c r="K10" s="37"/>
      <c r="L10" s="37">
        <f t="shared" si="2"/>
        <v>4</v>
      </c>
      <c r="M10">
        <f t="shared" si="0"/>
        <v>0.79781420765027322</v>
      </c>
      <c r="N10">
        <f t="shared" si="3"/>
        <v>4.7814207650273222E-2</v>
      </c>
      <c r="O10" s="37"/>
      <c r="P10">
        <f t="shared" si="1"/>
        <v>0.9998308462851957</v>
      </c>
      <c r="Q10" s="37">
        <f t="shared" si="4"/>
        <v>8.78581918102651E-3</v>
      </c>
      <c r="R10">
        <f t="shared" si="5"/>
        <v>4.2008698269935496E-4</v>
      </c>
      <c r="S10">
        <f t="shared" si="6"/>
        <v>7.0094513684692376E-3</v>
      </c>
      <c r="T10">
        <f t="shared" si="7"/>
        <v>0.99301505753767849</v>
      </c>
    </row>
    <row r="11" spans="1:20" x14ac:dyDescent="0.2">
      <c r="L11">
        <f t="shared" si="2"/>
        <v>5</v>
      </c>
      <c r="M11">
        <f t="shared" si="0"/>
        <v>1</v>
      </c>
      <c r="N11">
        <f t="shared" si="3"/>
        <v>0.20218579234972678</v>
      </c>
      <c r="P11">
        <f t="shared" si="1"/>
        <v>0.99942012030720562</v>
      </c>
      <c r="Q11">
        <f>$F$5</f>
        <v>8.78581918102651E-3</v>
      </c>
      <c r="R11">
        <f t="shared" si="5"/>
        <v>1.7763678125572726E-3</v>
      </c>
      <c r="S11">
        <f t="shared" si="6"/>
        <v>8.78581918102651E-3</v>
      </c>
      <c r="T11">
        <f t="shared" si="7"/>
        <v>0.9912526633456753</v>
      </c>
    </row>
    <row r="12" spans="1:20" x14ac:dyDescent="0.2">
      <c r="L12">
        <f t="shared" si="2"/>
        <v>6</v>
      </c>
      <c r="M12">
        <f t="shared" si="0"/>
        <v>1.25</v>
      </c>
      <c r="N12">
        <f t="shared" si="3"/>
        <v>0.25</v>
      </c>
      <c r="P12">
        <f t="shared" si="1"/>
        <v>0.99980602738772373</v>
      </c>
      <c r="Q12">
        <f>$F$6</f>
        <v>1.2647868957759639E-2</v>
      </c>
      <c r="R12">
        <f t="shared" si="5"/>
        <v>3.1619672394399096E-3</v>
      </c>
      <c r="S12">
        <f t="shared" si="6"/>
        <v>1.1947786420466421E-2</v>
      </c>
      <c r="T12">
        <f t="shared" si="7"/>
        <v>0.98812330496978751</v>
      </c>
    </row>
    <row r="13" spans="1:20" x14ac:dyDescent="0.2">
      <c r="L13">
        <f t="shared" si="2"/>
        <v>7</v>
      </c>
      <c r="M13">
        <f t="shared" si="0"/>
        <v>1.5</v>
      </c>
      <c r="N13">
        <f t="shared" si="3"/>
        <v>0.25</v>
      </c>
      <c r="P13">
        <f t="shared" si="1"/>
        <v>1.0004045742244059</v>
      </c>
      <c r="Q13">
        <f t="shared" ref="Q13:Q21" si="8">$F$6</f>
        <v>1.2647868957759639E-2</v>
      </c>
      <c r="R13">
        <f t="shared" si="5"/>
        <v>3.1619672394399096E-3</v>
      </c>
      <c r="S13">
        <f t="shared" si="6"/>
        <v>1.5109753659906331E-2</v>
      </c>
      <c r="T13">
        <f t="shared" si="7"/>
        <v>0.98500382589531987</v>
      </c>
    </row>
    <row r="14" spans="1:20" x14ac:dyDescent="0.2">
      <c r="A14" t="s">
        <v>79</v>
      </c>
      <c r="B14" t="s">
        <v>80</v>
      </c>
      <c r="C14" t="s">
        <v>81</v>
      </c>
      <c r="D14" t="s">
        <v>82</v>
      </c>
      <c r="E14" t="s">
        <v>42</v>
      </c>
      <c r="F14" t="s">
        <v>83</v>
      </c>
      <c r="H14" t="s">
        <v>84</v>
      </c>
      <c r="I14" t="s">
        <v>85</v>
      </c>
      <c r="L14">
        <f t="shared" si="2"/>
        <v>8</v>
      </c>
      <c r="M14">
        <f t="shared" si="0"/>
        <v>1.75</v>
      </c>
      <c r="N14">
        <f t="shared" si="3"/>
        <v>0.25</v>
      </c>
      <c r="P14">
        <f t="shared" si="1"/>
        <v>1.0012161425154005</v>
      </c>
      <c r="Q14">
        <f t="shared" si="8"/>
        <v>1.2647868957759639E-2</v>
      </c>
      <c r="R14">
        <f t="shared" si="5"/>
        <v>3.1619672394399096E-3</v>
      </c>
      <c r="S14">
        <f t="shared" si="6"/>
        <v>1.8271720899346242E-2</v>
      </c>
      <c r="T14">
        <f t="shared" si="7"/>
        <v>0.98189419493357977</v>
      </c>
    </row>
    <row r="15" spans="1:20" x14ac:dyDescent="0.2">
      <c r="F15">
        <f>T6</f>
        <v>1</v>
      </c>
      <c r="L15">
        <f t="shared" si="2"/>
        <v>9</v>
      </c>
      <c r="M15">
        <f t="shared" si="0"/>
        <v>1.7983576642335768</v>
      </c>
      <c r="N15">
        <f t="shared" si="3"/>
        <v>4.8357664233576791E-2</v>
      </c>
      <c r="P15">
        <f t="shared" si="1"/>
        <v>1.0013977536616308</v>
      </c>
      <c r="Q15">
        <f t="shared" si="8"/>
        <v>1.2647868957759639E-2</v>
      </c>
      <c r="R15">
        <f t="shared" si="5"/>
        <v>6.1162140032961941E-4</v>
      </c>
      <c r="S15">
        <f t="shared" si="6"/>
        <v>1.8883342299675861E-2</v>
      </c>
      <c r="T15">
        <f t="shared" si="7"/>
        <v>0.98129383104751466</v>
      </c>
    </row>
    <row r="16" spans="1:20" x14ac:dyDescent="0.2">
      <c r="A16" s="40">
        <f>B5</f>
        <v>42627</v>
      </c>
      <c r="B16" s="36">
        <f>$B$8</f>
        <v>4.875</v>
      </c>
      <c r="C16" s="40">
        <f>A16</f>
        <v>42627</v>
      </c>
      <c r="D16">
        <f>YEARFRAC($B$3,C16,1)</f>
        <v>0.79781420765027322</v>
      </c>
      <c r="E16">
        <v>0.9998308462851957</v>
      </c>
      <c r="F16">
        <f>T10</f>
        <v>0.99301505753767849</v>
      </c>
      <c r="H16" s="36">
        <f>B16*E16*F16</f>
        <v>4.8401295410902163</v>
      </c>
      <c r="I16" s="36">
        <f>(1+$B$8)*$B$10*(F15-F16)</f>
        <v>1.6414614786455544E-2</v>
      </c>
      <c r="L16">
        <f t="shared" si="2"/>
        <v>10</v>
      </c>
      <c r="M16">
        <f t="shared" si="0"/>
        <v>2</v>
      </c>
      <c r="N16">
        <f t="shared" si="3"/>
        <v>0.20164233576642321</v>
      </c>
      <c r="P16">
        <f t="shared" si="1"/>
        <v>1.0022412500473876</v>
      </c>
      <c r="Q16">
        <f t="shared" si="8"/>
        <v>1.2647868957759639E-2</v>
      </c>
      <c r="R16">
        <f t="shared" si="5"/>
        <v>2.5503458391102902E-3</v>
      </c>
      <c r="S16">
        <f t="shared" si="6"/>
        <v>2.1433688138786152E-2</v>
      </c>
      <c r="T16">
        <f t="shared" si="7"/>
        <v>0.97879438099433647</v>
      </c>
    </row>
    <row r="17" spans="1:20" x14ac:dyDescent="0.2">
      <c r="A17" s="40">
        <v>42992</v>
      </c>
      <c r="B17" s="36">
        <f t="shared" ref="B17:B20" si="9">$B$8</f>
        <v>4.875</v>
      </c>
      <c r="C17" s="40">
        <f t="shared" ref="C17:C20" si="10">A17</f>
        <v>42992</v>
      </c>
      <c r="D17">
        <f t="shared" ref="D17:D20" si="11">YEARFRAC($B$3,C17,1)</f>
        <v>1.7983576642335768</v>
      </c>
      <c r="E17">
        <v>1.0013977536616308</v>
      </c>
      <c r="F17">
        <f>T15</f>
        <v>0.98129383104751466</v>
      </c>
      <c r="H17" s="36">
        <f t="shared" ref="H17:H20" si="12">B17*E17*F17</f>
        <v>4.7904940107033607</v>
      </c>
      <c r="I17" s="36">
        <f t="shared" ref="I17:I20" si="13">(1+$B$8)*$B$10*(F16-F17)</f>
        <v>2.7544882251884995E-2</v>
      </c>
      <c r="L17">
        <f t="shared" si="2"/>
        <v>11</v>
      </c>
      <c r="M17">
        <f t="shared" si="0"/>
        <v>2.25</v>
      </c>
      <c r="N17">
        <f t="shared" si="3"/>
        <v>0.25</v>
      </c>
      <c r="P17">
        <f t="shared" si="1"/>
        <v>1.0022345986715118</v>
      </c>
      <c r="Q17">
        <f t="shared" si="8"/>
        <v>1.2647868957759639E-2</v>
      </c>
      <c r="R17">
        <f t="shared" si="5"/>
        <v>3.1619672394399096E-3</v>
      </c>
      <c r="S17">
        <f t="shared" si="6"/>
        <v>2.4595655378226063E-2</v>
      </c>
      <c r="T17">
        <f t="shared" si="7"/>
        <v>0.97570435308551007</v>
      </c>
    </row>
    <row r="18" spans="1:20" x14ac:dyDescent="0.2">
      <c r="A18" s="40">
        <v>43357</v>
      </c>
      <c r="B18" s="36">
        <f t="shared" si="9"/>
        <v>4.875</v>
      </c>
      <c r="C18" s="40">
        <f t="shared" si="10"/>
        <v>43357</v>
      </c>
      <c r="D18">
        <f t="shared" si="11"/>
        <v>2.7980835044490076</v>
      </c>
      <c r="E18">
        <v>1.0019967724358467</v>
      </c>
      <c r="F18">
        <f>T20</f>
        <v>0.96896407341248669</v>
      </c>
      <c r="H18" s="36">
        <f t="shared" si="12"/>
        <v>4.7331320115573128</v>
      </c>
      <c r="I18" s="36">
        <f t="shared" si="13"/>
        <v>2.8974930442315736E-2</v>
      </c>
      <c r="K18" s="37"/>
      <c r="L18" s="37">
        <f t="shared" si="2"/>
        <v>12</v>
      </c>
      <c r="M18">
        <f t="shared" si="0"/>
        <v>2.5</v>
      </c>
      <c r="N18">
        <f t="shared" si="3"/>
        <v>0.25</v>
      </c>
      <c r="O18" s="37"/>
      <c r="P18">
        <f t="shared" si="1"/>
        <v>1.0021641454687351</v>
      </c>
      <c r="Q18">
        <f t="shared" si="8"/>
        <v>1.2647868957759639E-2</v>
      </c>
      <c r="R18">
        <f t="shared" si="5"/>
        <v>3.1619672394399096E-3</v>
      </c>
      <c r="S18">
        <f t="shared" si="6"/>
        <v>2.7757622617665973E-2</v>
      </c>
      <c r="T18">
        <f t="shared" si="7"/>
        <v>0.97262408031286229</v>
      </c>
    </row>
    <row r="19" spans="1:20" x14ac:dyDescent="0.2">
      <c r="A19" s="40">
        <v>43722</v>
      </c>
      <c r="B19" s="36">
        <f t="shared" si="9"/>
        <v>4.875</v>
      </c>
      <c r="C19" s="40">
        <f t="shared" si="10"/>
        <v>43722</v>
      </c>
      <c r="D19">
        <f t="shared" si="11"/>
        <v>3.7979189485213585</v>
      </c>
      <c r="E19">
        <v>0.99917875048949245</v>
      </c>
      <c r="F19">
        <f>T25</f>
        <v>0.94548679703429261</v>
      </c>
      <c r="H19" s="36">
        <f t="shared" si="12"/>
        <v>4.6054627927670548</v>
      </c>
      <c r="I19" s="36">
        <f t="shared" si="13"/>
        <v>5.5171599488756086E-2</v>
      </c>
      <c r="L19">
        <f t="shared" si="2"/>
        <v>13</v>
      </c>
      <c r="M19">
        <f t="shared" si="0"/>
        <v>2.75</v>
      </c>
      <c r="N19">
        <f t="shared" si="3"/>
        <v>0.25</v>
      </c>
      <c r="P19">
        <f t="shared" si="1"/>
        <v>1.0020299038938707</v>
      </c>
      <c r="Q19">
        <f t="shared" si="8"/>
        <v>1.2647868957759639E-2</v>
      </c>
      <c r="R19">
        <f t="shared" si="5"/>
        <v>3.1619672394399096E-3</v>
      </c>
      <c r="S19">
        <f t="shared" si="6"/>
        <v>3.0919589857105884E-2</v>
      </c>
      <c r="T19">
        <f t="shared" si="7"/>
        <v>0.96955353187968663</v>
      </c>
    </row>
    <row r="20" spans="1:20" x14ac:dyDescent="0.2">
      <c r="A20" s="40">
        <v>44088</v>
      </c>
      <c r="B20" s="36">
        <f>$B$8+100</f>
        <v>104.875</v>
      </c>
      <c r="C20" s="40">
        <f t="shared" si="10"/>
        <v>44088</v>
      </c>
      <c r="D20">
        <f t="shared" si="11"/>
        <v>4.7983576642335768</v>
      </c>
      <c r="E20">
        <v>0.99315417113583537</v>
      </c>
      <c r="F20">
        <f>T30</f>
        <v>0.91979328777797498</v>
      </c>
      <c r="H20" s="36">
        <f t="shared" si="12"/>
        <v>95.802949668098734</v>
      </c>
      <c r="I20" s="36">
        <f t="shared" si="13"/>
        <v>6.0379746752346447E-2</v>
      </c>
      <c r="L20">
        <f t="shared" si="2"/>
        <v>14</v>
      </c>
      <c r="M20">
        <f t="shared" si="0"/>
        <v>2.7980835044490076</v>
      </c>
      <c r="N20">
        <f t="shared" si="3"/>
        <v>4.8083504449007552E-2</v>
      </c>
      <c r="P20">
        <f t="shared" si="1"/>
        <v>1.0019967724358467</v>
      </c>
      <c r="Q20">
        <f>$F$6</f>
        <v>1.2647868957759639E-2</v>
      </c>
      <c r="R20">
        <f t="shared" si="5"/>
        <v>6.0815386330090012E-4</v>
      </c>
      <c r="S20">
        <f t="shared" si="6"/>
        <v>3.1527743720406787E-2</v>
      </c>
      <c r="T20">
        <f t="shared" si="7"/>
        <v>0.96896407341248669</v>
      </c>
    </row>
    <row r="21" spans="1:20" x14ac:dyDescent="0.2">
      <c r="L21">
        <f t="shared" si="2"/>
        <v>15</v>
      </c>
      <c r="M21">
        <f t="shared" si="0"/>
        <v>3</v>
      </c>
      <c r="N21">
        <f t="shared" si="3"/>
        <v>0.20191649555099245</v>
      </c>
      <c r="P21">
        <f t="shared" si="1"/>
        <v>1.0018318995819817</v>
      </c>
      <c r="Q21">
        <f t="shared" si="8"/>
        <v>1.2647868957759639E-2</v>
      </c>
      <c r="R21">
        <f t="shared" si="5"/>
        <v>2.5538133761390095E-3</v>
      </c>
      <c r="S21">
        <f t="shared" si="6"/>
        <v>3.4081557096545798E-2</v>
      </c>
      <c r="T21">
        <f t="shared" si="7"/>
        <v>0.96649267708650133</v>
      </c>
    </row>
    <row r="22" spans="1:20" x14ac:dyDescent="0.2">
      <c r="L22">
        <f t="shared" si="2"/>
        <v>16</v>
      </c>
      <c r="M22">
        <f t="shared" si="0"/>
        <v>3.25</v>
      </c>
      <c r="N22">
        <f t="shared" si="3"/>
        <v>0.25</v>
      </c>
      <c r="P22">
        <f t="shared" si="1"/>
        <v>1.0011418921720547</v>
      </c>
      <c r="Q22">
        <f>$F$7</f>
        <v>2.75388846564152E-2</v>
      </c>
      <c r="R22">
        <f t="shared" si="5"/>
        <v>6.8847211641037999E-3</v>
      </c>
      <c r="S22">
        <f t="shared" si="6"/>
        <v>4.0966278260649594E-2</v>
      </c>
      <c r="T22">
        <f t="shared" si="7"/>
        <v>0.9598614976012837</v>
      </c>
    </row>
    <row r="23" spans="1:20" x14ac:dyDescent="0.2">
      <c r="A23" t="s">
        <v>89</v>
      </c>
      <c r="E23" t="s">
        <v>86</v>
      </c>
      <c r="F23" s="36">
        <f>SUM(H16:I20)</f>
        <v>114.96065379793843</v>
      </c>
      <c r="L23">
        <f t="shared" si="2"/>
        <v>17</v>
      </c>
      <c r="M23">
        <f t="shared" si="0"/>
        <v>3.5</v>
      </c>
      <c r="N23">
        <f t="shared" si="3"/>
        <v>0.25</v>
      </c>
      <c r="P23">
        <f t="shared" si="1"/>
        <v>1.0003228480323494</v>
      </c>
      <c r="Q23">
        <f t="shared" ref="Q23:Q31" si="14">$F$7</f>
        <v>2.75388846564152E-2</v>
      </c>
      <c r="R23">
        <f t="shared" si="5"/>
        <v>6.8847211641037999E-3</v>
      </c>
      <c r="S23">
        <f t="shared" si="6"/>
        <v>4.785099942475339E-2</v>
      </c>
      <c r="T23">
        <f t="shared" si="7"/>
        <v>0.95327581514093507</v>
      </c>
    </row>
    <row r="24" spans="1:20" x14ac:dyDescent="0.2">
      <c r="A24" t="s">
        <v>66</v>
      </c>
      <c r="B24" t="s">
        <v>7</v>
      </c>
      <c r="E24" t="s">
        <v>87</v>
      </c>
      <c r="F24" s="36">
        <f>B9</f>
        <v>0.98835616438356166</v>
      </c>
      <c r="L24">
        <f t="shared" si="2"/>
        <v>18</v>
      </c>
      <c r="M24">
        <f t="shared" si="0"/>
        <v>3.75</v>
      </c>
      <c r="N24">
        <f t="shared" si="3"/>
        <v>0.25</v>
      </c>
      <c r="P24">
        <f t="shared" si="1"/>
        <v>0.99937508469846825</v>
      </c>
      <c r="Q24">
        <f t="shared" si="14"/>
        <v>2.75388846564152E-2</v>
      </c>
      <c r="R24">
        <f t="shared" si="5"/>
        <v>6.8847211641037999E-3</v>
      </c>
      <c r="S24">
        <f t="shared" si="6"/>
        <v>5.4735720588857187E-2</v>
      </c>
      <c r="T24">
        <f t="shared" si="7"/>
        <v>0.94673531754692075</v>
      </c>
    </row>
    <row r="25" spans="1:20" x14ac:dyDescent="0.2">
      <c r="A25">
        <v>0</v>
      </c>
      <c r="B25">
        <v>1</v>
      </c>
      <c r="E25" t="s">
        <v>88</v>
      </c>
      <c r="F25" s="36">
        <f>F23-B9</f>
        <v>113.97229763355487</v>
      </c>
      <c r="L25">
        <f t="shared" si="2"/>
        <v>19</v>
      </c>
      <c r="M25">
        <f t="shared" si="0"/>
        <v>3.7979189485213585</v>
      </c>
      <c r="N25">
        <f t="shared" si="3"/>
        <v>4.7918948521358473E-2</v>
      </c>
      <c r="P25">
        <f t="shared" si="1"/>
        <v>0.99917875048949245</v>
      </c>
      <c r="Q25">
        <f t="shared" si="14"/>
        <v>2.75388846564152E-2</v>
      </c>
      <c r="R25">
        <f t="shared" si="5"/>
        <v>1.3196343961863887E-3</v>
      </c>
      <c r="S25">
        <f t="shared" si="6"/>
        <v>5.6055354985043576E-2</v>
      </c>
      <c r="T25">
        <f t="shared" si="7"/>
        <v>0.94548679703429261</v>
      </c>
    </row>
    <row r="26" spans="1:20" x14ac:dyDescent="0.2">
      <c r="A26">
        <v>0.25</v>
      </c>
      <c r="B26">
        <v>1.0002600676175806</v>
      </c>
      <c r="K26" s="37"/>
      <c r="L26" s="37">
        <f t="shared" si="2"/>
        <v>20</v>
      </c>
      <c r="M26">
        <f t="shared" si="0"/>
        <v>4</v>
      </c>
      <c r="N26">
        <f t="shared" si="3"/>
        <v>0.20208105147864153</v>
      </c>
      <c r="O26" s="37"/>
      <c r="P26">
        <f t="shared" si="1"/>
        <v>0.99829896939251683</v>
      </c>
      <c r="Q26">
        <f t="shared" si="14"/>
        <v>2.75388846564152E-2</v>
      </c>
      <c r="R26">
        <f t="shared" si="5"/>
        <v>5.5650867679174114E-3</v>
      </c>
      <c r="S26">
        <f t="shared" si="6"/>
        <v>6.162044175296099E-2</v>
      </c>
      <c r="T26">
        <f t="shared" si="7"/>
        <v>0.9402396948024494</v>
      </c>
    </row>
    <row r="27" spans="1:20" x14ac:dyDescent="0.2">
      <c r="A27">
        <v>0.5</v>
      </c>
      <c r="B27">
        <v>1.0001650272294929</v>
      </c>
      <c r="L27">
        <f t="shared" si="2"/>
        <v>21</v>
      </c>
      <c r="M27">
        <f t="shared" si="0"/>
        <v>4.25</v>
      </c>
      <c r="N27">
        <f t="shared" si="3"/>
        <v>0.25</v>
      </c>
      <c r="P27">
        <f t="shared" si="1"/>
        <v>0.99685723775405122</v>
      </c>
      <c r="Q27">
        <f t="shared" si="14"/>
        <v>2.75388846564152E-2</v>
      </c>
      <c r="R27">
        <f t="shared" si="5"/>
        <v>6.8847211641037999E-3</v>
      </c>
      <c r="S27">
        <f t="shared" si="6"/>
        <v>6.8505162917064794E-2</v>
      </c>
      <c r="T27">
        <f t="shared" si="7"/>
        <v>0.93378863901777809</v>
      </c>
    </row>
    <row r="28" spans="1:20" x14ac:dyDescent="0.2">
      <c r="A28">
        <v>0.75</v>
      </c>
      <c r="B28">
        <v>0.99990624664760019</v>
      </c>
      <c r="L28">
        <f t="shared" si="2"/>
        <v>22</v>
      </c>
      <c r="M28">
        <f t="shared" si="0"/>
        <v>4.5</v>
      </c>
      <c r="N28">
        <f t="shared" si="3"/>
        <v>0.25</v>
      </c>
      <c r="P28">
        <f t="shared" si="1"/>
        <v>0.99526081328902039</v>
      </c>
      <c r="Q28">
        <f t="shared" si="14"/>
        <v>2.75388846564152E-2</v>
      </c>
      <c r="R28">
        <f t="shared" si="5"/>
        <v>6.8847211641037999E-3</v>
      </c>
      <c r="S28">
        <f t="shared" si="6"/>
        <v>7.538988408116859E-2</v>
      </c>
      <c r="T28">
        <f t="shared" si="7"/>
        <v>0.92738184441561911</v>
      </c>
    </row>
    <row r="29" spans="1:20" x14ac:dyDescent="0.2">
      <c r="A29">
        <v>0.79781420765027322</v>
      </c>
      <c r="B29">
        <v>0.9998308462851957</v>
      </c>
      <c r="L29">
        <f t="shared" si="2"/>
        <v>23</v>
      </c>
      <c r="M29">
        <f t="shared" si="0"/>
        <v>4.75</v>
      </c>
      <c r="N29">
        <f t="shared" si="3"/>
        <v>0.25</v>
      </c>
      <c r="P29">
        <f t="shared" si="1"/>
        <v>0.99351044619183315</v>
      </c>
      <c r="Q29">
        <f t="shared" si="14"/>
        <v>2.75388846564152E-2</v>
      </c>
      <c r="R29">
        <f t="shared" si="5"/>
        <v>6.8847211641037999E-3</v>
      </c>
      <c r="S29">
        <f t="shared" si="6"/>
        <v>8.2274605245272386E-2</v>
      </c>
      <c r="T29">
        <f t="shared" si="7"/>
        <v>0.92101900731664565</v>
      </c>
    </row>
    <row r="30" spans="1:20" x14ac:dyDescent="0.2">
      <c r="A30">
        <v>1</v>
      </c>
      <c r="B30">
        <v>0.99942012030720562</v>
      </c>
      <c r="L30">
        <f t="shared" si="2"/>
        <v>24</v>
      </c>
      <c r="M30">
        <f t="shared" si="0"/>
        <v>4.7983576642335768</v>
      </c>
      <c r="N30">
        <f t="shared" si="3"/>
        <v>4.8357664233576791E-2</v>
      </c>
      <c r="P30">
        <f t="shared" si="1"/>
        <v>0.99315417113583537</v>
      </c>
      <c r="Q30">
        <f t="shared" si="14"/>
        <v>2.75388846564152E-2</v>
      </c>
      <c r="R30">
        <f t="shared" si="5"/>
        <v>1.331716137582126E-3</v>
      </c>
      <c r="S30">
        <f t="shared" si="6"/>
        <v>8.3606321382854509E-2</v>
      </c>
      <c r="T30">
        <f t="shared" si="7"/>
        <v>0.91979328777797498</v>
      </c>
    </row>
    <row r="31" spans="1:20" x14ac:dyDescent="0.2">
      <c r="A31">
        <v>1.25</v>
      </c>
      <c r="B31">
        <v>0.99980602738772373</v>
      </c>
      <c r="L31">
        <f t="shared" si="2"/>
        <v>25</v>
      </c>
      <c r="M31">
        <f t="shared" si="0"/>
        <v>5</v>
      </c>
      <c r="N31">
        <f t="shared" si="3"/>
        <v>0.20164233576642321</v>
      </c>
      <c r="P31">
        <f t="shared" si="1"/>
        <v>0.99160695807084664</v>
      </c>
      <c r="Q31">
        <f t="shared" si="14"/>
        <v>2.75388846564152E-2</v>
      </c>
      <c r="R31">
        <f t="shared" si="5"/>
        <v>5.5530050265216735E-3</v>
      </c>
      <c r="S31">
        <f t="shared" si="6"/>
        <v>8.9159326409376183E-2</v>
      </c>
      <c r="T31">
        <f t="shared" si="7"/>
        <v>0.91469982612509793</v>
      </c>
    </row>
    <row r="32" spans="1:20" x14ac:dyDescent="0.2">
      <c r="A32" s="37">
        <v>1.5</v>
      </c>
      <c r="B32" s="37">
        <v>1.0004045742244059</v>
      </c>
      <c r="L32">
        <f t="shared" si="2"/>
        <v>26</v>
      </c>
      <c r="M32">
        <f t="shared" si="0"/>
        <v>5.25</v>
      </c>
      <c r="N32">
        <f t="shared" si="3"/>
        <v>0.25</v>
      </c>
      <c r="P32">
        <f t="shared" si="1"/>
        <v>0.98937931206088225</v>
      </c>
      <c r="Q32">
        <f>$F$8</f>
        <v>3.437143522267077E-2</v>
      </c>
      <c r="R32">
        <f t="shared" si="5"/>
        <v>8.5928588056676924E-3</v>
      </c>
      <c r="S32">
        <f t="shared" si="6"/>
        <v>9.7752185215043877E-2</v>
      </c>
      <c r="T32">
        <f t="shared" si="7"/>
        <v>0.90687361259897248</v>
      </c>
    </row>
    <row r="33" spans="1:20" x14ac:dyDescent="0.2">
      <c r="A33">
        <v>1.75</v>
      </c>
      <c r="B33">
        <v>1.0012161425154005</v>
      </c>
      <c r="L33">
        <f t="shared" si="2"/>
        <v>27</v>
      </c>
      <c r="M33">
        <f t="shared" si="0"/>
        <v>5.5</v>
      </c>
      <c r="N33">
        <f t="shared" si="3"/>
        <v>0.25</v>
      </c>
      <c r="P33">
        <f t="shared" si="1"/>
        <v>0.98698486326675949</v>
      </c>
      <c r="Q33">
        <f t="shared" ref="Q33:Q39" si="15">$F$8</f>
        <v>3.437143522267077E-2</v>
      </c>
      <c r="R33">
        <f t="shared" si="5"/>
        <v>8.5928588056676924E-3</v>
      </c>
      <c r="S33">
        <f t="shared" si="6"/>
        <v>0.10634504402071157</v>
      </c>
      <c r="T33">
        <f t="shared" si="7"/>
        <v>0.89911436051353733</v>
      </c>
    </row>
    <row r="34" spans="1:20" x14ac:dyDescent="0.2">
      <c r="A34">
        <v>1.7983576642335768</v>
      </c>
      <c r="B34">
        <v>1.0013977536616308</v>
      </c>
      <c r="K34" s="37"/>
      <c r="L34" s="37">
        <f t="shared" si="2"/>
        <v>28</v>
      </c>
      <c r="M34">
        <f t="shared" si="0"/>
        <v>5.75</v>
      </c>
      <c r="N34">
        <f t="shared" si="3"/>
        <v>0.25</v>
      </c>
      <c r="O34" s="37"/>
      <c r="P34">
        <f t="shared" si="1"/>
        <v>0.98442484783968898</v>
      </c>
      <c r="Q34">
        <f t="shared" si="15"/>
        <v>3.437143522267077E-2</v>
      </c>
      <c r="R34">
        <f t="shared" si="5"/>
        <v>8.5928588056676924E-3</v>
      </c>
      <c r="S34">
        <f t="shared" si="6"/>
        <v>0.11493790282637927</v>
      </c>
      <c r="T34">
        <f t="shared" si="7"/>
        <v>0.89142149694364503</v>
      </c>
    </row>
    <row r="35" spans="1:20" x14ac:dyDescent="0.2">
      <c r="A35">
        <v>2</v>
      </c>
      <c r="B35">
        <v>1.0022412500473876</v>
      </c>
      <c r="L35">
        <f t="shared" si="2"/>
        <v>29</v>
      </c>
      <c r="M35">
        <f t="shared" si="0"/>
        <v>6</v>
      </c>
      <c r="N35">
        <f t="shared" si="3"/>
        <v>0.25</v>
      </c>
      <c r="P35">
        <f t="shared" si="1"/>
        <v>0.9817005851692544</v>
      </c>
      <c r="Q35">
        <f t="shared" si="15"/>
        <v>3.437143522267077E-2</v>
      </c>
      <c r="R35">
        <f t="shared" si="5"/>
        <v>8.5928588056676924E-3</v>
      </c>
      <c r="S35">
        <f t="shared" si="6"/>
        <v>0.12353076163204696</v>
      </c>
      <c r="T35">
        <f t="shared" si="7"/>
        <v>0.88379445386612154</v>
      </c>
    </row>
    <row r="36" spans="1:20" x14ac:dyDescent="0.2">
      <c r="A36">
        <v>2.25</v>
      </c>
      <c r="B36">
        <v>1.0022345986715118</v>
      </c>
      <c r="L36">
        <f t="shared" si="2"/>
        <v>30</v>
      </c>
      <c r="M36">
        <f t="shared" si="0"/>
        <v>6.25</v>
      </c>
      <c r="N36">
        <f t="shared" si="3"/>
        <v>0.25</v>
      </c>
      <c r="P36">
        <f t="shared" si="1"/>
        <v>0.97872182788172113</v>
      </c>
      <c r="Q36">
        <f t="shared" si="15"/>
        <v>3.437143522267077E-2</v>
      </c>
      <c r="R36">
        <f t="shared" si="5"/>
        <v>8.5928588056676924E-3</v>
      </c>
      <c r="S36">
        <f t="shared" si="6"/>
        <v>0.13212362043771464</v>
      </c>
      <c r="T36">
        <f t="shared" si="7"/>
        <v>0.87623266811782541</v>
      </c>
    </row>
    <row r="37" spans="1:20" x14ac:dyDescent="0.2">
      <c r="A37">
        <v>2.5</v>
      </c>
      <c r="B37">
        <v>1.0021641454687351</v>
      </c>
      <c r="L37">
        <f t="shared" si="2"/>
        <v>31</v>
      </c>
      <c r="M37">
        <f t="shared" si="0"/>
        <v>6.5</v>
      </c>
      <c r="N37">
        <f t="shared" si="3"/>
        <v>0.25</v>
      </c>
      <c r="P37">
        <f t="shared" si="1"/>
        <v>0.97557497865080922</v>
      </c>
      <c r="Q37">
        <f t="shared" si="15"/>
        <v>3.437143522267077E-2</v>
      </c>
      <c r="R37">
        <f t="shared" si="5"/>
        <v>8.5928588056676924E-3</v>
      </c>
      <c r="S37">
        <f t="shared" si="6"/>
        <v>0.14071647924338232</v>
      </c>
      <c r="T37">
        <f t="shared" si="7"/>
        <v>0.86873558135406481</v>
      </c>
    </row>
    <row r="38" spans="1:20" x14ac:dyDescent="0.2">
      <c r="A38">
        <v>2.75</v>
      </c>
      <c r="B38">
        <v>1.0020299038938707</v>
      </c>
      <c r="L38">
        <f t="shared" si="2"/>
        <v>32</v>
      </c>
      <c r="M38">
        <f t="shared" si="0"/>
        <v>6.75</v>
      </c>
      <c r="N38">
        <f t="shared" si="3"/>
        <v>0.25</v>
      </c>
      <c r="P38">
        <f t="shared" si="1"/>
        <v>0.97226171860812827</v>
      </c>
      <c r="Q38">
        <f t="shared" si="15"/>
        <v>3.437143522267077E-2</v>
      </c>
      <c r="R38">
        <f t="shared" si="5"/>
        <v>8.5928588056676924E-3</v>
      </c>
      <c r="S38">
        <f t="shared" si="6"/>
        <v>0.14930933804905</v>
      </c>
      <c r="T38">
        <f t="shared" si="7"/>
        <v>0.86130264000737011</v>
      </c>
    </row>
    <row r="39" spans="1:20" x14ac:dyDescent="0.2">
      <c r="A39">
        <v>2.7980835044490076</v>
      </c>
      <c r="B39">
        <v>1.0019967724358467</v>
      </c>
      <c r="L39">
        <f t="shared" si="2"/>
        <v>33</v>
      </c>
      <c r="M39">
        <f t="shared" si="0"/>
        <v>7</v>
      </c>
      <c r="N39">
        <f t="shared" si="3"/>
        <v>0.25</v>
      </c>
      <c r="P39">
        <f t="shared" si="1"/>
        <v>0.96878381380362766</v>
      </c>
      <c r="Q39">
        <f t="shared" si="15"/>
        <v>3.437143522267077E-2</v>
      </c>
      <c r="R39">
        <f t="shared" si="5"/>
        <v>8.5928588056676924E-3</v>
      </c>
      <c r="S39">
        <f t="shared" si="6"/>
        <v>0.15790219685471768</v>
      </c>
      <c r="T39">
        <f t="shared" si="7"/>
        <v>0.85393329524662098</v>
      </c>
    </row>
    <row r="40" spans="1:20" x14ac:dyDescent="0.2">
      <c r="A40">
        <v>3</v>
      </c>
      <c r="B40">
        <v>1.0018318995819817</v>
      </c>
      <c r="L40">
        <f t="shared" si="2"/>
        <v>34</v>
      </c>
      <c r="M40">
        <f t="shared" si="0"/>
        <v>7.25</v>
      </c>
      <c r="N40">
        <f t="shared" si="3"/>
        <v>0.25</v>
      </c>
      <c r="P40">
        <f t="shared" si="1"/>
        <v>0.96521304434297506</v>
      </c>
      <c r="Q40">
        <f>$F$9</f>
        <v>3.0714063305518874E-2</v>
      </c>
      <c r="R40">
        <f t="shared" si="5"/>
        <v>7.6785158263797185E-3</v>
      </c>
      <c r="S40">
        <f t="shared" si="6"/>
        <v>0.16558071268109739</v>
      </c>
      <c r="T40">
        <f t="shared" si="7"/>
        <v>0.8474014644004767</v>
      </c>
    </row>
    <row r="41" spans="1:20" x14ac:dyDescent="0.2">
      <c r="A41">
        <v>3.25</v>
      </c>
      <c r="B41">
        <v>1.0011418921720547</v>
      </c>
      <c r="L41">
        <f t="shared" si="2"/>
        <v>35</v>
      </c>
      <c r="M41">
        <f t="shared" si="0"/>
        <v>7.5</v>
      </c>
      <c r="N41">
        <f t="shared" si="3"/>
        <v>0.25</v>
      </c>
      <c r="P41">
        <f t="shared" si="1"/>
        <v>0.96148566912864608</v>
      </c>
      <c r="Q41">
        <f t="shared" ref="Q41:Q51" si="16">$F$9</f>
        <v>3.0714063305518874E-2</v>
      </c>
      <c r="R41">
        <f t="shared" si="5"/>
        <v>7.6785158263797185E-3</v>
      </c>
      <c r="S41">
        <f t="shared" si="6"/>
        <v>0.1732592285074771</v>
      </c>
      <c r="T41">
        <f t="shared" si="7"/>
        <v>0.8409195962556818</v>
      </c>
    </row>
    <row r="42" spans="1:20" x14ac:dyDescent="0.2">
      <c r="A42" s="37">
        <v>3.5</v>
      </c>
      <c r="B42" s="37">
        <v>1.0003228480323494</v>
      </c>
      <c r="L42">
        <f t="shared" si="2"/>
        <v>36</v>
      </c>
      <c r="M42">
        <f t="shared" si="0"/>
        <v>7.75</v>
      </c>
      <c r="N42">
        <f t="shared" si="3"/>
        <v>0.25</v>
      </c>
      <c r="P42">
        <f t="shared" si="1"/>
        <v>0.95760360641923348</v>
      </c>
      <c r="Q42">
        <f t="shared" si="16"/>
        <v>3.0714063305518874E-2</v>
      </c>
      <c r="R42">
        <f t="shared" si="5"/>
        <v>7.6785158263797185E-3</v>
      </c>
      <c r="S42">
        <f t="shared" si="6"/>
        <v>0.18093774433385681</v>
      </c>
      <c r="T42">
        <f t="shared" si="7"/>
        <v>0.83448730864197107</v>
      </c>
    </row>
    <row r="43" spans="1:20" x14ac:dyDescent="0.2">
      <c r="A43">
        <v>3.75</v>
      </c>
      <c r="B43">
        <v>0.99937508469846825</v>
      </c>
      <c r="L43">
        <f t="shared" si="2"/>
        <v>37</v>
      </c>
      <c r="M43">
        <f t="shared" si="0"/>
        <v>8</v>
      </c>
      <c r="N43">
        <f t="shared" si="3"/>
        <v>0.25</v>
      </c>
      <c r="P43">
        <f t="shared" si="1"/>
        <v>0.9535688486579641</v>
      </c>
      <c r="Q43">
        <f t="shared" si="16"/>
        <v>3.0714063305518874E-2</v>
      </c>
      <c r="R43">
        <f t="shared" si="5"/>
        <v>7.6785158263797185E-3</v>
      </c>
      <c r="S43">
        <f t="shared" si="6"/>
        <v>0.18861626016023653</v>
      </c>
      <c r="T43">
        <f t="shared" si="7"/>
        <v>0.82810422231234238</v>
      </c>
    </row>
    <row r="44" spans="1:20" x14ac:dyDescent="0.2">
      <c r="A44">
        <v>3.7979189485213585</v>
      </c>
      <c r="B44">
        <v>0.99917875048949245</v>
      </c>
      <c r="L44">
        <f t="shared" si="2"/>
        <v>38</v>
      </c>
      <c r="M44">
        <f t="shared" si="0"/>
        <v>8.25</v>
      </c>
      <c r="N44">
        <f t="shared" si="3"/>
        <v>0.25</v>
      </c>
      <c r="P44">
        <f t="shared" si="1"/>
        <v>0.94954202023805168</v>
      </c>
      <c r="Q44">
        <f t="shared" si="16"/>
        <v>3.0714063305518874E-2</v>
      </c>
      <c r="R44">
        <f t="shared" si="5"/>
        <v>7.6785158263797185E-3</v>
      </c>
      <c r="S44">
        <f t="shared" si="6"/>
        <v>0.19629477598661624</v>
      </c>
      <c r="T44">
        <f t="shared" si="7"/>
        <v>0.82176996092069599</v>
      </c>
    </row>
    <row r="45" spans="1:20" x14ac:dyDescent="0.2">
      <c r="A45">
        <v>4</v>
      </c>
      <c r="B45">
        <v>0.99829896939251683</v>
      </c>
      <c r="L45">
        <f t="shared" si="2"/>
        <v>39</v>
      </c>
      <c r="M45">
        <f t="shared" si="0"/>
        <v>8.5</v>
      </c>
      <c r="N45">
        <f t="shared" si="3"/>
        <v>0.25</v>
      </c>
      <c r="P45">
        <f t="shared" si="1"/>
        <v>0.94537484430814278</v>
      </c>
      <c r="Q45">
        <f t="shared" si="16"/>
        <v>3.0714063305518874E-2</v>
      </c>
      <c r="R45">
        <f t="shared" si="5"/>
        <v>7.6785158263797185E-3</v>
      </c>
      <c r="S45">
        <f t="shared" si="6"/>
        <v>0.20397329181299595</v>
      </c>
      <c r="T45">
        <f t="shared" si="7"/>
        <v>0.81548415099964544</v>
      </c>
    </row>
    <row r="46" spans="1:20" x14ac:dyDescent="0.2">
      <c r="A46">
        <v>4.25</v>
      </c>
      <c r="B46">
        <v>0.99685723775405122</v>
      </c>
      <c r="L46">
        <f t="shared" si="2"/>
        <v>40</v>
      </c>
      <c r="M46">
        <f t="shared" si="0"/>
        <v>8.75</v>
      </c>
      <c r="N46">
        <f t="shared" si="3"/>
        <v>0.25</v>
      </c>
      <c r="P46">
        <f t="shared" si="1"/>
        <v>0.94106932073212424</v>
      </c>
      <c r="Q46">
        <f t="shared" si="16"/>
        <v>3.0714063305518874E-2</v>
      </c>
      <c r="R46">
        <f t="shared" si="5"/>
        <v>7.6785158263797185E-3</v>
      </c>
      <c r="S46">
        <f t="shared" si="6"/>
        <v>0.21165180763937566</v>
      </c>
      <c r="T46">
        <f t="shared" si="7"/>
        <v>0.80924642193849805</v>
      </c>
    </row>
    <row r="47" spans="1:20" x14ac:dyDescent="0.2">
      <c r="A47">
        <v>4.5</v>
      </c>
      <c r="B47">
        <v>0.99526081328902039</v>
      </c>
      <c r="M47">
        <f t="shared" si="0"/>
        <v>9</v>
      </c>
      <c r="N47">
        <f t="shared" si="3"/>
        <v>0.25</v>
      </c>
      <c r="P47">
        <f t="shared" si="1"/>
        <v>0.93662750934655492</v>
      </c>
      <c r="Q47">
        <f t="shared" si="16"/>
        <v>3.0714063305518874E-2</v>
      </c>
      <c r="R47">
        <f t="shared" si="5"/>
        <v>7.6785158263797185E-3</v>
      </c>
      <c r="S47">
        <f t="shared" si="6"/>
        <v>0.21933032346575537</v>
      </c>
      <c r="T47">
        <f t="shared" si="7"/>
        <v>0.80305640596140326</v>
      </c>
    </row>
    <row r="48" spans="1:20" x14ac:dyDescent="0.2">
      <c r="A48">
        <v>4.75</v>
      </c>
      <c r="B48">
        <v>0.99351044619183315</v>
      </c>
      <c r="M48">
        <f t="shared" si="0"/>
        <v>9.25</v>
      </c>
      <c r="N48">
        <f t="shared" si="3"/>
        <v>0.25</v>
      </c>
      <c r="P48">
        <f t="shared" si="1"/>
        <v>0.93234155937232499</v>
      </c>
      <c r="Q48">
        <f t="shared" si="16"/>
        <v>3.0714063305518874E-2</v>
      </c>
      <c r="R48">
        <f t="shared" si="5"/>
        <v>7.6785158263797185E-3</v>
      </c>
      <c r="S48">
        <f t="shared" si="6"/>
        <v>0.22700883929213508</v>
      </c>
      <c r="T48">
        <f t="shared" si="7"/>
        <v>0.79691373810566934</v>
      </c>
    </row>
    <row r="49" spans="1:20" x14ac:dyDescent="0.2">
      <c r="A49">
        <v>4.7983576642335768</v>
      </c>
      <c r="B49">
        <v>0.99315417113583537</v>
      </c>
      <c r="M49">
        <f t="shared" si="0"/>
        <v>9.5</v>
      </c>
      <c r="N49">
        <f t="shared" si="3"/>
        <v>0.25</v>
      </c>
      <c r="P49">
        <f t="shared" si="1"/>
        <v>0.92793637993818689</v>
      </c>
      <c r="Q49">
        <f t="shared" si="16"/>
        <v>3.0714063305518874E-2</v>
      </c>
      <c r="R49">
        <f t="shared" si="5"/>
        <v>7.6785158263797185E-3</v>
      </c>
      <c r="S49">
        <f t="shared" si="6"/>
        <v>0.2346873551185148</v>
      </c>
      <c r="T49">
        <f t="shared" si="7"/>
        <v>0.79081805620024437</v>
      </c>
    </row>
    <row r="50" spans="1:20" x14ac:dyDescent="0.2">
      <c r="A50">
        <v>5</v>
      </c>
      <c r="B50">
        <v>0.99160695807084664</v>
      </c>
      <c r="M50">
        <f>A69</f>
        <v>9.75</v>
      </c>
      <c r="N50">
        <f t="shared" si="3"/>
        <v>0.25</v>
      </c>
      <c r="P50">
        <f t="shared" si="1"/>
        <v>0.92341384931771697</v>
      </c>
      <c r="Q50">
        <f t="shared" si="16"/>
        <v>3.0714063305518874E-2</v>
      </c>
      <c r="R50">
        <f t="shared" si="5"/>
        <v>7.6785158263797185E-3</v>
      </c>
      <c r="S50">
        <f t="shared" si="6"/>
        <v>0.24236587094489451</v>
      </c>
      <c r="T50">
        <f t="shared" si="7"/>
        <v>0.78476900084436352</v>
      </c>
    </row>
    <row r="51" spans="1:20" x14ac:dyDescent="0.2">
      <c r="A51">
        <v>5.25</v>
      </c>
      <c r="B51">
        <v>0.98937931206088225</v>
      </c>
      <c r="M51">
        <f t="shared" si="0"/>
        <v>10</v>
      </c>
      <c r="N51">
        <f t="shared" si="3"/>
        <v>0.25</v>
      </c>
      <c r="P51">
        <f t="shared" si="1"/>
        <v>0.9187758893111202</v>
      </c>
      <c r="Q51">
        <f t="shared" si="16"/>
        <v>3.0714063305518874E-2</v>
      </c>
      <c r="R51">
        <f t="shared" si="5"/>
        <v>7.6785158263797185E-3</v>
      </c>
      <c r="S51">
        <f t="shared" si="6"/>
        <v>0.25004438677127422</v>
      </c>
      <c r="T51">
        <f t="shared" si="7"/>
        <v>0.77876621538635815</v>
      </c>
    </row>
    <row r="52" spans="1:20" x14ac:dyDescent="0.2">
      <c r="A52" s="37">
        <v>5.5</v>
      </c>
      <c r="B52" s="37">
        <v>0.98698486326675949</v>
      </c>
    </row>
    <row r="53" spans="1:20" x14ac:dyDescent="0.2">
      <c r="A53">
        <v>5.75</v>
      </c>
      <c r="B53">
        <v>0.98442484783968898</v>
      </c>
    </row>
    <row r="54" spans="1:20" x14ac:dyDescent="0.2">
      <c r="A54">
        <v>6</v>
      </c>
      <c r="B54">
        <v>0.9817005851692544</v>
      </c>
    </row>
    <row r="55" spans="1:20" x14ac:dyDescent="0.2">
      <c r="A55">
        <v>6.25</v>
      </c>
      <c r="B55">
        <v>0.97872182788172113</v>
      </c>
    </row>
    <row r="56" spans="1:20" x14ac:dyDescent="0.2">
      <c r="A56">
        <v>6.5</v>
      </c>
      <c r="B56">
        <v>0.97557497865080922</v>
      </c>
    </row>
    <row r="57" spans="1:20" x14ac:dyDescent="0.2">
      <c r="A57">
        <v>6.75</v>
      </c>
      <c r="B57">
        <v>0.97226171860812827</v>
      </c>
    </row>
    <row r="58" spans="1:20" x14ac:dyDescent="0.2">
      <c r="A58">
        <v>7</v>
      </c>
      <c r="B58">
        <v>0.96878381380362766</v>
      </c>
    </row>
    <row r="59" spans="1:20" x14ac:dyDescent="0.2">
      <c r="A59">
        <v>7.25</v>
      </c>
      <c r="B59">
        <v>0.96521304434297506</v>
      </c>
    </row>
    <row r="60" spans="1:20" x14ac:dyDescent="0.2">
      <c r="A60">
        <v>7.5</v>
      </c>
      <c r="B60">
        <v>0.96148566912864608</v>
      </c>
    </row>
    <row r="61" spans="1:20" x14ac:dyDescent="0.2">
      <c r="A61">
        <v>7.75</v>
      </c>
      <c r="B61">
        <v>0.95760360641923348</v>
      </c>
    </row>
    <row r="62" spans="1:20" x14ac:dyDescent="0.2">
      <c r="A62">
        <v>8</v>
      </c>
      <c r="B62">
        <v>0.9535688486579641</v>
      </c>
    </row>
    <row r="63" spans="1:20" x14ac:dyDescent="0.2">
      <c r="A63">
        <v>8.25</v>
      </c>
      <c r="B63">
        <v>0.94954202023805168</v>
      </c>
    </row>
    <row r="64" spans="1:20" x14ac:dyDescent="0.2">
      <c r="A64">
        <v>8.5</v>
      </c>
      <c r="B64">
        <v>0.94537484430814278</v>
      </c>
    </row>
    <row r="65" spans="1:2" x14ac:dyDescent="0.2">
      <c r="A65">
        <v>8.75</v>
      </c>
      <c r="B65">
        <v>0.94106932073212424</v>
      </c>
    </row>
    <row r="66" spans="1:2" x14ac:dyDescent="0.2">
      <c r="A66">
        <v>9</v>
      </c>
      <c r="B66">
        <v>0.93662750934655492</v>
      </c>
    </row>
    <row r="67" spans="1:2" x14ac:dyDescent="0.2">
      <c r="A67">
        <v>9.25</v>
      </c>
      <c r="B67">
        <v>0.93234155937232499</v>
      </c>
    </row>
    <row r="68" spans="1:2" x14ac:dyDescent="0.2">
      <c r="A68">
        <v>9.5</v>
      </c>
      <c r="B68">
        <v>0.92793637993818689</v>
      </c>
    </row>
    <row r="69" spans="1:2" x14ac:dyDescent="0.2">
      <c r="A69">
        <v>9.75</v>
      </c>
      <c r="B69">
        <v>0.92341384931771697</v>
      </c>
    </row>
    <row r="70" spans="1:2" x14ac:dyDescent="0.2">
      <c r="A70">
        <v>10</v>
      </c>
      <c r="B70">
        <v>0.9187758893111202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CDS1</vt:lpstr>
      <vt:lpstr>CDS2</vt:lpstr>
      <vt:lpstr>CDS3</vt:lpstr>
      <vt:lpstr>CDS4</vt:lpstr>
      <vt:lpstr>CDS5</vt:lpstr>
      <vt:lpstr>Defaultable 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David COHEN BERAUN</dc:creator>
  <cp:lastModifiedBy>Bernardo David COHEN BERAUN</cp:lastModifiedBy>
  <dcterms:created xsi:type="dcterms:W3CDTF">2021-06-03T05:30:57Z</dcterms:created>
  <dcterms:modified xsi:type="dcterms:W3CDTF">2021-06-03T22:12:28Z</dcterms:modified>
</cp:coreProperties>
</file>