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8b3d62979d058c7/Documents/Financial Models/Case Studies/12-2023/"/>
    </mc:Choice>
  </mc:AlternateContent>
  <xr:revisionPtr revIDLastSave="0" documentId="8_{20207F3F-7F0E-4786-9CF9-0765919DB6A6}" xr6:coauthVersionLast="47" xr6:coauthVersionMax="47" xr10:uidLastSave="{00000000-0000-0000-0000-000000000000}"/>
  <bookViews>
    <workbookView xWindow="-120" yWindow="-120" windowWidth="29040" windowHeight="15840" activeTab="2" xr2:uid="{5405D0B6-36CC-460F-9A27-EC53348F8ACC}"/>
  </bookViews>
  <sheets>
    <sheet name="DISCLAIMER" sheetId="5" r:id="rId1"/>
    <sheet name="Cover" sheetId="1" r:id="rId2"/>
    <sheet name="Summary" sheetId="7" r:id="rId3"/>
    <sheet name="Assumptions" sheetId="2" r:id="rId4"/>
    <sheet name="Scenarios" sheetId="3" r:id="rId5"/>
    <sheet name="Model" sheetId="4" r:id="rId6"/>
    <sheet name="Error Checking" sheetId="6" r:id="rId7"/>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3" i="7" l="1"/>
  <c r="K33" i="7"/>
  <c r="N33" i="7"/>
  <c r="M33" i="7"/>
  <c r="J33" i="7"/>
  <c r="I33" i="7"/>
  <c r="N13" i="7"/>
  <c r="M13" i="7"/>
  <c r="L13" i="7"/>
  <c r="K13" i="7"/>
  <c r="J13" i="7"/>
  <c r="I13" i="7"/>
  <c r="AB13" i="7"/>
  <c r="AA13" i="7"/>
  <c r="Z13" i="7"/>
  <c r="Y13" i="7"/>
  <c r="X13" i="7"/>
  <c r="W13" i="7"/>
  <c r="AB9" i="7"/>
  <c r="AA9" i="7"/>
  <c r="Z9" i="7"/>
  <c r="Y9" i="7"/>
  <c r="X9" i="7"/>
  <c r="W9" i="7"/>
  <c r="AB12" i="7"/>
  <c r="AA12" i="7"/>
  <c r="Z12" i="7"/>
  <c r="Y12" i="7"/>
  <c r="X12" i="7"/>
  <c r="W12" i="7"/>
  <c r="V12" i="7"/>
  <c r="N12" i="7"/>
  <c r="M12" i="7"/>
  <c r="L12" i="7"/>
  <c r="K12" i="7"/>
  <c r="J12" i="7"/>
  <c r="I12" i="7"/>
  <c r="H12" i="7"/>
  <c r="N34" i="7"/>
  <c r="M34" i="7"/>
  <c r="L34" i="7"/>
  <c r="K34" i="7"/>
  <c r="J34" i="7"/>
  <c r="I34" i="7"/>
  <c r="N39" i="3"/>
  <c r="O39" i="3"/>
  <c r="P39" i="3"/>
  <c r="M39" i="3"/>
  <c r="L39" i="3"/>
  <c r="M161" i="4" s="1"/>
  <c r="B1" i="7"/>
  <c r="P149" i="4"/>
  <c r="O149" i="4"/>
  <c r="N149" i="4"/>
  <c r="M154" i="4"/>
  <c r="N154" i="4" s="1"/>
  <c r="O154" i="4" s="1"/>
  <c r="P154" i="4" s="1"/>
  <c r="Q154" i="4" s="1"/>
  <c r="N161" i="4" l="1"/>
  <c r="O161" i="4" s="1"/>
  <c r="P161" i="4" s="1"/>
  <c r="Q161" i="4" s="1"/>
  <c r="M153" i="4"/>
  <c r="N153" i="4" s="1"/>
  <c r="O153" i="4" s="1"/>
  <c r="P153" i="4" s="1"/>
  <c r="Q153" i="4" s="1"/>
  <c r="L296" i="4"/>
  <c r="L298" i="4" s="1"/>
  <c r="L82" i="4" s="1"/>
  <c r="L79" i="2"/>
  <c r="M79" i="2" s="1"/>
  <c r="N79" i="2" s="1"/>
  <c r="O79" i="2" s="1"/>
  <c r="P79" i="2" s="1"/>
  <c r="L306" i="4"/>
  <c r="M138" i="4"/>
  <c r="N138" i="4" s="1"/>
  <c r="O138" i="4" s="1"/>
  <c r="P138" i="4" s="1"/>
  <c r="Q138" i="4" s="1"/>
  <c r="Q103" i="4"/>
  <c r="P103" i="4"/>
  <c r="O103" i="4"/>
  <c r="N103" i="4"/>
  <c r="M103" i="4"/>
  <c r="L299" i="4" l="1"/>
  <c r="M296" i="4" s="1"/>
  <c r="L216" i="4" l="1"/>
  <c r="M216" i="4" l="1"/>
  <c r="Q216" i="4"/>
  <c r="N216" i="4"/>
  <c r="L217" i="4"/>
  <c r="P216" i="4"/>
  <c r="O216" i="4"/>
  <c r="L163" i="4"/>
  <c r="M303" i="4" s="1"/>
  <c r="K163" i="4"/>
  <c r="M278" i="4"/>
  <c r="N278" i="4" s="1"/>
  <c r="O278" i="4" s="1"/>
  <c r="P278" i="4" s="1"/>
  <c r="Q278" i="4" s="1"/>
  <c r="M269" i="4"/>
  <c r="N269" i="4" s="1"/>
  <c r="O269" i="4" s="1"/>
  <c r="P269" i="4" s="1"/>
  <c r="Q269" i="4" s="1"/>
  <c r="L267" i="4"/>
  <c r="M265" i="4" s="1"/>
  <c r="Q275" i="4"/>
  <c r="Q261" i="4" s="1"/>
  <c r="P275" i="4"/>
  <c r="P261" i="4" s="1"/>
  <c r="O275" i="4"/>
  <c r="O261" i="4" s="1"/>
  <c r="N275" i="4"/>
  <c r="N261" i="4" s="1"/>
  <c r="M275" i="4"/>
  <c r="M261" i="4" s="1"/>
  <c r="L276" i="4"/>
  <c r="M274" i="4" s="1"/>
  <c r="L104" i="4"/>
  <c r="K104" i="4"/>
  <c r="L112" i="4"/>
  <c r="K111" i="4"/>
  <c r="K112" i="4" s="1"/>
  <c r="M110" i="4" l="1"/>
  <c r="Q110" i="4"/>
  <c r="N110" i="4"/>
  <c r="O110" i="4"/>
  <c r="P110" i="4"/>
  <c r="M279" i="4"/>
  <c r="M270" i="4"/>
  <c r="M276" i="4"/>
  <c r="M155" i="4" s="1"/>
  <c r="N274" i="4" l="1"/>
  <c r="N276" i="4" s="1"/>
  <c r="N155" i="4" s="1"/>
  <c r="M289" i="4"/>
  <c r="O274" i="4" l="1"/>
  <c r="O276" i="4" s="1"/>
  <c r="O155" i="4" s="1"/>
  <c r="N289" i="4"/>
  <c r="N279" i="4"/>
  <c r="O279" i="4" l="1"/>
  <c r="P274" i="4"/>
  <c r="P276" i="4" s="1"/>
  <c r="P155" i="4" s="1"/>
  <c r="O289" i="4"/>
  <c r="Q274" i="4" l="1"/>
  <c r="Q276" i="4" s="1"/>
  <c r="Q155" i="4" s="1"/>
  <c r="P289" i="4"/>
  <c r="P279" i="4"/>
  <c r="Q289" i="4" l="1"/>
  <c r="A6" i="6" s="1"/>
  <c r="Q279" i="4"/>
  <c r="L98" i="4"/>
  <c r="L115" i="4" s="1"/>
  <c r="L251" i="4" s="1"/>
  <c r="K98" i="4"/>
  <c r="K115" i="4" s="1"/>
  <c r="K118" i="4" s="1"/>
  <c r="L254" i="4"/>
  <c r="M254" i="4" s="1"/>
  <c r="N254" i="4" s="1"/>
  <c r="O254" i="4" s="1"/>
  <c r="P254" i="4" s="1"/>
  <c r="Q254" i="4" s="1"/>
  <c r="K252" i="4"/>
  <c r="L250" i="4" s="1"/>
  <c r="Q229" i="4"/>
  <c r="P229" i="4"/>
  <c r="O229" i="4"/>
  <c r="N229" i="4"/>
  <c r="M229" i="4"/>
  <c r="D224" i="4"/>
  <c r="D209" i="4"/>
  <c r="G204" i="4"/>
  <c r="G203" i="4"/>
  <c r="M206" i="4" s="1"/>
  <c r="Q184" i="4"/>
  <c r="P184" i="4"/>
  <c r="O184" i="4"/>
  <c r="N184" i="4"/>
  <c r="Q183" i="4"/>
  <c r="P183" i="4"/>
  <c r="O183" i="4"/>
  <c r="N183" i="4"/>
  <c r="Q182" i="4"/>
  <c r="P182" i="4"/>
  <c r="O182" i="4"/>
  <c r="N182" i="4"/>
  <c r="Q181" i="4"/>
  <c r="P181" i="4"/>
  <c r="O181" i="4"/>
  <c r="N181" i="4"/>
  <c r="M184" i="4"/>
  <c r="M183" i="4"/>
  <c r="M182" i="4"/>
  <c r="M181" i="4"/>
  <c r="L117" i="4" l="1"/>
  <c r="L118" i="4" s="1"/>
  <c r="K120" i="4"/>
  <c r="L255" i="4"/>
  <c r="L252" i="4"/>
  <c r="M250" i="4" s="1"/>
  <c r="N206" i="4"/>
  <c r="D210" i="4"/>
  <c r="M117" i="4" l="1"/>
  <c r="L120" i="4"/>
  <c r="M255" i="4"/>
  <c r="M282" i="4" s="1"/>
  <c r="M73" i="4" s="1"/>
  <c r="D211" i="4"/>
  <c r="O206" i="4"/>
  <c r="P206" i="4" l="1"/>
  <c r="D212" i="4"/>
  <c r="Q206" i="4" l="1"/>
  <c r="D213" i="4"/>
  <c r="L192" i="4" l="1"/>
  <c r="L189" i="4"/>
  <c r="L188" i="4"/>
  <c r="L187" i="4"/>
  <c r="K192" i="4"/>
  <c r="K189" i="4"/>
  <c r="K188" i="4"/>
  <c r="K187" i="4"/>
  <c r="L178" i="4"/>
  <c r="K178" i="4"/>
  <c r="L177" i="4"/>
  <c r="K177" i="4"/>
  <c r="Q174" i="4"/>
  <c r="P174" i="4"/>
  <c r="O174" i="4"/>
  <c r="N174" i="4"/>
  <c r="M174" i="4"/>
  <c r="L174" i="4"/>
  <c r="K174" i="4"/>
  <c r="L156" i="4"/>
  <c r="K156" i="4"/>
  <c r="L150" i="4"/>
  <c r="K150" i="4"/>
  <c r="L134" i="4"/>
  <c r="K134" i="4"/>
  <c r="L139" i="4"/>
  <c r="K139" i="4"/>
  <c r="L182" i="4" l="1"/>
  <c r="K193" i="4"/>
  <c r="L193" i="4"/>
  <c r="K182" i="4"/>
  <c r="K183" i="4"/>
  <c r="K184" i="4"/>
  <c r="L184" i="4"/>
  <c r="L183" i="4"/>
  <c r="K181" i="4"/>
  <c r="L181" i="4"/>
  <c r="L158" i="4"/>
  <c r="K158" i="4"/>
  <c r="K141" i="4"/>
  <c r="L141" i="4"/>
  <c r="L30" i="4"/>
  <c r="L31" i="4"/>
  <c r="L21" i="4"/>
  <c r="K31" i="4"/>
  <c r="L10" i="4"/>
  <c r="Q39" i="4"/>
  <c r="P39" i="4"/>
  <c r="O39" i="4"/>
  <c r="N39" i="4"/>
  <c r="M39" i="4"/>
  <c r="K49" i="4"/>
  <c r="L49" i="4"/>
  <c r="L78" i="4"/>
  <c r="K78" i="4"/>
  <c r="L65" i="4"/>
  <c r="L68" i="4" s="1"/>
  <c r="K65" i="4"/>
  <c r="K68" i="4" s="1"/>
  <c r="H50" i="4"/>
  <c r="L50" i="4" s="1"/>
  <c r="K71" i="4" l="1"/>
  <c r="K74" i="4" s="1"/>
  <c r="L71" i="4"/>
  <c r="L74" i="4" s="1"/>
  <c r="L80" i="4" s="1"/>
  <c r="L83" i="4" s="1"/>
  <c r="L195" i="4"/>
  <c r="K165" i="4"/>
  <c r="K167" i="4" s="1"/>
  <c r="L165" i="4"/>
  <c r="L167" i="4" s="1"/>
  <c r="L32" i="4"/>
  <c r="L52" i="4"/>
  <c r="M50" i="4"/>
  <c r="N50" i="4" s="1"/>
  <c r="O50" i="4" s="1"/>
  <c r="P50" i="4" s="1"/>
  <c r="Q50" i="4" s="1"/>
  <c r="M49" i="4"/>
  <c r="K50" i="4"/>
  <c r="K52" i="4" s="1"/>
  <c r="K80" i="4"/>
  <c r="N49" i="4" l="1"/>
  <c r="M52" i="4"/>
  <c r="M64" i="4" s="1"/>
  <c r="M178" i="4" s="1"/>
  <c r="M192" i="4" l="1"/>
  <c r="M148" i="4" s="1"/>
  <c r="M189" i="4"/>
  <c r="M133" i="4" s="1"/>
  <c r="M188" i="4"/>
  <c r="M132" i="4" s="1"/>
  <c r="O49" i="4"/>
  <c r="N52" i="4"/>
  <c r="N64" i="4" s="1"/>
  <c r="N178" i="4" s="1"/>
  <c r="N189" i="4" l="1"/>
  <c r="N133" i="4" s="1"/>
  <c r="N192" i="4"/>
  <c r="N148" i="4" s="1"/>
  <c r="N188" i="4"/>
  <c r="N132" i="4" s="1"/>
  <c r="P49" i="4"/>
  <c r="O52" i="4"/>
  <c r="O64" i="4" s="1"/>
  <c r="O178" i="4" s="1"/>
  <c r="O192" i="4" l="1"/>
  <c r="O148" i="4" s="1"/>
  <c r="O189" i="4"/>
  <c r="O133" i="4" s="1"/>
  <c r="O188" i="4"/>
  <c r="O132" i="4" s="1"/>
  <c r="Q49" i="4"/>
  <c r="Q52" i="4" s="1"/>
  <c r="Q64" i="4" s="1"/>
  <c r="Q178" i="4" s="1"/>
  <c r="P52" i="4"/>
  <c r="P64" i="4" s="1"/>
  <c r="P178" i="4" s="1"/>
  <c r="Q192" i="4" l="1"/>
  <c r="Q148" i="4" s="1"/>
  <c r="Q189" i="4"/>
  <c r="Q133" i="4" s="1"/>
  <c r="Q188" i="4"/>
  <c r="Q132" i="4" s="1"/>
  <c r="P192" i="4"/>
  <c r="P148" i="4" s="1"/>
  <c r="P189" i="4"/>
  <c r="P133" i="4" s="1"/>
  <c r="P188" i="4"/>
  <c r="P132" i="4" s="1"/>
  <c r="M21" i="4" l="1"/>
  <c r="N21" i="4" s="1"/>
  <c r="O21" i="4" s="1"/>
  <c r="P21" i="4" s="1"/>
  <c r="Q21" i="4" s="1"/>
  <c r="K15" i="4"/>
  <c r="L15" i="4" s="1"/>
  <c r="L16" i="4"/>
  <c r="Q10" i="4"/>
  <c r="P10" i="4"/>
  <c r="O10" i="4"/>
  <c r="N10" i="4"/>
  <c r="M10" i="4"/>
  <c r="N3" i="4"/>
  <c r="P31" i="3"/>
  <c r="Q23" i="4" s="1"/>
  <c r="O31" i="3"/>
  <c r="P23" i="4" s="1"/>
  <c r="N31" i="3"/>
  <c r="O23" i="4" s="1"/>
  <c r="M31" i="3"/>
  <c r="N23" i="4" s="1"/>
  <c r="L31" i="3"/>
  <c r="M23" i="4" s="1"/>
  <c r="P12" i="3"/>
  <c r="O12" i="3"/>
  <c r="N12" i="3"/>
  <c r="M12" i="3"/>
  <c r="L12" i="3"/>
  <c r="P24" i="3"/>
  <c r="Q14" i="4" s="1"/>
  <c r="O24" i="3"/>
  <c r="P14" i="4" s="1"/>
  <c r="N24" i="3"/>
  <c r="O14" i="4" s="1"/>
  <c r="M24" i="3"/>
  <c r="N14" i="4" s="1"/>
  <c r="L24" i="3"/>
  <c r="M14" i="4" s="1"/>
  <c r="L39" i="2"/>
  <c r="K37" i="2"/>
  <c r="J37" i="2"/>
  <c r="J26" i="2"/>
  <c r="K16" i="4" s="1"/>
  <c r="M39" i="2" l="1"/>
  <c r="N39" i="2" s="1"/>
  <c r="O39" i="2" s="1"/>
  <c r="P39" i="2" s="1"/>
  <c r="M67" i="4"/>
  <c r="N67" i="4" s="1"/>
  <c r="O67" i="4" s="1"/>
  <c r="P67" i="4" s="1"/>
  <c r="Q67" i="4" s="1"/>
  <c r="L14" i="4"/>
  <c r="M15" i="4"/>
  <c r="K14" i="4"/>
  <c r="N15" i="4" l="1"/>
  <c r="M16" i="4"/>
  <c r="B1" i="2"/>
  <c r="B1" i="3" s="1"/>
  <c r="B8" i="1"/>
  <c r="O15" i="4" l="1"/>
  <c r="N16" i="4"/>
  <c r="M43" i="4"/>
  <c r="N43" i="4" s="1"/>
  <c r="O43" i="4" s="1"/>
  <c r="P43" i="4" s="1"/>
  <c r="Q43" i="4" s="1"/>
  <c r="M44" i="4"/>
  <c r="N44" i="4" s="1"/>
  <c r="O44" i="4" s="1"/>
  <c r="P44" i="4" s="1"/>
  <c r="Q44" i="4" s="1"/>
  <c r="L24" i="4"/>
  <c r="M24" i="4" s="1"/>
  <c r="P15" i="4" l="1"/>
  <c r="O16" i="4"/>
  <c r="M30" i="4"/>
  <c r="M60" i="4" s="1"/>
  <c r="N24" i="4"/>
  <c r="M31" i="4"/>
  <c r="M61" i="4" s="1"/>
  <c r="Q15" i="4" l="1"/>
  <c r="Q16" i="4" s="1"/>
  <c r="P16" i="4"/>
  <c r="M62" i="4"/>
  <c r="M32" i="4"/>
  <c r="O24" i="4"/>
  <c r="N30" i="4"/>
  <c r="N60" i="4" s="1"/>
  <c r="N31" i="4"/>
  <c r="N61" i="4" s="1"/>
  <c r="M65" i="4" l="1"/>
  <c r="M68" i="4" s="1"/>
  <c r="M177" i="4"/>
  <c r="M187" i="4" s="1"/>
  <c r="N62" i="4"/>
  <c r="N32" i="4"/>
  <c r="O31" i="4"/>
  <c r="O61" i="4" s="1"/>
  <c r="P24" i="4"/>
  <c r="O30" i="4"/>
  <c r="M193" i="4" l="1"/>
  <c r="M195" i="4" s="1"/>
  <c r="M97" i="4" s="1"/>
  <c r="M131" i="4"/>
  <c r="N65" i="4"/>
  <c r="N68" i="4" s="1"/>
  <c r="N177" i="4"/>
  <c r="N187" i="4" s="1"/>
  <c r="N131" i="4" s="1"/>
  <c r="O32" i="4"/>
  <c r="O60" i="4"/>
  <c r="O62" i="4" s="1"/>
  <c r="P31" i="4"/>
  <c r="P61" i="4" s="1"/>
  <c r="Q24" i="4"/>
  <c r="P30" i="4"/>
  <c r="N193" i="4" l="1"/>
  <c r="N195" i="4" s="1"/>
  <c r="N97" i="4" s="1"/>
  <c r="O65" i="4"/>
  <c r="O68" i="4" s="1"/>
  <c r="O177" i="4"/>
  <c r="O187" i="4" s="1"/>
  <c r="O131" i="4" s="1"/>
  <c r="P32" i="4"/>
  <c r="P60" i="4"/>
  <c r="P62" i="4" s="1"/>
  <c r="Q30" i="4"/>
  <c r="Q60" i="4" s="1"/>
  <c r="Q31" i="4"/>
  <c r="Q61" i="4" s="1"/>
  <c r="O193" i="4" l="1"/>
  <c r="O195" i="4" s="1"/>
  <c r="O97" i="4" s="1"/>
  <c r="P65" i="4"/>
  <c r="P68" i="4" s="1"/>
  <c r="P177" i="4"/>
  <c r="P187" i="4" s="1"/>
  <c r="P131" i="4" s="1"/>
  <c r="Q62" i="4"/>
  <c r="Q32" i="4"/>
  <c r="P193" i="4" l="1"/>
  <c r="P195" i="4" s="1"/>
  <c r="P97" i="4" s="1"/>
  <c r="Q65" i="4"/>
  <c r="Q68" i="4" s="1"/>
  <c r="Q177" i="4"/>
  <c r="Q187" i="4" s="1"/>
  <c r="Q131" i="4" s="1"/>
  <c r="Q193" i="4" l="1"/>
  <c r="Q195" i="4" s="1"/>
  <c r="Q97" i="4" s="1"/>
  <c r="M104" i="4" l="1"/>
  <c r="M260" i="4" s="1"/>
  <c r="E209" i="4"/>
  <c r="N209" i="4" l="1"/>
  <c r="P209" i="4"/>
  <c r="Q209" i="4"/>
  <c r="M209" i="4"/>
  <c r="M215" i="4" s="1"/>
  <c r="O209" i="4"/>
  <c r="M217" i="4" l="1"/>
  <c r="M70" i="4" s="1"/>
  <c r="M137" i="4" s="1"/>
  <c r="M95" i="4" l="1"/>
  <c r="M71" i="4"/>
  <c r="M74" i="4" s="1"/>
  <c r="M139" i="4"/>
  <c r="M226" i="4" l="1"/>
  <c r="M231" i="4" l="1"/>
  <c r="M237" i="4" s="1"/>
  <c r="M234" i="4"/>
  <c r="M76" i="4" l="1"/>
  <c r="M238" i="4"/>
  <c r="M77" i="4" l="1"/>
  <c r="M96" i="4" s="1"/>
  <c r="M152" i="4"/>
  <c r="M156" i="4" s="1"/>
  <c r="M239" i="4"/>
  <c r="M78" i="4" l="1"/>
  <c r="M80" i="4" s="1"/>
  <c r="M304" i="4" s="1"/>
  <c r="M94" i="4" l="1"/>
  <c r="M98" i="4" s="1"/>
  <c r="M259" i="4" s="1"/>
  <c r="N104" i="4"/>
  <c r="N260" i="4" s="1"/>
  <c r="E210" i="4"/>
  <c r="N210" i="4" l="1"/>
  <c r="N215" i="4" s="1"/>
  <c r="Q210" i="4"/>
  <c r="P210" i="4"/>
  <c r="O210" i="4"/>
  <c r="N217" i="4" l="1"/>
  <c r="N70" i="4" s="1"/>
  <c r="N95" i="4" s="1"/>
  <c r="N71" i="4" l="1"/>
  <c r="N137" i="4"/>
  <c r="N139" i="4" s="1"/>
  <c r="O104" i="4"/>
  <c r="O260" i="4" s="1"/>
  <c r="E211" i="4"/>
  <c r="O211" i="4" l="1"/>
  <c r="O215" i="4" s="1"/>
  <c r="O217" i="4" s="1"/>
  <c r="O70" i="4" s="1"/>
  <c r="Q211" i="4"/>
  <c r="P211" i="4"/>
  <c r="O71" i="4" l="1"/>
  <c r="O137" i="4"/>
  <c r="O139" i="4" s="1"/>
  <c r="O95" i="4" l="1"/>
  <c r="P104" i="4"/>
  <c r="P260" i="4" s="1"/>
  <c r="E212" i="4"/>
  <c r="P212" i="4" l="1"/>
  <c r="P215" i="4" s="1"/>
  <c r="Q212" i="4"/>
  <c r="P217" i="4" l="1"/>
  <c r="P70" i="4" s="1"/>
  <c r="P71" i="4" l="1"/>
  <c r="P95" i="4"/>
  <c r="P137" i="4"/>
  <c r="P139" i="4" s="1"/>
  <c r="Q104" i="4" l="1"/>
  <c r="Q260" i="4" s="1"/>
  <c r="E213" i="4"/>
  <c r="Q213" i="4" l="1"/>
  <c r="Q215" i="4" s="1"/>
  <c r="Q217" i="4" s="1"/>
  <c r="Q70" i="4" s="1"/>
  <c r="E214" i="4"/>
  <c r="Q137" i="4" l="1"/>
  <c r="Q139" i="4" s="1"/>
  <c r="Q95" i="4"/>
  <c r="Q71" i="4"/>
  <c r="M149" i="4"/>
  <c r="H33" i="7"/>
  <c r="A2" i="6" l="1"/>
  <c r="A3" i="6"/>
  <c r="A4" i="6"/>
  <c r="A5" i="6"/>
  <c r="K24" i="4"/>
  <c r="K30" i="4"/>
  <c r="K32" i="4"/>
  <c r="K60" i="4"/>
  <c r="N73" i="4"/>
  <c r="O73" i="4"/>
  <c r="P73" i="4"/>
  <c r="Q73" i="4"/>
  <c r="N74" i="4"/>
  <c r="O74" i="4"/>
  <c r="P74" i="4"/>
  <c r="Q74" i="4"/>
  <c r="N76" i="4"/>
  <c r="O76" i="4"/>
  <c r="P76" i="4"/>
  <c r="Q76" i="4"/>
  <c r="N77" i="4"/>
  <c r="O77" i="4"/>
  <c r="P77" i="4"/>
  <c r="Q77" i="4"/>
  <c r="N78" i="4"/>
  <c r="O78" i="4"/>
  <c r="P78" i="4"/>
  <c r="Q78" i="4"/>
  <c r="N80" i="4"/>
  <c r="O80" i="4"/>
  <c r="P80" i="4"/>
  <c r="Q80" i="4"/>
  <c r="M82" i="4"/>
  <c r="N82" i="4"/>
  <c r="O82" i="4"/>
  <c r="P82" i="4"/>
  <c r="Q82" i="4"/>
  <c r="M83" i="4"/>
  <c r="N83" i="4"/>
  <c r="O83" i="4"/>
  <c r="P83" i="4"/>
  <c r="Q83" i="4"/>
  <c r="N94" i="4"/>
  <c r="O94" i="4"/>
  <c r="P94" i="4"/>
  <c r="Q94" i="4"/>
  <c r="N96" i="4"/>
  <c r="O96" i="4"/>
  <c r="P96" i="4"/>
  <c r="Q96" i="4"/>
  <c r="N98" i="4"/>
  <c r="O98" i="4"/>
  <c r="P98" i="4"/>
  <c r="Q98" i="4"/>
  <c r="M109" i="4"/>
  <c r="N109" i="4"/>
  <c r="O109" i="4"/>
  <c r="P109" i="4"/>
  <c r="Q109" i="4"/>
  <c r="M111" i="4"/>
  <c r="N111" i="4"/>
  <c r="O111" i="4"/>
  <c r="P111" i="4"/>
  <c r="Q111" i="4"/>
  <c r="M112" i="4"/>
  <c r="N112" i="4"/>
  <c r="O112" i="4"/>
  <c r="P112" i="4"/>
  <c r="Q112" i="4"/>
  <c r="M115" i="4"/>
  <c r="N115" i="4"/>
  <c r="O115" i="4"/>
  <c r="P115" i="4"/>
  <c r="Q115" i="4"/>
  <c r="N117" i="4"/>
  <c r="O117" i="4"/>
  <c r="P117" i="4"/>
  <c r="Q117" i="4"/>
  <c r="M118" i="4"/>
  <c r="N118" i="4"/>
  <c r="O118" i="4"/>
  <c r="P118" i="4"/>
  <c r="Q118" i="4"/>
  <c r="M120" i="4"/>
  <c r="N120" i="4"/>
  <c r="O120" i="4"/>
  <c r="P120" i="4"/>
  <c r="Q120" i="4"/>
  <c r="M130" i="4"/>
  <c r="N130" i="4"/>
  <c r="O130" i="4"/>
  <c r="P130" i="4"/>
  <c r="Q130" i="4"/>
  <c r="M134" i="4"/>
  <c r="N134" i="4"/>
  <c r="O134" i="4"/>
  <c r="P134" i="4"/>
  <c r="Q134" i="4"/>
  <c r="M141" i="4"/>
  <c r="N141" i="4"/>
  <c r="O141" i="4"/>
  <c r="P141" i="4"/>
  <c r="Q141" i="4"/>
  <c r="M147" i="4"/>
  <c r="N147" i="4"/>
  <c r="O147" i="4"/>
  <c r="P147" i="4"/>
  <c r="Q147" i="4"/>
  <c r="M150" i="4"/>
  <c r="N150" i="4"/>
  <c r="O150" i="4"/>
  <c r="P150" i="4"/>
  <c r="Q150" i="4"/>
  <c r="N152" i="4"/>
  <c r="O152" i="4"/>
  <c r="P152" i="4"/>
  <c r="Q152" i="4"/>
  <c r="N156" i="4"/>
  <c r="O156" i="4"/>
  <c r="P156" i="4"/>
  <c r="Q156" i="4"/>
  <c r="M158" i="4"/>
  <c r="N158" i="4"/>
  <c r="O158" i="4"/>
  <c r="P158" i="4"/>
  <c r="Q158" i="4"/>
  <c r="M160" i="4"/>
  <c r="N160" i="4"/>
  <c r="O160" i="4"/>
  <c r="P160" i="4"/>
  <c r="Q160" i="4"/>
  <c r="M162" i="4"/>
  <c r="N162" i="4"/>
  <c r="O162" i="4"/>
  <c r="P162" i="4"/>
  <c r="Q162" i="4"/>
  <c r="M163" i="4"/>
  <c r="N163" i="4"/>
  <c r="O163" i="4"/>
  <c r="P163" i="4"/>
  <c r="Q163" i="4"/>
  <c r="M165" i="4"/>
  <c r="N165" i="4"/>
  <c r="O165" i="4"/>
  <c r="P165" i="4"/>
  <c r="Q165" i="4"/>
  <c r="M167" i="4"/>
  <c r="N167" i="4"/>
  <c r="O167" i="4"/>
  <c r="P167" i="4"/>
  <c r="Q167" i="4"/>
  <c r="N226" i="4"/>
  <c r="O226" i="4"/>
  <c r="P226" i="4"/>
  <c r="Q226" i="4"/>
  <c r="N231" i="4"/>
  <c r="O231" i="4"/>
  <c r="P231" i="4"/>
  <c r="Q231" i="4"/>
  <c r="N234" i="4"/>
  <c r="O234" i="4"/>
  <c r="P234" i="4"/>
  <c r="Q234" i="4"/>
  <c r="N237" i="4"/>
  <c r="O237" i="4"/>
  <c r="P237" i="4"/>
  <c r="Q237" i="4"/>
  <c r="N238" i="4"/>
  <c r="O238" i="4"/>
  <c r="P238" i="4"/>
  <c r="Q238" i="4"/>
  <c r="N239" i="4"/>
  <c r="O239" i="4"/>
  <c r="P239" i="4"/>
  <c r="Q239" i="4"/>
  <c r="N250" i="4"/>
  <c r="O250" i="4"/>
  <c r="P250" i="4"/>
  <c r="Q250" i="4"/>
  <c r="M251" i="4"/>
  <c r="N251" i="4"/>
  <c r="O251" i="4"/>
  <c r="P251" i="4"/>
  <c r="Q251" i="4"/>
  <c r="M252" i="4"/>
  <c r="N252" i="4"/>
  <c r="O252" i="4"/>
  <c r="P252" i="4"/>
  <c r="Q252" i="4"/>
  <c r="N255" i="4"/>
  <c r="O255" i="4"/>
  <c r="P255" i="4"/>
  <c r="Q255" i="4"/>
  <c r="N259" i="4"/>
  <c r="O259" i="4"/>
  <c r="P259" i="4"/>
  <c r="Q259" i="4"/>
  <c r="M262" i="4"/>
  <c r="N262" i="4"/>
  <c r="O262" i="4"/>
  <c r="P262" i="4"/>
  <c r="Q262" i="4"/>
  <c r="M263" i="4"/>
  <c r="N263" i="4"/>
  <c r="O263" i="4"/>
  <c r="P263" i="4"/>
  <c r="Q263" i="4"/>
  <c r="N265" i="4"/>
  <c r="O265" i="4"/>
  <c r="P265" i="4"/>
  <c r="Q265" i="4"/>
  <c r="M266" i="4"/>
  <c r="N266" i="4"/>
  <c r="O266" i="4"/>
  <c r="P266" i="4"/>
  <c r="Q266" i="4"/>
  <c r="M267" i="4"/>
  <c r="N267" i="4"/>
  <c r="O267" i="4"/>
  <c r="P267" i="4"/>
  <c r="Q267" i="4"/>
  <c r="N270" i="4"/>
  <c r="O270" i="4"/>
  <c r="P270" i="4"/>
  <c r="Q270" i="4"/>
  <c r="N282" i="4"/>
  <c r="O282" i="4"/>
  <c r="P282" i="4"/>
  <c r="Q282" i="4"/>
  <c r="M285" i="4"/>
  <c r="N285" i="4"/>
  <c r="O285" i="4"/>
  <c r="P285" i="4"/>
  <c r="Q285" i="4"/>
  <c r="M287" i="4"/>
  <c r="N287" i="4"/>
  <c r="O287" i="4"/>
  <c r="P287" i="4"/>
  <c r="Q287" i="4"/>
  <c r="N296" i="4"/>
  <c r="O296" i="4"/>
  <c r="P296" i="4"/>
  <c r="Q296" i="4"/>
  <c r="M298" i="4"/>
  <c r="N298" i="4"/>
  <c r="O298" i="4"/>
  <c r="P298" i="4"/>
  <c r="Q298" i="4"/>
  <c r="M299" i="4"/>
  <c r="N299" i="4"/>
  <c r="O299" i="4"/>
  <c r="P299" i="4"/>
  <c r="Q299" i="4"/>
  <c r="N303" i="4"/>
  <c r="O303" i="4"/>
  <c r="P303" i="4"/>
  <c r="Q303" i="4"/>
  <c r="N304" i="4"/>
  <c r="O304" i="4"/>
  <c r="P304" i="4"/>
  <c r="Q304" i="4"/>
  <c r="M305" i="4"/>
  <c r="N305" i="4"/>
  <c r="O305" i="4"/>
  <c r="P305" i="4"/>
  <c r="Q305" i="4"/>
  <c r="M306" i="4"/>
  <c r="N306" i="4"/>
  <c r="O306" i="4"/>
  <c r="P306" i="4"/>
  <c r="Q306" i="4"/>
</calcChain>
</file>

<file path=xl/sharedStrings.xml><?xml version="1.0" encoding="utf-8"?>
<sst xmlns="http://schemas.openxmlformats.org/spreadsheetml/2006/main" count="367" uniqueCount="210">
  <si>
    <t>Willamette Valley Vineyards</t>
  </si>
  <si>
    <t>Assumptions</t>
  </si>
  <si>
    <t>Inflation</t>
  </si>
  <si>
    <t>Sales Volume Growth</t>
  </si>
  <si>
    <t>General Sales Information</t>
  </si>
  <si>
    <t>Average Gross Sales Price</t>
  </si>
  <si>
    <t>Warehousing</t>
  </si>
  <si>
    <t>Average Net Sales Price</t>
  </si>
  <si>
    <t>Operating Costs</t>
  </si>
  <si>
    <t>Base Case</t>
  </si>
  <si>
    <t>Best Case</t>
  </si>
  <si>
    <t>Worst Case</t>
  </si>
  <si>
    <t>Cost of Sales</t>
  </si>
  <si>
    <t>Fixed Costs</t>
  </si>
  <si>
    <t>Variable Costs</t>
  </si>
  <si>
    <t>($MM)</t>
  </si>
  <si>
    <t>%</t>
  </si>
  <si>
    <t>($/unit)</t>
  </si>
  <si>
    <t>Selling, General, &amp; Administative</t>
  </si>
  <si>
    <t>Capex &amp; Depreciation</t>
  </si>
  <si>
    <t>Net PP&amp;E Bal. as of 2022</t>
  </si>
  <si>
    <t>Capital Investment</t>
  </si>
  <si>
    <t>Useful life on exisiting assets</t>
  </si>
  <si>
    <t>Useful life on new assets</t>
  </si>
  <si>
    <t>years</t>
  </si>
  <si>
    <t>Amortization</t>
  </si>
  <si>
    <t>Debt Structure</t>
  </si>
  <si>
    <t>Long Term Debt Interest</t>
  </si>
  <si>
    <t>Revolver</t>
  </si>
  <si>
    <t>Interest on Revolver</t>
  </si>
  <si>
    <t>Income Taxes</t>
  </si>
  <si>
    <t>Tax Rate</t>
  </si>
  <si>
    <t>Aggregate Reduction for timing differences</t>
  </si>
  <si>
    <t>(%)</t>
  </si>
  <si>
    <t>SCENARIO SWITCH</t>
  </si>
  <si>
    <t>Economic Scenarios</t>
  </si>
  <si>
    <t>Cost Inflation</t>
  </si>
  <si>
    <t>Sales Scenarios</t>
  </si>
  <si>
    <t>Sales Price - ($/unit)</t>
  </si>
  <si>
    <t>Financial Model</t>
  </si>
  <si>
    <t>REVENUE SCHEDULE</t>
  </si>
  <si>
    <t>Projections</t>
  </si>
  <si>
    <t>PRICING</t>
  </si>
  <si>
    <t>Gross Revenue</t>
  </si>
  <si>
    <t>Warehouse &amp; Shipping Costs</t>
  </si>
  <si>
    <t>Net Sales Price</t>
  </si>
  <si>
    <t>Gross Sales Price</t>
  </si>
  <si>
    <t>SALES VOLUME</t>
  </si>
  <si>
    <t>Annual Factory Capacity</t>
  </si>
  <si>
    <t>Operating Capacity</t>
  </si>
  <si>
    <t>(000's)</t>
  </si>
  <si>
    <t>(000s)</t>
  </si>
  <si>
    <t>REVENUE</t>
  </si>
  <si>
    <t>Warehouse &amp; Shipping</t>
  </si>
  <si>
    <t>Net Revenue</t>
  </si>
  <si>
    <t>COST OF PRODUCTION SCHEDULE</t>
  </si>
  <si>
    <t>COST PER UNIT</t>
  </si>
  <si>
    <t>Fixed Cost Per Unit</t>
  </si>
  <si>
    <t>Variable Costs Per Unit</t>
  </si>
  <si>
    <t>COST IN MILLIONS</t>
  </si>
  <si>
    <t>Total Variable Costs</t>
  </si>
  <si>
    <t>Total Fixed Costs</t>
  </si>
  <si>
    <t>TOTAL COST OF SALES</t>
  </si>
  <si>
    <t>INCOME STATEMENT</t>
  </si>
  <si>
    <t>($ in millions)</t>
  </si>
  <si>
    <t>Gross Profit</t>
  </si>
  <si>
    <t>Selling, General, &amp; Administrative</t>
  </si>
  <si>
    <t>EBIT</t>
  </si>
  <si>
    <t>Depreciation &amp; Amortization</t>
  </si>
  <si>
    <t>EBITDA</t>
  </si>
  <si>
    <t>Interest Expense</t>
  </si>
  <si>
    <t>EBT</t>
  </si>
  <si>
    <t>Current Taxes</t>
  </si>
  <si>
    <t>Deferred Income Taxes</t>
  </si>
  <si>
    <t>Total Income Taxes</t>
  </si>
  <si>
    <t>Net Income (Loss)</t>
  </si>
  <si>
    <t>Units Sold</t>
  </si>
  <si>
    <t>CASH FLOW STATEMENT</t>
  </si>
  <si>
    <t>Operating Activities</t>
  </si>
  <si>
    <t>Net Income</t>
  </si>
  <si>
    <t>Changes in working capital</t>
  </si>
  <si>
    <t>Operating Cash Flow</t>
  </si>
  <si>
    <t>Investing Activities</t>
  </si>
  <si>
    <t>CAPEX</t>
  </si>
  <si>
    <t>Other</t>
  </si>
  <si>
    <t>Investing Cash Flow</t>
  </si>
  <si>
    <t>Financing Activities</t>
  </si>
  <si>
    <t>Revolver Issuance / (Repayment)</t>
  </si>
  <si>
    <t>Term Debt Issuance / (Repayment)</t>
  </si>
  <si>
    <t>Financing Cash Flow</t>
  </si>
  <si>
    <t>Change in the Cash Position</t>
  </si>
  <si>
    <t>Beginning Cash</t>
  </si>
  <si>
    <t>Ending Cash</t>
  </si>
  <si>
    <t>Preferred Dividends</t>
  </si>
  <si>
    <t>BALANCE SHEET</t>
  </si>
  <si>
    <t>ASSETS</t>
  </si>
  <si>
    <t>Cash</t>
  </si>
  <si>
    <t>Accounts Receivable</t>
  </si>
  <si>
    <t>Inventory</t>
  </si>
  <si>
    <t>Prepaid Expenses</t>
  </si>
  <si>
    <t>Total Current Assets</t>
  </si>
  <si>
    <t>Net PP&amp;E</t>
  </si>
  <si>
    <t>Total Long Term Assets</t>
  </si>
  <si>
    <t>Total Assets</t>
  </si>
  <si>
    <t>LIABILITIES AND EQUITY</t>
  </si>
  <si>
    <t>Bank Debt - Revolver</t>
  </si>
  <si>
    <t>Accounts Payable</t>
  </si>
  <si>
    <t>Total Current Liabilities</t>
  </si>
  <si>
    <t>Total Long Term Liabilities</t>
  </si>
  <si>
    <t>Total Liabilities</t>
  </si>
  <si>
    <t>Common Shares</t>
  </si>
  <si>
    <t>Retained Earnings</t>
  </si>
  <si>
    <t>Shareholder's Equity</t>
  </si>
  <si>
    <t>Total Liabilities and Equity</t>
  </si>
  <si>
    <t>Created by: Bryan Delgado</t>
  </si>
  <si>
    <t>Willamette Valley Vineyards Financial Model</t>
  </si>
  <si>
    <t>Notes Payable</t>
  </si>
  <si>
    <t>Long Term Debt</t>
  </si>
  <si>
    <t>Lease Liabilities</t>
  </si>
  <si>
    <t>WORKING CAPITAL SCHEDULE</t>
  </si>
  <si>
    <t>Income Statement Items</t>
  </si>
  <si>
    <t>Days Per Year</t>
  </si>
  <si>
    <t>Days In</t>
  </si>
  <si>
    <t>Inventories</t>
  </si>
  <si>
    <t>Account Balances</t>
  </si>
  <si>
    <t>Working Capital Days</t>
  </si>
  <si>
    <t>days</t>
  </si>
  <si>
    <t>DEPRECIATION SCHEDULE</t>
  </si>
  <si>
    <t>Years Remaining on Exisiting Assets:</t>
  </si>
  <si>
    <t>Depreciation Years on New Assets:</t>
  </si>
  <si>
    <t>Depreciation to Existing Assets</t>
  </si>
  <si>
    <t>Total Depreciation</t>
  </si>
  <si>
    <t>INCOME TAX SCHEDULE</t>
  </si>
  <si>
    <t>Tax Rate:</t>
  </si>
  <si>
    <t>Accounting EBT (as is on I/S)</t>
  </si>
  <si>
    <t>A</t>
  </si>
  <si>
    <t>Less: Reduction in EBT for timing differences</t>
  </si>
  <si>
    <t>Government EBT</t>
  </si>
  <si>
    <t>B</t>
  </si>
  <si>
    <t>Accounting Taxes (25% of A)</t>
  </si>
  <si>
    <t>Taxes as Appearing on Income Statement</t>
  </si>
  <si>
    <t>Current Tax (25% of B)</t>
  </si>
  <si>
    <t>Increase (Decrease) in Deferred Income Taxes</t>
  </si>
  <si>
    <t>Total Income Taxes (Same as Accounting Taxes Above)</t>
  </si>
  <si>
    <t>DEBT &amp; INTEREST SCHEDULE</t>
  </si>
  <si>
    <t>FINANCING COMPONENT</t>
  </si>
  <si>
    <t>Amount Outstanding - Beginning</t>
  </si>
  <si>
    <t>Change in Cash</t>
  </si>
  <si>
    <t>Amount Outstanding - Ending</t>
  </si>
  <si>
    <t>Interest Rate</t>
  </si>
  <si>
    <t>Annual Interest Income</t>
  </si>
  <si>
    <t>Mandatory Debt Repayments</t>
  </si>
  <si>
    <t>FCF After Mandatory Debt Repayment and Dividend</t>
  </si>
  <si>
    <t>Revolver Outstanding - Beginning</t>
  </si>
  <si>
    <t>Additions / (Repayments)</t>
  </si>
  <si>
    <t>Revolver Outstanding - Ending</t>
  </si>
  <si>
    <t>Annual Interest Expense</t>
  </si>
  <si>
    <t>Net Interest Expense</t>
  </si>
  <si>
    <t>Interest earned on cash</t>
  </si>
  <si>
    <t>Net Working Capital</t>
  </si>
  <si>
    <t xml:space="preserve"> </t>
  </si>
  <si>
    <t>Change in Working Capital</t>
  </si>
  <si>
    <t>Cash Flow Statement</t>
  </si>
  <si>
    <t>Investing Activities - Other</t>
  </si>
  <si>
    <t>SHAREHOLDERS' EQUITY SCHEDULE</t>
  </si>
  <si>
    <t>Preferred Dividend</t>
  </si>
  <si>
    <t>Preferred Shares</t>
  </si>
  <si>
    <t xml:space="preserve">Preferred shares payout </t>
  </si>
  <si>
    <t>(MM)</t>
  </si>
  <si>
    <t>Balance check</t>
  </si>
  <si>
    <t>This financial model is for educational purposes only and was created solely to demonstrate practical application of accounting concepts, forecasting mechanics, and overall model design and structure. The model uses ficticious assumptions, and rough 10-K estimates, and thus should not be taken as advice of any kind.</t>
  </si>
  <si>
    <t>Balance Sheet doesn't balance</t>
  </si>
  <si>
    <t>Cash flow sweep doesn't tie to Balance Sheet</t>
  </si>
  <si>
    <t>Revolver schedule doesn't tie to Balance Sheet</t>
  </si>
  <si>
    <t>CFS doesn't tie to Balance Sheet</t>
  </si>
  <si>
    <t>Long Term debt schedule doesn't tie to Balance Sheet</t>
  </si>
  <si>
    <t>Change in Fixed Assets (CAPEX)</t>
  </si>
  <si>
    <t>Legacy Depreciation</t>
  </si>
  <si>
    <t>Total Capex</t>
  </si>
  <si>
    <t>Change in Debt &amp; Equity</t>
  </si>
  <si>
    <t>Market Value of preferred shares outstanding</t>
  </si>
  <si>
    <t>Common Stock</t>
  </si>
  <si>
    <t>net change between dividend payout and issuance proceeds</t>
  </si>
  <si>
    <t>Preferred Shares Payout</t>
  </si>
  <si>
    <t>Net Change in New Issuance / (Dividend Payment)</t>
  </si>
  <si>
    <t>Other Liabilities</t>
  </si>
  <si>
    <t>Other Assets</t>
  </si>
  <si>
    <t>Other Liabilties</t>
  </si>
  <si>
    <t>Notes Payable pay off amount</t>
  </si>
  <si>
    <t>Model Checks</t>
  </si>
  <si>
    <t>Check</t>
  </si>
  <si>
    <t>Summary Outputs</t>
  </si>
  <si>
    <t xml:space="preserve">   Growth</t>
  </si>
  <si>
    <t xml:space="preserve">   Margin</t>
  </si>
  <si>
    <t>Projected</t>
  </si>
  <si>
    <t>SUMMARY VALUES - Base Case</t>
  </si>
  <si>
    <t>SUMMARY VALUES - Best Case</t>
  </si>
  <si>
    <t>SUMMARY VALUES - Worst Case</t>
  </si>
  <si>
    <t>Shareholders' Equity New Issuance/ (Buy-Back)</t>
  </si>
  <si>
    <t>Net Income to Commons</t>
  </si>
  <si>
    <t>Returns</t>
  </si>
  <si>
    <t>Return on Assets</t>
  </si>
  <si>
    <t>Return on Equity</t>
  </si>
  <si>
    <t>Shareholders Equity</t>
  </si>
  <si>
    <t>Scenarios</t>
  </si>
  <si>
    <t>Styles</t>
  </si>
  <si>
    <t>Calulation</t>
  </si>
  <si>
    <t>Sub-Total</t>
  </si>
  <si>
    <t>Link to another sheet</t>
  </si>
  <si>
    <t>Hard-coded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</si>
</sst>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7" formatCode="&quot;$&quot;#,##0.00_);\(&quot;$&quot;#,##0.00\)"/>
    <numFmt numFmtId="44" formatCode="_(&quot;$&quot;* #,##0.00_);_(&quot;$&quot;* \(#,##0.00\);_(&quot;$&quot;* &quot;-&quot;??_);_(@_)"/>
    <numFmt numFmtId="43" formatCode="_(* #,##0.00_);_(* \(#,##0.00\);_(* &quot;-&quot;??_);_(@_)"/>
    <numFmt numFmtId="164" formatCode="0\A"/>
    <numFmt numFmtId="165" formatCode="0.0%"/>
    <numFmt numFmtId="166" formatCode="0.0"/>
    <numFmt numFmtId="167" formatCode="0.00_);\(0.00\)"/>
    <numFmt numFmtId="168" formatCode="_(&quot;$&quot;* #,##0.0_);_(&quot;$&quot;* \(#,##0.0\);_(&quot;$&quot;* &quot;-&quot;??_);_(@_)"/>
    <numFmt numFmtId="169" formatCode="0.0_);\(0.0\)"/>
    <numFmt numFmtId="170" formatCode="_(* #,##0.0_);_(* \(#,##0.0\);_(* &quot;-&quot;??_);_(@_)"/>
    <numFmt numFmtId="171" formatCode="#,##0.0_);\(#,##0.0\)"/>
    <numFmt numFmtId="172" formatCode="&quot;$&quot;#,##0.0_);\(&quot;$&quot;#,##0.0\)"/>
    <numFmt numFmtId="173" formatCode="#,##0.0_);[Red]\(#,##0.0\)"/>
    <numFmt numFmtId="174" formatCode="&quot;$&quot;#,##0.0"/>
    <numFmt numFmtId="175" formatCode="0.00000000000000"/>
  </numFmts>
  <fonts count="24" x14ac:knownFonts="1">
    <font>
      <sz val="11"/>
      <color theme="1"/>
      <name val="Times New Roman"/>
      <family val="2"/>
    </font>
    <font>
      <sz val="11"/>
      <color theme="1"/>
      <name val="Times New Roman"/>
      <family val="2"/>
    </font>
    <font>
      <sz val="11"/>
      <color rgb="FF9C5700"/>
      <name val="Times New Roman"/>
      <family val="2"/>
    </font>
    <font>
      <sz val="11"/>
      <color rgb="FFFF0000"/>
      <name val="Times New Roman"/>
      <family val="2"/>
    </font>
    <font>
      <sz val="14"/>
      <color theme="1"/>
      <name val="Times New Roman"/>
      <family val="2"/>
    </font>
    <font>
      <b/>
      <sz val="14"/>
      <color theme="1"/>
      <name val="Times New Roman"/>
      <family val="1"/>
    </font>
    <font>
      <b/>
      <sz val="11"/>
      <color theme="1"/>
      <name val="Times New Roman"/>
      <family val="1"/>
    </font>
    <font>
      <sz val="11"/>
      <color rgb="FF993366"/>
      <name val="Times New Roman"/>
      <family val="2"/>
    </font>
    <font>
      <sz val="11"/>
      <name val="Times New Roman"/>
      <family val="2"/>
    </font>
    <font>
      <sz val="11"/>
      <color theme="1"/>
      <name val="Times New Roman"/>
      <family val="1"/>
    </font>
    <font>
      <b/>
      <u/>
      <sz val="11"/>
      <color theme="1"/>
      <name val="Times New Roman"/>
      <family val="1"/>
    </font>
    <font>
      <b/>
      <sz val="11"/>
      <name val="Times New Roman"/>
      <family val="1"/>
    </font>
    <font>
      <b/>
      <sz val="11"/>
      <color rgb="FF993366"/>
      <name val="Times New Roman"/>
      <family val="1"/>
    </font>
    <font>
      <i/>
      <sz val="11"/>
      <color rgb="FF993366"/>
      <name val="Times New Roman"/>
      <family val="1"/>
    </font>
    <font>
      <b/>
      <sz val="12"/>
      <color theme="1"/>
      <name val="Times New Roman"/>
      <family val="1"/>
    </font>
    <font>
      <sz val="11"/>
      <color rgb="FF0000CC"/>
      <name val="Times New Roman"/>
      <family val="2"/>
    </font>
    <font>
      <b/>
      <i/>
      <sz val="11"/>
      <color theme="1"/>
      <name val="Times New Roman"/>
      <family val="1"/>
    </font>
    <font>
      <b/>
      <sz val="11"/>
      <color rgb="FF0000CC"/>
      <name val="Times New Roman"/>
      <family val="1"/>
    </font>
    <font>
      <b/>
      <sz val="14"/>
      <color theme="0"/>
      <name val="Times New Roman"/>
      <family val="1"/>
    </font>
    <font>
      <sz val="11"/>
      <color rgb="FF0000CC"/>
      <name val="Times New Roman"/>
      <family val="1"/>
    </font>
    <font>
      <sz val="11"/>
      <name val="Times New Roman"/>
      <family val="1"/>
    </font>
    <font>
      <sz val="14"/>
      <color theme="1"/>
      <name val="Times New Roman"/>
      <family val="1"/>
    </font>
    <font>
      <sz val="12"/>
      <color theme="1"/>
      <name val="Times New Roman"/>
      <family val="1"/>
    </font>
    <font>
      <b/>
      <sz val="12"/>
      <color theme="7" tint="0.59999389629810485"/>
      <name val="Times New Roman"/>
      <family val="1"/>
    </font>
  </fonts>
  <fills count="10">
    <fill>
      <patternFill patternType="none"/>
    </fill>
    <fill>
      <patternFill patternType="gray125"/>
    </fill>
    <fill>
      <patternFill patternType="solid">
        <fgColor rgb="FFFFEB9C"/>
      </patternFill>
    </fill>
    <fill>
      <patternFill patternType="solid">
        <fgColor them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theme="0" tint="-0.14999847407452621"/>
        <bgColor indexed="64"/>
      </patternFill>
    </fill>
  </fills>
  <borders count="28">
    <border>
      <left/>
      <right/>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bottom/>
      <diagonal/>
    </border>
    <border>
      <left/>
      <right style="hair">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medium">
        <color indexed="64"/>
      </bottom>
      <diagonal/>
    </border>
    <border>
      <left/>
      <right/>
      <top/>
      <bottom style="double">
        <color indexed="64"/>
      </bottom>
      <diagonal/>
    </border>
    <border>
      <left/>
      <right/>
      <top style="thin">
        <color indexed="64"/>
      </top>
      <bottom style="double">
        <color indexed="64"/>
      </bottom>
      <diagonal/>
    </border>
    <border>
      <left/>
      <right/>
      <top style="thin">
        <color indexed="64"/>
      </top>
      <bottom style="hair">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cellStyleXfs>
  <cellXfs count="198">
    <xf numFmtId="0" fontId="0" fillId="0" borderId="0" xfId="0"/>
    <xf numFmtId="0" fontId="0" fillId="0" borderId="0" xfId="0" applyAlignment="1">
      <alignment wrapText="1"/>
    </xf>
    <xf numFmtId="0" fontId="0" fillId="3" borderId="0" xfId="0" applyFill="1"/>
    <xf numFmtId="0" fontId="0" fillId="4" borderId="0" xfId="0" applyFill="1"/>
    <xf numFmtId="0" fontId="4" fillId="4" borderId="0" xfId="0" applyFont="1" applyFill="1"/>
    <xf numFmtId="0" fontId="0" fillId="4" borderId="0" xfId="0" applyFill="1" applyAlignment="1">
      <alignment horizontal="centerContinuous"/>
    </xf>
    <xf numFmtId="0" fontId="0" fillId="3" borderId="0" xfId="0" applyFill="1" applyAlignment="1">
      <alignment horizontal="centerContinuous"/>
    </xf>
    <xf numFmtId="0" fontId="4" fillId="3" borderId="0" xfId="0" applyFont="1" applyFill="1" applyAlignment="1">
      <alignment horizontal="centerContinuous"/>
    </xf>
    <xf numFmtId="0" fontId="5" fillId="4" borderId="0" xfId="0" applyFont="1" applyFill="1" applyAlignment="1">
      <alignment horizontal="centerContinuous"/>
    </xf>
    <xf numFmtId="164" fontId="0" fillId="0" borderId="0" xfId="0" applyNumberFormat="1"/>
    <xf numFmtId="9" fontId="0" fillId="0" borderId="0" xfId="0" applyNumberFormat="1"/>
    <xf numFmtId="165" fontId="0" fillId="0" borderId="0" xfId="0" applyNumberFormat="1"/>
    <xf numFmtId="0" fontId="0" fillId="0" borderId="1" xfId="0" applyBorder="1"/>
    <xf numFmtId="0" fontId="0" fillId="0" borderId="2" xfId="0" applyBorder="1"/>
    <xf numFmtId="165" fontId="0" fillId="0" borderId="2" xfId="0" applyNumberFormat="1" applyBorder="1"/>
    <xf numFmtId="165" fontId="0" fillId="0" borderId="3" xfId="0" applyNumberFormat="1" applyBorder="1"/>
    <xf numFmtId="0" fontId="0" fillId="0" borderId="4" xfId="0" applyBorder="1"/>
    <xf numFmtId="0" fontId="0" fillId="0" borderId="5" xfId="0" applyBorder="1"/>
    <xf numFmtId="9" fontId="0" fillId="0" borderId="5" xfId="0" applyNumberFormat="1" applyBorder="1"/>
    <xf numFmtId="0" fontId="6" fillId="0" borderId="0" xfId="0" applyFont="1"/>
    <xf numFmtId="166" fontId="0" fillId="0" borderId="0" xfId="0" applyNumberFormat="1"/>
    <xf numFmtId="165" fontId="8" fillId="0" borderId="0" xfId="0" applyNumberFormat="1" applyFont="1"/>
    <xf numFmtId="0" fontId="10" fillId="0" borderId="0" xfId="0" applyFont="1"/>
    <xf numFmtId="165" fontId="0" fillId="0" borderId="1" xfId="0" applyNumberFormat="1" applyBorder="1"/>
    <xf numFmtId="165" fontId="0" fillId="0" borderId="7" xfId="0" applyNumberFormat="1" applyBorder="1"/>
    <xf numFmtId="165" fontId="0" fillId="0" borderId="8"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0" fontId="0" fillId="0" borderId="10" xfId="0" applyBorder="1"/>
    <xf numFmtId="0" fontId="0" fillId="0" borderId="11" xfId="0" applyBorder="1"/>
    <xf numFmtId="166" fontId="0" fillId="0" borderId="15" xfId="0" applyNumberFormat="1" applyBorder="1"/>
    <xf numFmtId="166" fontId="0" fillId="0" borderId="17" xfId="0" applyNumberFormat="1" applyBorder="1"/>
    <xf numFmtId="166" fontId="0" fillId="0" borderId="19" xfId="0" applyNumberFormat="1" applyBorder="1"/>
    <xf numFmtId="166" fontId="0" fillId="0" borderId="20" xfId="0" applyNumberFormat="1" applyBorder="1"/>
    <xf numFmtId="166" fontId="0" fillId="0" borderId="1" xfId="0" applyNumberFormat="1" applyBorder="1"/>
    <xf numFmtId="166" fontId="0" fillId="0" borderId="2" xfId="0" applyNumberFormat="1" applyBorder="1"/>
    <xf numFmtId="166" fontId="0" fillId="0" borderId="3" xfId="0" applyNumberFormat="1" applyBorder="1"/>
    <xf numFmtId="166" fontId="0" fillId="0" borderId="7" xfId="0" applyNumberFormat="1" applyBorder="1"/>
    <xf numFmtId="166" fontId="0" fillId="0" borderId="8" xfId="0" applyNumberFormat="1" applyBorder="1"/>
    <xf numFmtId="166" fontId="0" fillId="0" borderId="4" xfId="0" applyNumberFormat="1" applyBorder="1"/>
    <xf numFmtId="166" fontId="0" fillId="0" borderId="5" xfId="0" applyNumberFormat="1" applyBorder="1"/>
    <xf numFmtId="166" fontId="0" fillId="0" borderId="6" xfId="0" applyNumberFormat="1" applyBorder="1"/>
    <xf numFmtId="165" fontId="0" fillId="0" borderId="11" xfId="3" applyNumberFormat="1" applyFont="1" applyBorder="1"/>
    <xf numFmtId="165" fontId="0" fillId="0" borderId="12" xfId="3" applyNumberFormat="1" applyFont="1" applyBorder="1"/>
    <xf numFmtId="166" fontId="6" fillId="0" borderId="10" xfId="0" applyNumberFormat="1" applyFont="1" applyBorder="1"/>
    <xf numFmtId="166" fontId="6" fillId="0" borderId="11" xfId="0" applyNumberFormat="1" applyFont="1" applyBorder="1"/>
    <xf numFmtId="166" fontId="6" fillId="0" borderId="12" xfId="0" applyNumberFormat="1" applyFont="1" applyBorder="1"/>
    <xf numFmtId="165" fontId="6" fillId="0" borderId="10" xfId="3" applyNumberFormat="1" applyFont="1" applyBorder="1"/>
    <xf numFmtId="165" fontId="6" fillId="0" borderId="11" xfId="3" applyNumberFormat="1" applyFont="1" applyBorder="1"/>
    <xf numFmtId="165" fontId="6" fillId="0" borderId="12" xfId="3" applyNumberFormat="1" applyFont="1" applyBorder="1"/>
    <xf numFmtId="0" fontId="11" fillId="5" borderId="0" xfId="0" applyFont="1" applyFill="1"/>
    <xf numFmtId="0" fontId="5" fillId="4" borderId="0" xfId="0" applyFont="1" applyFill="1"/>
    <xf numFmtId="0" fontId="4" fillId="3" borderId="0" xfId="0" applyFont="1" applyFill="1"/>
    <xf numFmtId="0" fontId="6" fillId="4" borderId="0" xfId="0" applyFont="1" applyFill="1"/>
    <xf numFmtId="0" fontId="6" fillId="4" borderId="24" xfId="0" applyFont="1" applyFill="1" applyBorder="1" applyAlignment="1">
      <alignment horizontal="centerContinuous"/>
    </xf>
    <xf numFmtId="0" fontId="0" fillId="4" borderId="24" xfId="0" applyFill="1" applyBorder="1" applyAlignment="1">
      <alignment horizontal="centerContinuous"/>
    </xf>
    <xf numFmtId="0" fontId="0" fillId="0" borderId="21" xfId="0" applyBorder="1"/>
    <xf numFmtId="0" fontId="0" fillId="0" borderId="22" xfId="0" applyBorder="1"/>
    <xf numFmtId="165" fontId="7" fillId="0" borderId="22" xfId="3" applyNumberFormat="1" applyFont="1" applyBorder="1"/>
    <xf numFmtId="165" fontId="7" fillId="0" borderId="23" xfId="3" applyNumberFormat="1" applyFont="1" applyBorder="1"/>
    <xf numFmtId="166" fontId="7" fillId="0" borderId="0" xfId="0" applyNumberFormat="1" applyFont="1"/>
    <xf numFmtId="166" fontId="7" fillId="0" borderId="25" xfId="0" applyNumberFormat="1" applyFont="1" applyBorder="1"/>
    <xf numFmtId="166" fontId="0" fillId="0" borderId="25" xfId="0" applyNumberFormat="1" applyBorder="1"/>
    <xf numFmtId="166" fontId="11" fillId="0" borderId="0" xfId="0" applyNumberFormat="1" applyFont="1"/>
    <xf numFmtId="165" fontId="7" fillId="0" borderId="0" xfId="3" applyNumberFormat="1" applyFont="1"/>
    <xf numFmtId="0" fontId="0" fillId="0" borderId="19" xfId="0" applyBorder="1"/>
    <xf numFmtId="165" fontId="13" fillId="0" borderId="19" xfId="3" applyNumberFormat="1" applyFont="1" applyBorder="1"/>
    <xf numFmtId="0" fontId="0" fillId="0" borderId="13" xfId="0" applyBorder="1"/>
    <xf numFmtId="0" fontId="0" fillId="0" borderId="14" xfId="0" applyBorder="1"/>
    <xf numFmtId="0" fontId="0" fillId="0" borderId="15" xfId="0" applyBorder="1"/>
    <xf numFmtId="0" fontId="0" fillId="0" borderId="18" xfId="0" applyBorder="1"/>
    <xf numFmtId="0" fontId="16" fillId="0" borderId="0" xfId="0" applyFont="1"/>
    <xf numFmtId="0" fontId="0" fillId="0" borderId="26" xfId="0" applyBorder="1"/>
    <xf numFmtId="0" fontId="15" fillId="0" borderId="0" xfId="0" applyFont="1"/>
    <xf numFmtId="0" fontId="15" fillId="0" borderId="19" xfId="0" applyFont="1" applyBorder="1"/>
    <xf numFmtId="168" fontId="6" fillId="0" borderId="26" xfId="2" applyNumberFormat="1" applyFont="1" applyBorder="1"/>
    <xf numFmtId="169" fontId="0" fillId="0" borderId="0" xfId="0" applyNumberFormat="1"/>
    <xf numFmtId="169" fontId="15" fillId="0" borderId="19" xfId="0" applyNumberFormat="1" applyFont="1" applyBorder="1"/>
    <xf numFmtId="170" fontId="0" fillId="0" borderId="0" xfId="0" applyNumberFormat="1"/>
    <xf numFmtId="170" fontId="0" fillId="0" borderId="19" xfId="0" applyNumberFormat="1" applyBorder="1"/>
    <xf numFmtId="170" fontId="15" fillId="0" borderId="0" xfId="0" applyNumberFormat="1" applyFont="1"/>
    <xf numFmtId="0" fontId="17" fillId="0" borderId="0" xfId="0" applyFont="1"/>
    <xf numFmtId="170" fontId="6" fillId="0" borderId="0" xfId="0" applyNumberFormat="1" applyFont="1"/>
    <xf numFmtId="169" fontId="17" fillId="0" borderId="0" xfId="0" applyNumberFormat="1" applyFont="1"/>
    <xf numFmtId="169" fontId="6" fillId="0" borderId="0" xfId="0" applyNumberFormat="1" applyFont="1"/>
    <xf numFmtId="0" fontId="9" fillId="0" borderId="0" xfId="0" applyFont="1"/>
    <xf numFmtId="0" fontId="0" fillId="7" borderId="0" xfId="0" applyFill="1" applyAlignment="1">
      <alignment wrapText="1"/>
    </xf>
    <xf numFmtId="0" fontId="18" fillId="7" borderId="0" xfId="0" applyFont="1" applyFill="1" applyAlignment="1">
      <alignment wrapText="1"/>
    </xf>
    <xf numFmtId="14" fontId="14" fillId="4" borderId="0" xfId="0" applyNumberFormat="1" applyFont="1" applyFill="1"/>
    <xf numFmtId="0" fontId="11" fillId="3" borderId="0" xfId="0" quotePrefix="1" applyFont="1" applyFill="1"/>
    <xf numFmtId="9" fontId="0" fillId="6" borderId="9" xfId="0" applyNumberFormat="1" applyFill="1" applyBorder="1"/>
    <xf numFmtId="166" fontId="6" fillId="0" borderId="0" xfId="0" applyNumberFormat="1" applyFont="1"/>
    <xf numFmtId="0" fontId="19" fillId="0" borderId="0" xfId="0" applyFont="1"/>
    <xf numFmtId="166" fontId="19" fillId="0" borderId="0" xfId="0" applyNumberFormat="1" applyFont="1"/>
    <xf numFmtId="166" fontId="19" fillId="0" borderId="19" xfId="0" applyNumberFormat="1" applyFont="1" applyBorder="1"/>
    <xf numFmtId="166" fontId="17" fillId="0" borderId="0" xfId="0" applyNumberFormat="1" applyFont="1"/>
    <xf numFmtId="0" fontId="19" fillId="0" borderId="19" xfId="0" applyFont="1" applyBorder="1"/>
    <xf numFmtId="2" fontId="19" fillId="0" borderId="0" xfId="0" applyNumberFormat="1" applyFont="1"/>
    <xf numFmtId="166" fontId="17" fillId="0" borderId="26" xfId="0" applyNumberFormat="1" applyFont="1" applyBorder="1"/>
    <xf numFmtId="1" fontId="0" fillId="0" borderId="11" xfId="0" applyNumberFormat="1" applyBorder="1"/>
    <xf numFmtId="1" fontId="0" fillId="0" borderId="12" xfId="0" applyNumberFormat="1" applyBorder="1"/>
    <xf numFmtId="0" fontId="20" fillId="0" borderId="0" xfId="0" applyFont="1"/>
    <xf numFmtId="0" fontId="0" fillId="0" borderId="16" xfId="0" applyBorder="1"/>
    <xf numFmtId="44" fontId="0" fillId="0" borderId="0" xfId="2" applyFont="1"/>
    <xf numFmtId="168" fontId="0" fillId="0" borderId="0" xfId="2" applyNumberFormat="1" applyFont="1"/>
    <xf numFmtId="168" fontId="6" fillId="0" borderId="26" xfId="0" applyNumberFormat="1" applyFont="1" applyBorder="1"/>
    <xf numFmtId="0" fontId="12" fillId="0" borderId="15" xfId="0" applyFont="1" applyBorder="1"/>
    <xf numFmtId="0" fontId="12" fillId="0" borderId="20" xfId="0" applyFont="1" applyBorder="1"/>
    <xf numFmtId="9" fontId="12" fillId="0" borderId="12" xfId="3" applyFont="1" applyBorder="1"/>
    <xf numFmtId="166" fontId="7" fillId="0" borderId="19" xfId="0" applyNumberFormat="1" applyFont="1" applyBorder="1"/>
    <xf numFmtId="169" fontId="0" fillId="0" borderId="19" xfId="0" applyNumberFormat="1" applyBorder="1"/>
    <xf numFmtId="0" fontId="6" fillId="0" borderId="13" xfId="0" applyFont="1" applyBorder="1"/>
    <xf numFmtId="167" fontId="0" fillId="0" borderId="0" xfId="0" applyNumberFormat="1"/>
    <xf numFmtId="167" fontId="0" fillId="0" borderId="17" xfId="0" applyNumberFormat="1" applyBorder="1"/>
    <xf numFmtId="169" fontId="0" fillId="0" borderId="20" xfId="0" applyNumberFormat="1" applyBorder="1"/>
    <xf numFmtId="169" fontId="6" fillId="0" borderId="19" xfId="0" applyNumberFormat="1" applyFont="1" applyBorder="1"/>
    <xf numFmtId="169" fontId="6" fillId="0" borderId="20" xfId="0" applyNumberFormat="1" applyFont="1" applyBorder="1"/>
    <xf numFmtId="0" fontId="11" fillId="0" borderId="0" xfId="0" applyFont="1"/>
    <xf numFmtId="166" fontId="15" fillId="0" borderId="0" xfId="0" applyNumberFormat="1" applyFont="1"/>
    <xf numFmtId="168" fontId="0" fillId="0" borderId="19" xfId="0" applyNumberFormat="1" applyBorder="1"/>
    <xf numFmtId="171" fontId="0" fillId="0" borderId="19" xfId="2" applyNumberFormat="1" applyFont="1" applyBorder="1"/>
    <xf numFmtId="169" fontId="19" fillId="0" borderId="0" xfId="0" applyNumberFormat="1" applyFont="1"/>
    <xf numFmtId="169" fontId="0" fillId="0" borderId="14" xfId="0" applyNumberFormat="1" applyBorder="1"/>
    <xf numFmtId="169" fontId="0" fillId="0" borderId="15" xfId="0" applyNumberFormat="1" applyBorder="1"/>
    <xf numFmtId="0" fontId="0" fillId="0" borderId="17" xfId="0" applyBorder="1"/>
    <xf numFmtId="169" fontId="0" fillId="0" borderId="17" xfId="0" applyNumberFormat="1" applyBorder="1"/>
    <xf numFmtId="169" fontId="7" fillId="0" borderId="19" xfId="0" applyNumberFormat="1" applyFont="1" applyBorder="1"/>
    <xf numFmtId="168" fontId="6" fillId="0" borderId="0" xfId="2" applyNumberFormat="1" applyFont="1"/>
    <xf numFmtId="172" fontId="6" fillId="0" borderId="0" xfId="2" applyNumberFormat="1" applyFont="1"/>
    <xf numFmtId="165" fontId="7" fillId="0" borderId="19" xfId="3" applyNumberFormat="1" applyFont="1" applyBorder="1"/>
    <xf numFmtId="165" fontId="8" fillId="0" borderId="19" xfId="3" applyNumberFormat="1" applyFont="1" applyBorder="1"/>
    <xf numFmtId="165" fontId="0" fillId="0" borderId="19" xfId="0" applyNumberFormat="1" applyBorder="1"/>
    <xf numFmtId="170" fontId="6" fillId="0" borderId="0" xfId="1" applyNumberFormat="1" applyFont="1"/>
    <xf numFmtId="0" fontId="21" fillId="3" borderId="0" xfId="0" applyFont="1" applyFill="1" applyAlignment="1">
      <alignment horizontal="centerContinuous"/>
    </xf>
    <xf numFmtId="171" fontId="0" fillId="0" borderId="0" xfId="0" applyNumberFormat="1"/>
    <xf numFmtId="171" fontId="0" fillId="0" borderId="19" xfId="0" applyNumberFormat="1" applyBorder="1"/>
    <xf numFmtId="169" fontId="11" fillId="0" borderId="0" xfId="0" applyNumberFormat="1" applyFont="1"/>
    <xf numFmtId="9" fontId="8" fillId="6" borderId="9" xfId="0" applyNumberFormat="1" applyFont="1" applyFill="1" applyBorder="1"/>
    <xf numFmtId="166" fontId="15" fillId="0" borderId="19" xfId="0" applyNumberFormat="1" applyFont="1" applyBorder="1"/>
    <xf numFmtId="0" fontId="3" fillId="0" borderId="0" xfId="0" applyFont="1"/>
    <xf numFmtId="0" fontId="14" fillId="0" borderId="0" xfId="0" applyFont="1"/>
    <xf numFmtId="0" fontId="22" fillId="0" borderId="0" xfId="0" applyFont="1"/>
    <xf numFmtId="0" fontId="0" fillId="8" borderId="0" xfId="0" applyFill="1"/>
    <xf numFmtId="0" fontId="23" fillId="8" borderId="0" xfId="0" applyFont="1" applyFill="1"/>
    <xf numFmtId="2" fontId="17" fillId="0" borderId="26" xfId="0" applyNumberFormat="1" applyFont="1" applyBorder="1"/>
    <xf numFmtId="2" fontId="0" fillId="0" borderId="11" xfId="0" applyNumberFormat="1" applyBorder="1"/>
    <xf numFmtId="0" fontId="6" fillId="0" borderId="19" xfId="0" applyFont="1" applyBorder="1"/>
    <xf numFmtId="0" fontId="23" fillId="0" borderId="0" xfId="0" applyFont="1"/>
    <xf numFmtId="169" fontId="6" fillId="0" borderId="26" xfId="0" applyNumberFormat="1" applyFont="1" applyBorder="1"/>
    <xf numFmtId="166" fontId="11" fillId="0" borderId="26" xfId="0" applyNumberFormat="1" applyFont="1" applyBorder="1"/>
    <xf numFmtId="10" fontId="0" fillId="0" borderId="0" xfId="0" applyNumberFormat="1"/>
    <xf numFmtId="173" fontId="7" fillId="0" borderId="0" xfId="0" applyNumberFormat="1" applyFont="1"/>
    <xf numFmtId="173" fontId="8" fillId="0" borderId="0" xfId="0" applyNumberFormat="1" applyFont="1"/>
    <xf numFmtId="9" fontId="7" fillId="0" borderId="0" xfId="3" applyFont="1"/>
    <xf numFmtId="166" fontId="0" fillId="0" borderId="19" xfId="3" applyNumberFormat="1" applyFont="1" applyBorder="1"/>
    <xf numFmtId="168" fontId="6" fillId="0" borderId="0" xfId="2" applyNumberFormat="1" applyFont="1" applyBorder="1"/>
    <xf numFmtId="172" fontId="6" fillId="0" borderId="11" xfId="2" applyNumberFormat="1" applyFont="1" applyBorder="1"/>
    <xf numFmtId="174" fontId="6" fillId="0" borderId="11" xfId="2" applyNumberFormat="1" applyFont="1" applyBorder="1"/>
    <xf numFmtId="167" fontId="0" fillId="0" borderId="11" xfId="0" applyNumberFormat="1" applyBorder="1"/>
    <xf numFmtId="7" fontId="0" fillId="0" borderId="11" xfId="2" applyNumberFormat="1" applyFont="1" applyBorder="1"/>
    <xf numFmtId="7" fontId="0" fillId="0" borderId="0" xfId="0" applyNumberFormat="1"/>
    <xf numFmtId="7" fontId="0" fillId="0" borderId="11" xfId="0" applyNumberFormat="1" applyBorder="1"/>
    <xf numFmtId="0" fontId="0" fillId="0" borderId="0" xfId="0" applyAlignment="1">
      <alignment horizontal="centerContinuous"/>
    </xf>
    <xf numFmtId="0" fontId="0" fillId="9" borderId="0" xfId="0" applyFill="1" applyAlignment="1">
      <alignment horizontal="centerContinuous"/>
    </xf>
    <xf numFmtId="0" fontId="4" fillId="9" borderId="0" xfId="0" applyFont="1" applyFill="1" applyAlignment="1">
      <alignment horizontal="centerContinuous"/>
    </xf>
    <xf numFmtId="0" fontId="0" fillId="4" borderId="19" xfId="0" applyFill="1" applyBorder="1" applyAlignment="1">
      <alignment horizontal="centerContinuous"/>
    </xf>
    <xf numFmtId="0" fontId="6" fillId="4" borderId="19" xfId="0" applyFont="1" applyFill="1" applyBorder="1" applyAlignment="1">
      <alignment horizontal="centerContinuous"/>
    </xf>
    <xf numFmtId="0" fontId="6" fillId="0" borderId="0" xfId="0" applyFont="1" applyAlignment="1">
      <alignment horizontal="centerContinuous"/>
    </xf>
    <xf numFmtId="1" fontId="11" fillId="0" borderId="0" xfId="0" applyNumberFormat="1" applyFont="1"/>
    <xf numFmtId="175" fontId="0" fillId="0" borderId="0" xfId="0" applyNumberFormat="1"/>
    <xf numFmtId="0" fontId="0" fillId="0" borderId="27" xfId="0" applyBorder="1"/>
    <xf numFmtId="171" fontId="7" fillId="0" borderId="0" xfId="0" applyNumberFormat="1" applyFont="1"/>
    <xf numFmtId="169" fontId="0" fillId="0" borderId="7" xfId="0" applyNumberFormat="1" applyBorder="1"/>
    <xf numFmtId="169" fontId="0" fillId="0" borderId="8" xfId="0" applyNumberFormat="1" applyBorder="1"/>
    <xf numFmtId="169" fontId="0" fillId="0" borderId="4" xfId="0" applyNumberFormat="1" applyBorder="1"/>
    <xf numFmtId="169" fontId="0" fillId="0" borderId="5" xfId="0" applyNumberFormat="1" applyBorder="1"/>
    <xf numFmtId="169" fontId="0" fillId="0" borderId="6" xfId="0" applyNumberFormat="1" applyBorder="1"/>
    <xf numFmtId="171" fontId="6" fillId="0" borderId="0" xfId="0" applyNumberFormat="1" applyFont="1"/>
    <xf numFmtId="166" fontId="15" fillId="0" borderId="17" xfId="0" applyNumberFormat="1" applyFont="1" applyBorder="1"/>
    <xf numFmtId="0" fontId="15" fillId="0" borderId="17" xfId="0" applyFont="1" applyBorder="1"/>
    <xf numFmtId="165" fontId="15" fillId="0" borderId="0" xfId="3" applyNumberFormat="1" applyFont="1" applyBorder="1"/>
    <xf numFmtId="165" fontId="15" fillId="0" borderId="17" xfId="3" applyNumberFormat="1" applyFont="1" applyBorder="1"/>
    <xf numFmtId="165" fontId="15" fillId="0" borderId="19" xfId="3" applyNumberFormat="1" applyFont="1" applyBorder="1"/>
    <xf numFmtId="165" fontId="15" fillId="0" borderId="20" xfId="3" applyNumberFormat="1" applyFont="1" applyBorder="1"/>
    <xf numFmtId="166" fontId="15" fillId="0" borderId="0" xfId="3" applyNumberFormat="1" applyFont="1" applyBorder="1"/>
    <xf numFmtId="166" fontId="15" fillId="0" borderId="17" xfId="3" applyNumberFormat="1" applyFont="1" applyBorder="1"/>
    <xf numFmtId="169" fontId="15" fillId="0" borderId="0" xfId="0" applyNumberFormat="1" applyFont="1"/>
    <xf numFmtId="169" fontId="15" fillId="0" borderId="17" xfId="0" applyNumberFormat="1" applyFont="1" applyBorder="1"/>
    <xf numFmtId="165" fontId="0" fillId="0" borderId="0" xfId="3" applyNumberFormat="1" applyFont="1" applyFill="1" applyBorder="1"/>
    <xf numFmtId="165" fontId="15" fillId="0" borderId="0" xfId="3" applyNumberFormat="1" applyFont="1"/>
    <xf numFmtId="0" fontId="7" fillId="0" borderId="0" xfId="0" applyFont="1"/>
    <xf numFmtId="166" fontId="15" fillId="6" borderId="9" xfId="0" applyNumberFormat="1" applyFont="1" applyFill="1" applyBorder="1"/>
    <xf numFmtId="0" fontId="0" fillId="6" borderId="0" xfId="0" applyFill="1"/>
    <xf numFmtId="166" fontId="0" fillId="6" borderId="0" xfId="0" applyNumberFormat="1" applyFill="1"/>
    <xf numFmtId="0" fontId="0" fillId="0" borderId="0" xfId="0" applyFill="1"/>
    <xf numFmtId="166" fontId="6" fillId="0" borderId="0" xfId="0" applyNumberFormat="1" applyFont="1" applyFill="1"/>
    <xf numFmtId="0" fontId="8" fillId="6" borderId="0" xfId="4" applyFont="1" applyFill="1"/>
  </cellXfs>
  <cellStyles count="5">
    <cellStyle name="Comma" xfId="1" builtinId="3"/>
    <cellStyle name="Currency" xfId="2" builtinId="4"/>
    <cellStyle name="Neutral" xfId="4" builtinId="28"/>
    <cellStyle name="Normal" xfId="0" builtinId="0"/>
    <cellStyle name="Percent" xfId="3" builtinId="5"/>
  </cellStyles>
  <dxfs count="0"/>
  <tableStyles count="0" defaultTableStyle="TableStyleMedium2" defaultPivotStyle="PivotStyleLight16"/>
  <colors>
    <mruColors>
      <color rgb="FF993366"/>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6F88A-D88B-468D-B44A-B40A71902E22}">
  <sheetPr>
    <tabColor rgb="FFFF0000"/>
  </sheetPr>
  <dimension ref="A3:A4"/>
  <sheetViews>
    <sheetView workbookViewId="0">
      <selection activeCell="R7" sqref="R7"/>
    </sheetView>
  </sheetViews>
  <sheetFormatPr defaultRowHeight="15" x14ac:dyDescent="0.25"/>
  <cols>
    <col min="1" max="1" width="57" style="87" customWidth="1"/>
    <col min="2" max="16384" width="9.140625" style="87"/>
  </cols>
  <sheetData>
    <row r="3" spans="1:1" ht="19.5" customHeight="1" x14ac:dyDescent="0.25"/>
    <row r="4" spans="1:1" ht="150" x14ac:dyDescent="0.3">
      <c r="A4" s="88"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86E62-986A-440A-948B-BB6C9103A205}">
  <sheetPr>
    <tabColor theme="4" tint="0.79998168889431442"/>
  </sheetPr>
  <dimension ref="A1:I19"/>
  <sheetViews>
    <sheetView showGridLines="0" workbookViewId="0">
      <selection activeCell="C36" sqref="C36"/>
    </sheetView>
  </sheetViews>
  <sheetFormatPr defaultRowHeight="15" x14ac:dyDescent="0.25"/>
  <cols>
    <col min="1" max="1" width="3.7109375" customWidth="1"/>
    <col min="2" max="2" width="12" customWidth="1"/>
  </cols>
  <sheetData>
    <row r="1" spans="1:9" x14ac:dyDescent="0.25">
      <c r="A1" s="2"/>
      <c r="B1" s="2"/>
      <c r="C1" s="2"/>
      <c r="D1" s="2"/>
      <c r="E1" s="2"/>
      <c r="F1" s="2"/>
      <c r="G1" s="2"/>
      <c r="H1" s="2"/>
      <c r="I1" s="2"/>
    </row>
    <row r="2" spans="1:9" x14ac:dyDescent="0.25">
      <c r="A2" s="2"/>
      <c r="B2" s="2"/>
      <c r="C2" s="2"/>
      <c r="D2" s="2"/>
      <c r="E2" s="2"/>
      <c r="F2" s="2"/>
      <c r="G2" s="2"/>
      <c r="H2" s="2"/>
      <c r="I2" s="2"/>
    </row>
    <row r="3" spans="1:9" x14ac:dyDescent="0.25">
      <c r="A3" s="2"/>
      <c r="B3" s="2"/>
      <c r="C3" s="2"/>
      <c r="D3" s="2"/>
      <c r="E3" s="2"/>
      <c r="F3" s="2"/>
      <c r="G3" s="2"/>
      <c r="H3" s="2"/>
      <c r="I3" s="2"/>
    </row>
    <row r="4" spans="1:9" x14ac:dyDescent="0.25">
      <c r="A4" s="2"/>
      <c r="B4" s="2"/>
      <c r="C4" s="2"/>
      <c r="D4" s="2"/>
      <c r="E4" s="2"/>
      <c r="F4" s="2"/>
      <c r="G4" s="2"/>
      <c r="H4" s="2"/>
      <c r="I4" s="2"/>
    </row>
    <row r="5" spans="1:9" x14ac:dyDescent="0.25">
      <c r="A5" s="2"/>
      <c r="B5" s="2"/>
      <c r="C5" s="2"/>
      <c r="D5" s="2"/>
      <c r="E5" s="2"/>
      <c r="F5" s="2"/>
      <c r="G5" s="2"/>
      <c r="H5" s="2"/>
      <c r="I5" s="2"/>
    </row>
    <row r="6" spans="1:9" ht="18.75" x14ac:dyDescent="0.3">
      <c r="A6" s="4"/>
      <c r="B6" s="52" t="s">
        <v>115</v>
      </c>
      <c r="C6" s="4"/>
      <c r="D6" s="4"/>
      <c r="E6" s="4"/>
      <c r="F6" s="4"/>
      <c r="G6" s="4"/>
      <c r="H6" s="2"/>
      <c r="I6" s="2"/>
    </row>
    <row r="7" spans="1:9" ht="18.75" x14ac:dyDescent="0.3">
      <c r="A7" s="4"/>
      <c r="B7" s="52" t="s">
        <v>114</v>
      </c>
      <c r="C7" s="4"/>
      <c r="D7" s="4"/>
      <c r="E7" s="4"/>
      <c r="F7" s="4"/>
      <c r="G7" s="4"/>
      <c r="H7" s="2"/>
      <c r="I7" s="2"/>
    </row>
    <row r="8" spans="1:9" ht="15.75" x14ac:dyDescent="0.25">
      <c r="A8" s="3"/>
      <c r="B8" s="89">
        <f ca="1">TODAY()</f>
        <v>45271</v>
      </c>
      <c r="C8" s="3"/>
      <c r="D8" s="3"/>
      <c r="E8" s="3"/>
      <c r="F8" s="3"/>
      <c r="G8" s="3"/>
      <c r="H8" s="2"/>
      <c r="I8" s="2"/>
    </row>
    <row r="9" spans="1:9" x14ac:dyDescent="0.25">
      <c r="A9" s="2"/>
      <c r="B9" s="2"/>
      <c r="C9" s="2"/>
      <c r="D9" s="2"/>
      <c r="E9" s="2"/>
      <c r="F9" s="2"/>
      <c r="G9" s="2"/>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7C05C-D1A9-49B9-B9C3-F176202179BB}">
  <sheetPr>
    <tabColor theme="7" tint="0.79998168889431442"/>
  </sheetPr>
  <dimension ref="A1:AC54"/>
  <sheetViews>
    <sheetView showGridLines="0" tabSelected="1" workbookViewId="0">
      <selection activeCell="Q27" sqref="Q27"/>
    </sheetView>
  </sheetViews>
  <sheetFormatPr defaultRowHeight="15" x14ac:dyDescent="0.25"/>
  <cols>
    <col min="1" max="2" width="3.7109375" customWidth="1"/>
    <col min="3" max="3" width="16" customWidth="1"/>
    <col min="9" max="9" width="9.42578125" bestFit="1" customWidth="1"/>
    <col min="18" max="18" width="15.5703125" customWidth="1"/>
    <col min="23" max="23" width="9.42578125" bestFit="1" customWidth="1"/>
  </cols>
  <sheetData>
    <row r="1" spans="1:29" ht="18.75" x14ac:dyDescent="0.3">
      <c r="A1" s="3"/>
      <c r="B1" s="8" t="str">
        <f>Cover!B6</f>
        <v>Willamette Valley Vineyards Financial Model</v>
      </c>
      <c r="C1" s="5"/>
      <c r="D1" s="5"/>
      <c r="E1" s="5"/>
      <c r="F1" s="5"/>
      <c r="G1" s="5"/>
      <c r="H1" s="5"/>
      <c r="I1" s="5"/>
      <c r="J1" s="5"/>
      <c r="K1" s="5"/>
      <c r="L1" s="5"/>
      <c r="M1" s="5"/>
      <c r="N1" s="5"/>
    </row>
    <row r="2" spans="1:29" ht="18.75" x14ac:dyDescent="0.3">
      <c r="A2" s="164"/>
      <c r="B2" s="165" t="s">
        <v>191</v>
      </c>
      <c r="C2" s="164"/>
      <c r="D2" s="164"/>
      <c r="E2" s="164"/>
      <c r="F2" s="164"/>
      <c r="G2" s="164"/>
      <c r="H2" s="164"/>
      <c r="I2" s="164"/>
      <c r="J2" s="164"/>
      <c r="K2" s="164"/>
      <c r="L2" s="164"/>
      <c r="M2" s="164"/>
      <c r="N2" s="164"/>
    </row>
    <row r="4" spans="1:29" x14ac:dyDescent="0.25">
      <c r="B4" s="168" t="s">
        <v>195</v>
      </c>
      <c r="C4" s="168"/>
      <c r="D4" s="168"/>
      <c r="E4" s="168"/>
      <c r="F4" s="168"/>
      <c r="G4" s="168"/>
      <c r="H4" s="168"/>
      <c r="I4" s="168"/>
      <c r="J4" s="168"/>
      <c r="K4" s="168"/>
      <c r="L4" s="168"/>
      <c r="M4" s="168"/>
      <c r="N4" s="168"/>
      <c r="Q4" s="168" t="s">
        <v>196</v>
      </c>
      <c r="R4" s="163"/>
      <c r="S4" s="163"/>
      <c r="T4" s="163"/>
      <c r="U4" s="163"/>
      <c r="V4" s="163"/>
      <c r="W4" s="163"/>
      <c r="X4" s="163"/>
      <c r="Y4" s="163"/>
      <c r="Z4" s="163"/>
      <c r="AA4" s="163"/>
      <c r="AB4" s="163"/>
      <c r="AC4" s="163"/>
    </row>
    <row r="5" spans="1:29" x14ac:dyDescent="0.25">
      <c r="B5" s="3"/>
      <c r="C5" s="3"/>
      <c r="D5" s="3"/>
      <c r="E5" s="3"/>
      <c r="F5" s="3"/>
      <c r="G5" s="3"/>
      <c r="H5" s="3"/>
      <c r="I5" s="3"/>
      <c r="J5" s="167" t="s">
        <v>194</v>
      </c>
      <c r="K5" s="166"/>
      <c r="L5" s="166"/>
      <c r="M5" s="166"/>
      <c r="N5" s="166"/>
      <c r="P5" s="3"/>
      <c r="Q5" s="3"/>
      <c r="R5" s="3"/>
      <c r="S5" s="3"/>
      <c r="T5" s="3"/>
      <c r="U5" s="3"/>
      <c r="V5" s="3"/>
      <c r="W5" s="3"/>
      <c r="X5" s="167" t="s">
        <v>194</v>
      </c>
      <c r="Y5" s="166"/>
      <c r="Z5" s="166"/>
      <c r="AA5" s="166"/>
      <c r="AB5" s="166"/>
      <c r="AC5" s="163"/>
    </row>
    <row r="6" spans="1:29" x14ac:dyDescent="0.25">
      <c r="B6" s="3"/>
      <c r="C6" s="3"/>
      <c r="D6" s="3"/>
      <c r="E6" s="3"/>
      <c r="F6" s="3"/>
      <c r="G6" s="3">
        <v>2020</v>
      </c>
      <c r="H6" s="3">
        <v>2021</v>
      </c>
      <c r="I6" s="3">
        <v>2022</v>
      </c>
      <c r="J6" s="3">
        <v>2023</v>
      </c>
      <c r="K6" s="3">
        <v>2024</v>
      </c>
      <c r="L6" s="3">
        <v>2025</v>
      </c>
      <c r="M6" s="3">
        <v>2026</v>
      </c>
      <c r="N6" s="3">
        <v>2027</v>
      </c>
      <c r="P6" s="3"/>
      <c r="Q6" s="3"/>
      <c r="R6" s="3"/>
      <c r="S6" s="3"/>
      <c r="T6" s="3"/>
      <c r="U6" s="3">
        <v>2020</v>
      </c>
      <c r="V6" s="3">
        <v>2021</v>
      </c>
      <c r="W6" s="3">
        <v>2022</v>
      </c>
      <c r="X6" s="3">
        <v>2023</v>
      </c>
      <c r="Y6" s="3">
        <v>2024</v>
      </c>
      <c r="Z6" s="3">
        <v>2025</v>
      </c>
      <c r="AA6" s="3">
        <v>2026</v>
      </c>
      <c r="AB6" s="3">
        <v>2027</v>
      </c>
    </row>
    <row r="7" spans="1:29" x14ac:dyDescent="0.25">
      <c r="B7" s="112" t="s">
        <v>120</v>
      </c>
      <c r="C7" s="69"/>
      <c r="D7" s="69"/>
      <c r="E7" s="69"/>
      <c r="F7" s="69"/>
      <c r="G7" s="69"/>
      <c r="H7" s="69"/>
      <c r="I7" s="69"/>
      <c r="J7" s="69"/>
      <c r="K7" s="69"/>
      <c r="L7" s="69"/>
      <c r="M7" s="69"/>
      <c r="N7" s="70"/>
      <c r="P7" s="112" t="s">
        <v>120</v>
      </c>
      <c r="Q7" s="69"/>
      <c r="R7" s="69"/>
      <c r="S7" s="69"/>
      <c r="T7" s="69"/>
      <c r="U7" s="69"/>
      <c r="V7" s="69"/>
      <c r="W7" s="69"/>
      <c r="X7" s="69"/>
      <c r="Y7" s="69"/>
      <c r="Z7" s="69"/>
      <c r="AA7" s="69"/>
      <c r="AB7" s="70"/>
    </row>
    <row r="8" spans="1:29" x14ac:dyDescent="0.25">
      <c r="B8" s="103"/>
      <c r="C8" t="s">
        <v>54</v>
      </c>
      <c r="E8" t="s">
        <v>168</v>
      </c>
      <c r="H8" s="119">
        <v>31.7</v>
      </c>
      <c r="I8" s="119">
        <v>33.9</v>
      </c>
      <c r="J8" s="119">
        <v>41.923437016574582</v>
      </c>
      <c r="K8" s="119">
        <v>45.88231235469614</v>
      </c>
      <c r="L8" s="119">
        <v>50.208592086278465</v>
      </c>
      <c r="M8" s="119">
        <v>54.935541707544758</v>
      </c>
      <c r="N8" s="179">
        <v>60.099329321279583</v>
      </c>
      <c r="P8" s="103"/>
      <c r="Q8" t="s">
        <v>54</v>
      </c>
      <c r="S8" t="s">
        <v>168</v>
      </c>
      <c r="V8" s="119">
        <v>31.7</v>
      </c>
      <c r="W8" s="119">
        <v>33.9</v>
      </c>
      <c r="X8" s="119">
        <v>45.832200662983432</v>
      </c>
      <c r="Y8" s="119">
        <v>51.090029440707191</v>
      </c>
      <c r="Z8" s="119">
        <v>56.944331844776613</v>
      </c>
      <c r="AA8" s="119">
        <v>63.46177677659103</v>
      </c>
      <c r="AB8" s="179">
        <v>70.716334515950024</v>
      </c>
      <c r="AC8" s="20"/>
    </row>
    <row r="9" spans="1:29" x14ac:dyDescent="0.25">
      <c r="B9" s="103"/>
      <c r="C9" t="s">
        <v>192</v>
      </c>
      <c r="E9" t="s">
        <v>33</v>
      </c>
      <c r="H9" s="74"/>
      <c r="I9" s="181"/>
      <c r="J9" s="181"/>
      <c r="K9" s="181"/>
      <c r="L9" s="181"/>
      <c r="M9" s="181"/>
      <c r="N9" s="182"/>
      <c r="P9" s="103"/>
      <c r="Q9" t="s">
        <v>192</v>
      </c>
      <c r="S9" t="s">
        <v>33</v>
      </c>
      <c r="V9" s="74"/>
      <c r="W9" s="181">
        <f>W8/V8-1</f>
        <v>6.9400630914826511E-2</v>
      </c>
      <c r="X9" s="181">
        <f t="shared" ref="X9:AB9" si="0">X8/W8-1</f>
        <v>0.35198232044198918</v>
      </c>
      <c r="Y9" s="181">
        <f t="shared" si="0"/>
        <v>0.11471909927227797</v>
      </c>
      <c r="Z9" s="181">
        <f t="shared" si="0"/>
        <v>0.11458796301661289</v>
      </c>
      <c r="AA9" s="181">
        <f t="shared" si="0"/>
        <v>0.11445291780014544</v>
      </c>
      <c r="AB9" s="182">
        <f t="shared" si="0"/>
        <v>0.11431381388670725</v>
      </c>
      <c r="AC9" s="189"/>
    </row>
    <row r="10" spans="1:29" x14ac:dyDescent="0.25">
      <c r="B10" s="103"/>
      <c r="H10" s="74"/>
      <c r="I10" s="74"/>
      <c r="J10" s="74"/>
      <c r="K10" s="74"/>
      <c r="L10" s="74"/>
      <c r="M10" s="74"/>
      <c r="N10" s="180"/>
      <c r="P10" s="103"/>
      <c r="V10" s="74"/>
      <c r="W10" s="74"/>
      <c r="X10" s="74"/>
      <c r="Y10" s="74"/>
      <c r="Z10" s="74"/>
      <c r="AA10" s="74"/>
      <c r="AB10" s="180"/>
    </row>
    <row r="11" spans="1:29" x14ac:dyDescent="0.25">
      <c r="B11" s="103"/>
      <c r="C11" s="19" t="s">
        <v>69</v>
      </c>
      <c r="E11" t="s">
        <v>168</v>
      </c>
      <c r="H11" s="185">
        <v>3.7000000000000011</v>
      </c>
      <c r="I11" s="185">
        <v>-0.50000000000000355</v>
      </c>
      <c r="J11" s="185">
        <v>5.5094370165745801</v>
      </c>
      <c r="K11" s="185">
        <v>8.7400323546961367</v>
      </c>
      <c r="L11" s="185">
        <v>12.323466486278463</v>
      </c>
      <c r="M11" s="185">
        <v>16.29271359554475</v>
      </c>
      <c r="N11" s="186">
        <v>20.683644647039579</v>
      </c>
      <c r="P11" s="103"/>
      <c r="Q11" s="19" t="s">
        <v>69</v>
      </c>
      <c r="S11" t="s">
        <v>168</v>
      </c>
      <c r="V11" s="187">
        <v>3.7000000000000011</v>
      </c>
      <c r="W11" s="187">
        <v>-0.50000000000000355</v>
      </c>
      <c r="X11" s="187">
        <v>9.4182006629834305</v>
      </c>
      <c r="Y11" s="187">
        <v>13.947749440707192</v>
      </c>
      <c r="Z11" s="187">
        <v>19.059206244776611</v>
      </c>
      <c r="AA11" s="187">
        <v>24.81894866459103</v>
      </c>
      <c r="AB11" s="188">
        <v>31.300649841710019</v>
      </c>
      <c r="AC11" s="77"/>
    </row>
    <row r="12" spans="1:29" x14ac:dyDescent="0.25">
      <c r="B12" s="103"/>
      <c r="C12" t="s">
        <v>193</v>
      </c>
      <c r="E12" t="s">
        <v>33</v>
      </c>
      <c r="H12" s="190">
        <f>H11/H$8</f>
        <v>0.11671924290220824</v>
      </c>
      <c r="I12" s="190">
        <f t="shared" ref="I12" si="1">I11/I$8</f>
        <v>-1.4749262536873262E-2</v>
      </c>
      <c r="J12" s="190">
        <f t="shared" ref="J12" si="2">J11/J$8</f>
        <v>0.13141663490988117</v>
      </c>
      <c r="K12" s="190">
        <f t="shared" ref="K12" si="3">K11/K$8</f>
        <v>0.19048805315501013</v>
      </c>
      <c r="L12" s="190">
        <f t="shared" ref="L12" si="4">L11/L$8</f>
        <v>0.24544537048762119</v>
      </c>
      <c r="M12" s="190">
        <f t="shared" ref="M12" si="5">M11/M$8</f>
        <v>0.296578737355149</v>
      </c>
      <c r="N12" s="182">
        <f t="shared" ref="N12" si="6">N11/N$8</f>
        <v>0.3441576616682151</v>
      </c>
      <c r="P12" s="103"/>
      <c r="Q12" t="s">
        <v>193</v>
      </c>
      <c r="S12" t="s">
        <v>33</v>
      </c>
      <c r="V12" s="181">
        <f>V11/V$8</f>
        <v>0.11671924290220824</v>
      </c>
      <c r="W12" s="181">
        <f t="shared" ref="W12:AB12" si="7">W11/W$8</f>
        <v>-1.4749262536873262E-2</v>
      </c>
      <c r="X12" s="181">
        <f t="shared" si="7"/>
        <v>0.20549309277636496</v>
      </c>
      <c r="Y12" s="181">
        <f t="shared" si="7"/>
        <v>0.27300335492846656</v>
      </c>
      <c r="Z12" s="181">
        <f t="shared" si="7"/>
        <v>0.33469891782609218</v>
      </c>
      <c r="AA12" s="181">
        <f t="shared" si="7"/>
        <v>0.39108499517690665</v>
      </c>
      <c r="AB12" s="182">
        <f t="shared" si="7"/>
        <v>0.442622628222482</v>
      </c>
      <c r="AC12" s="189"/>
    </row>
    <row r="13" spans="1:29" x14ac:dyDescent="0.25">
      <c r="B13" s="103"/>
      <c r="C13" t="s">
        <v>192</v>
      </c>
      <c r="E13" t="s">
        <v>33</v>
      </c>
      <c r="H13" s="74"/>
      <c r="I13" s="181">
        <f>I11/H11-1</f>
        <v>-1.135135135135136</v>
      </c>
      <c r="J13" s="181">
        <f t="shared" ref="J13:N13" si="8">J11/I11-1</f>
        <v>-12.018874033149082</v>
      </c>
      <c r="K13" s="181">
        <f t="shared" si="8"/>
        <v>0.58637485616091811</v>
      </c>
      <c r="L13" s="181">
        <f t="shared" si="8"/>
        <v>0.41000238742330275</v>
      </c>
      <c r="M13" s="181">
        <f t="shared" si="8"/>
        <v>0.32208852222593687</v>
      </c>
      <c r="N13" s="182">
        <f t="shared" si="8"/>
        <v>0.26950274585907708</v>
      </c>
      <c r="P13" s="103"/>
      <c r="Q13" t="s">
        <v>192</v>
      </c>
      <c r="S13" t="s">
        <v>33</v>
      </c>
      <c r="V13" s="74"/>
      <c r="W13" s="181">
        <f>W11/V11-1</f>
        <v>-1.135135135135136</v>
      </c>
      <c r="X13" s="181">
        <f t="shared" ref="X13:AB13" si="9">X11/W11-1</f>
        <v>-19.836401325966726</v>
      </c>
      <c r="Y13" s="181">
        <f t="shared" si="9"/>
        <v>0.48093568398116116</v>
      </c>
      <c r="Z13" s="181">
        <f t="shared" si="9"/>
        <v>0.36647179717405742</v>
      </c>
      <c r="AA13" s="181">
        <f t="shared" si="9"/>
        <v>0.30220263875852327</v>
      </c>
      <c r="AB13" s="182">
        <f t="shared" si="9"/>
        <v>0.26115937724495053</v>
      </c>
      <c r="AC13" s="189"/>
    </row>
    <row r="14" spans="1:29" x14ac:dyDescent="0.25">
      <c r="B14" s="103"/>
      <c r="H14" s="74"/>
      <c r="I14" s="74"/>
      <c r="J14" s="74"/>
      <c r="K14" s="74"/>
      <c r="L14" s="74"/>
      <c r="M14" s="74"/>
      <c r="N14" s="180"/>
      <c r="P14" s="103"/>
      <c r="V14" s="74"/>
      <c r="W14" s="74"/>
      <c r="X14" s="74"/>
      <c r="Y14" s="74"/>
      <c r="Z14" s="74"/>
      <c r="AA14" s="74"/>
      <c r="AB14" s="180"/>
    </row>
    <row r="15" spans="1:29" x14ac:dyDescent="0.25">
      <c r="B15" s="103"/>
      <c r="C15" s="19" t="s">
        <v>199</v>
      </c>
      <c r="E15" t="s">
        <v>168</v>
      </c>
      <c r="H15" s="187"/>
      <c r="I15" s="187">
        <v>-5.110057000000003</v>
      </c>
      <c r="J15" s="187">
        <v>-4.2599135359116085</v>
      </c>
      <c r="K15" s="187">
        <v>-1.9349894167535737</v>
      </c>
      <c r="L15" s="187">
        <v>-1.5355200298647373</v>
      </c>
      <c r="M15" s="187">
        <v>1.0800142792402512</v>
      </c>
      <c r="N15" s="188">
        <v>4.6927656373851336</v>
      </c>
      <c r="P15" s="103"/>
      <c r="Q15" s="19" t="s">
        <v>199</v>
      </c>
      <c r="S15" t="s">
        <v>168</v>
      </c>
      <c r="V15" s="187"/>
      <c r="W15" s="187">
        <v>-5.110057000000003</v>
      </c>
      <c r="X15" s="187">
        <v>-0.93746443646408528</v>
      </c>
      <c r="Y15" s="187">
        <v>0.3542119428101107</v>
      </c>
      <c r="Z15" s="187">
        <v>4.1961830603790391</v>
      </c>
      <c r="AA15" s="187">
        <v>8.7197154360421614</v>
      </c>
      <c r="AB15" s="188">
        <v>14.271902174661847</v>
      </c>
      <c r="AC15" s="77"/>
    </row>
    <row r="16" spans="1:29" x14ac:dyDescent="0.25">
      <c r="B16" s="103"/>
      <c r="H16" s="74"/>
      <c r="I16" s="181"/>
      <c r="J16" s="181"/>
      <c r="K16" s="181"/>
      <c r="L16" s="181"/>
      <c r="M16" s="181"/>
      <c r="N16" s="182"/>
      <c r="P16" s="103"/>
      <c r="V16" s="74"/>
      <c r="W16" s="181"/>
      <c r="X16" s="181"/>
      <c r="Y16" s="181"/>
      <c r="Z16" s="181"/>
      <c r="AA16" s="181"/>
      <c r="AB16" s="182"/>
      <c r="AC16" s="189"/>
    </row>
    <row r="17" spans="2:29" x14ac:dyDescent="0.25">
      <c r="B17" s="103"/>
      <c r="C17" t="s">
        <v>103</v>
      </c>
      <c r="E17" t="s">
        <v>168</v>
      </c>
      <c r="H17" s="74"/>
      <c r="I17" s="185">
        <v>124.839</v>
      </c>
      <c r="J17" s="185">
        <v>116.97763704306367</v>
      </c>
      <c r="K17" s="185">
        <v>113.08366626827282</v>
      </c>
      <c r="L17" s="185">
        <v>119.57299526205793</v>
      </c>
      <c r="M17" s="185">
        <v>118.46389081437204</v>
      </c>
      <c r="N17" s="186">
        <v>114.08703649691523</v>
      </c>
      <c r="P17" s="103"/>
      <c r="Q17" t="s">
        <v>103</v>
      </c>
      <c r="S17" t="s">
        <v>168</v>
      </c>
      <c r="V17" s="74"/>
      <c r="W17" s="185">
        <v>124.839</v>
      </c>
      <c r="X17" s="185">
        <v>121.15680146227204</v>
      </c>
      <c r="Y17" s="185">
        <v>117.81134443327659</v>
      </c>
      <c r="Z17" s="185">
        <v>120.3111585232632</v>
      </c>
      <c r="AA17" s="185">
        <v>124.23148692050773</v>
      </c>
      <c r="AB17" s="186">
        <v>135.44171734280013</v>
      </c>
      <c r="AC17" s="189"/>
    </row>
    <row r="18" spans="2:29" x14ac:dyDescent="0.25">
      <c r="B18" s="103"/>
      <c r="C18" t="s">
        <v>203</v>
      </c>
      <c r="E18" t="s">
        <v>168</v>
      </c>
      <c r="H18" s="74"/>
      <c r="I18" s="185">
        <v>65.492000000000004</v>
      </c>
      <c r="J18" s="185">
        <v>64.646143464088397</v>
      </c>
      <c r="K18" s="185">
        <v>64.231154047334812</v>
      </c>
      <c r="L18" s="185">
        <v>64.864874038470077</v>
      </c>
      <c r="M18" s="185">
        <v>68.229098059823329</v>
      </c>
      <c r="N18" s="186">
        <v>75.157136555653466</v>
      </c>
      <c r="P18" s="103"/>
      <c r="Q18" t="s">
        <v>203</v>
      </c>
      <c r="S18" t="s">
        <v>168</v>
      </c>
      <c r="V18" s="74"/>
      <c r="W18" s="185">
        <v>65.492000000000004</v>
      </c>
      <c r="X18" s="185">
        <v>68.823592563535925</v>
      </c>
      <c r="Y18" s="185">
        <v>70.977044527346024</v>
      </c>
      <c r="Z18" s="185">
        <v>77.687437329838076</v>
      </c>
      <c r="AA18" s="185">
        <v>89.082425611666238</v>
      </c>
      <c r="AB18" s="186">
        <v>106.04707422565527</v>
      </c>
      <c r="AC18" s="189"/>
    </row>
    <row r="19" spans="2:29" x14ac:dyDescent="0.25">
      <c r="B19" s="103"/>
      <c r="H19" s="74"/>
      <c r="I19" s="181"/>
      <c r="J19" s="181"/>
      <c r="K19" s="181"/>
      <c r="L19" s="181"/>
      <c r="M19" s="181"/>
      <c r="N19" s="182"/>
      <c r="P19" s="103"/>
      <c r="V19" s="74"/>
      <c r="W19" s="181"/>
      <c r="X19" s="181"/>
      <c r="Y19" s="181"/>
      <c r="Z19" s="181"/>
      <c r="AA19" s="181"/>
      <c r="AB19" s="182"/>
      <c r="AC19" s="189"/>
    </row>
    <row r="20" spans="2:29" x14ac:dyDescent="0.25">
      <c r="B20" s="103"/>
      <c r="C20" s="19" t="s">
        <v>200</v>
      </c>
      <c r="H20" s="74"/>
      <c r="I20" s="181"/>
      <c r="J20" s="181"/>
      <c r="K20" s="181"/>
      <c r="L20" s="181"/>
      <c r="M20" s="181"/>
      <c r="N20" s="182"/>
      <c r="P20" s="103"/>
      <c r="Q20" s="19" t="s">
        <v>200</v>
      </c>
      <c r="V20" s="74"/>
      <c r="W20" s="181"/>
      <c r="X20" s="181"/>
      <c r="Y20" s="181"/>
      <c r="Z20" s="181"/>
      <c r="AA20" s="181"/>
      <c r="AB20" s="182"/>
      <c r="AC20" s="189"/>
    </row>
    <row r="21" spans="2:29" x14ac:dyDescent="0.25">
      <c r="B21" s="103"/>
      <c r="C21" t="s">
        <v>201</v>
      </c>
      <c r="H21" s="74"/>
      <c r="I21" s="181">
        <v>-4.093317793317796E-2</v>
      </c>
      <c r="J21" s="181">
        <v>-3.6416477914863174E-2</v>
      </c>
      <c r="K21" s="181">
        <v>-1.7111130905175308E-2</v>
      </c>
      <c r="L21" s="181">
        <v>-1.2841695790085957E-2</v>
      </c>
      <c r="M21" s="181">
        <v>9.1168226184009816E-3</v>
      </c>
      <c r="N21" s="182">
        <v>4.1133206554208462E-2</v>
      </c>
      <c r="P21" s="103"/>
      <c r="Q21" t="s">
        <v>201</v>
      </c>
      <c r="S21" t="s">
        <v>33</v>
      </c>
      <c r="V21" s="74"/>
      <c r="W21" s="181">
        <v>-4.093317793317796E-2</v>
      </c>
      <c r="X21" s="181">
        <v>-7.7376129540363409E-3</v>
      </c>
      <c r="Y21" s="181">
        <v>3.0066030102111388E-3</v>
      </c>
      <c r="Z21" s="181">
        <v>3.4877754581406267E-2</v>
      </c>
      <c r="AA21" s="181">
        <v>7.0189254368513393E-2</v>
      </c>
      <c r="AB21" s="182">
        <v>0.10537301545387204</v>
      </c>
      <c r="AC21" s="189"/>
    </row>
    <row r="22" spans="2:29" x14ac:dyDescent="0.25">
      <c r="B22" s="71"/>
      <c r="C22" s="66" t="s">
        <v>202</v>
      </c>
      <c r="D22" s="66"/>
      <c r="E22" s="66"/>
      <c r="F22" s="66"/>
      <c r="G22" s="66"/>
      <c r="H22" s="75"/>
      <c r="I22" s="183">
        <v>-7.8025667257069609E-2</v>
      </c>
      <c r="J22" s="183">
        <v>-6.5895864898391568E-2</v>
      </c>
      <c r="K22" s="183">
        <v>-3.0125403247894214E-2</v>
      </c>
      <c r="L22" s="183">
        <v>-2.3672597112484189E-2</v>
      </c>
      <c r="M22" s="183">
        <v>1.5829232833963213E-2</v>
      </c>
      <c r="N22" s="184">
        <v>6.2439388359482872E-2</v>
      </c>
      <c r="P22" s="71"/>
      <c r="Q22" s="66" t="s">
        <v>202</v>
      </c>
      <c r="R22" s="66"/>
      <c r="S22" s="66" t="s">
        <v>33</v>
      </c>
      <c r="T22" s="66"/>
      <c r="U22" s="66"/>
      <c r="V22" s="75"/>
      <c r="W22" s="183">
        <v>-7.8025667257069609E-2</v>
      </c>
      <c r="X22" s="183">
        <v>-1.3621265637922717E-2</v>
      </c>
      <c r="Y22" s="183">
        <v>4.9905141185984433E-3</v>
      </c>
      <c r="Z22" s="183">
        <v>5.4013663014307919E-2</v>
      </c>
      <c r="AA22" s="183">
        <v>9.7883677685806386E-2</v>
      </c>
      <c r="AB22" s="184">
        <v>0.13458081968667024</v>
      </c>
      <c r="AC22" s="189"/>
    </row>
    <row r="25" spans="2:29" x14ac:dyDescent="0.25">
      <c r="B25" s="168" t="s">
        <v>197</v>
      </c>
      <c r="C25" s="168"/>
      <c r="D25" s="168"/>
      <c r="E25" s="168"/>
      <c r="F25" s="168"/>
      <c r="G25" s="168"/>
      <c r="H25" s="168"/>
      <c r="I25" s="168"/>
      <c r="J25" s="168"/>
      <c r="K25" s="168"/>
      <c r="L25" s="168"/>
      <c r="M25" s="168"/>
      <c r="N25" s="168"/>
    </row>
    <row r="26" spans="2:29" x14ac:dyDescent="0.25">
      <c r="B26" s="3"/>
      <c r="C26" s="3"/>
      <c r="D26" s="3"/>
      <c r="E26" s="3"/>
      <c r="F26" s="3"/>
      <c r="G26" s="3"/>
      <c r="H26" s="3"/>
      <c r="I26" s="3"/>
      <c r="J26" s="167" t="s">
        <v>194</v>
      </c>
      <c r="K26" s="166"/>
      <c r="L26" s="166"/>
      <c r="M26" s="166"/>
      <c r="N26" s="166"/>
    </row>
    <row r="27" spans="2:29" x14ac:dyDescent="0.25">
      <c r="B27" s="3"/>
      <c r="C27" s="3"/>
      <c r="D27" s="3"/>
      <c r="E27" s="3"/>
      <c r="F27" s="3"/>
      <c r="G27" s="3">
        <v>2020</v>
      </c>
      <c r="H27" s="3">
        <v>2021</v>
      </c>
      <c r="I27" s="3">
        <v>2022</v>
      </c>
      <c r="J27" s="3">
        <v>2023</v>
      </c>
      <c r="K27" s="3">
        <v>2024</v>
      </c>
      <c r="L27" s="3">
        <v>2025</v>
      </c>
      <c r="M27" s="3">
        <v>2026</v>
      </c>
      <c r="N27" s="3">
        <v>2027</v>
      </c>
    </row>
    <row r="28" spans="2:29" x14ac:dyDescent="0.25">
      <c r="B28" s="112" t="s">
        <v>120</v>
      </c>
      <c r="C28" s="69"/>
      <c r="D28" s="69"/>
      <c r="E28" s="69"/>
      <c r="F28" s="69"/>
      <c r="G28" s="69"/>
      <c r="H28" s="69"/>
      <c r="I28" s="69"/>
      <c r="J28" s="69"/>
      <c r="K28" s="69"/>
      <c r="L28" s="69"/>
      <c r="M28" s="69"/>
      <c r="N28" s="70"/>
    </row>
    <row r="29" spans="2:29" x14ac:dyDescent="0.25">
      <c r="B29" s="103"/>
      <c r="C29" t="s">
        <v>54</v>
      </c>
      <c r="E29" t="s">
        <v>168</v>
      </c>
      <c r="H29" s="119">
        <v>31.660256410256405</v>
      </c>
      <c r="I29" s="119">
        <v>33.9</v>
      </c>
      <c r="J29" s="119">
        <v>38.776037403314916</v>
      </c>
      <c r="K29" s="119">
        <v>41.269452641867403</v>
      </c>
      <c r="L29" s="119">
        <v>43.917216012615867</v>
      </c>
      <c r="M29" s="119">
        <v>46.728286433400434</v>
      </c>
      <c r="N29" s="179">
        <v>49.712081272050938</v>
      </c>
    </row>
    <row r="30" spans="2:29" x14ac:dyDescent="0.25">
      <c r="B30" s="103"/>
      <c r="C30" t="s">
        <v>192</v>
      </c>
      <c r="E30" t="s">
        <v>33</v>
      </c>
      <c r="H30" s="74"/>
      <c r="I30" s="74"/>
      <c r="J30" s="74"/>
      <c r="K30" s="74"/>
      <c r="L30" s="74"/>
      <c r="M30" s="74"/>
      <c r="N30" s="180"/>
    </row>
    <row r="31" spans="2:29" x14ac:dyDescent="0.25">
      <c r="B31" s="103"/>
      <c r="H31" s="74"/>
      <c r="I31" s="74"/>
      <c r="J31" s="74"/>
      <c r="K31" s="74"/>
      <c r="L31" s="74"/>
      <c r="M31" s="74"/>
      <c r="N31" s="180"/>
    </row>
    <row r="32" spans="2:29" x14ac:dyDescent="0.25">
      <c r="B32" s="103"/>
      <c r="C32" s="19" t="s">
        <v>69</v>
      </c>
      <c r="E32" t="s">
        <v>168</v>
      </c>
      <c r="H32" s="119">
        <v>3.7000000000000011</v>
      </c>
      <c r="I32" s="119">
        <v>-0.50000000000000355</v>
      </c>
      <c r="J32" s="119">
        <v>2.3620374033149147</v>
      </c>
      <c r="K32" s="119">
        <v>4.1271726418674</v>
      </c>
      <c r="L32" s="119">
        <v>6.0320904126158652</v>
      </c>
      <c r="M32" s="119">
        <v>8.0854583214004307</v>
      </c>
      <c r="N32" s="179">
        <v>10.296396597810933</v>
      </c>
    </row>
    <row r="33" spans="2:14" x14ac:dyDescent="0.25">
      <c r="B33" s="103"/>
      <c r="C33" t="s">
        <v>193</v>
      </c>
      <c r="E33" t="s">
        <v>33</v>
      </c>
      <c r="H33" s="181">
        <f>H32/H29-1</f>
        <v>-0.88313423769993915</v>
      </c>
      <c r="I33" s="181">
        <f t="shared" ref="I33:N33" si="10">I32/I29-1</f>
        <v>-1.0147492625368733</v>
      </c>
      <c r="J33" s="181">
        <f t="shared" si="10"/>
        <v>-0.93908512675632538</v>
      </c>
      <c r="K33" s="181">
        <f t="shared" si="10"/>
        <v>-0.8999944904120093</v>
      </c>
      <c r="L33" s="181">
        <f t="shared" si="10"/>
        <v>-0.86264861573003493</v>
      </c>
      <c r="M33" s="181">
        <f t="shared" si="10"/>
        <v>-0.82696865349590243</v>
      </c>
      <c r="N33" s="181">
        <f t="shared" si="10"/>
        <v>-0.79287938999247332</v>
      </c>
    </row>
    <row r="34" spans="2:14" x14ac:dyDescent="0.25">
      <c r="B34" s="103"/>
      <c r="C34" t="s">
        <v>192</v>
      </c>
      <c r="E34" t="s">
        <v>33</v>
      </c>
      <c r="H34" s="74"/>
      <c r="I34" s="181">
        <f t="shared" ref="I34:N34" si="11">I32/H32</f>
        <v>-0.13513513513513606</v>
      </c>
      <c r="J34" s="181">
        <f t="shared" si="11"/>
        <v>-4.7240748066297957</v>
      </c>
      <c r="K34" s="181">
        <f t="shared" si="11"/>
        <v>1.7472935170608521</v>
      </c>
      <c r="L34" s="181">
        <f t="shared" si="11"/>
        <v>1.4615551458701659</v>
      </c>
      <c r="M34" s="181">
        <f t="shared" si="11"/>
        <v>1.3404073494140658</v>
      </c>
      <c r="N34" s="182">
        <f t="shared" si="11"/>
        <v>1.2734462523365726</v>
      </c>
    </row>
    <row r="35" spans="2:14" x14ac:dyDescent="0.25">
      <c r="B35" s="103"/>
      <c r="H35" s="74"/>
      <c r="I35" s="74"/>
      <c r="J35" s="74"/>
      <c r="K35" s="74"/>
      <c r="L35" s="74"/>
      <c r="M35" s="74"/>
      <c r="N35" s="180"/>
    </row>
    <row r="36" spans="2:14" x14ac:dyDescent="0.25">
      <c r="B36" s="103"/>
      <c r="C36" s="19" t="s">
        <v>199</v>
      </c>
      <c r="E36" t="s">
        <v>168</v>
      </c>
      <c r="H36" s="119"/>
      <c r="I36" s="119">
        <v>-5.110057000000003</v>
      </c>
      <c r="J36" s="119">
        <v>-6.9352032071823233</v>
      </c>
      <c r="K36" s="119">
        <v>-5.8815919591610832</v>
      </c>
      <c r="L36" s="119">
        <v>-5.0168059416844306</v>
      </c>
      <c r="M36" s="119">
        <v>-4.0706303315242494</v>
      </c>
      <c r="N36" s="179">
        <v>-2.4176353848150929</v>
      </c>
    </row>
    <row r="37" spans="2:14" x14ac:dyDescent="0.25">
      <c r="B37" s="103"/>
      <c r="H37" s="74"/>
      <c r="I37" s="74"/>
      <c r="J37" s="74"/>
      <c r="K37" s="74"/>
      <c r="L37" s="74"/>
      <c r="M37" s="74"/>
      <c r="N37" s="180"/>
    </row>
    <row r="38" spans="2:14" x14ac:dyDescent="0.25">
      <c r="B38" s="103"/>
      <c r="C38" t="s">
        <v>103</v>
      </c>
      <c r="E38" t="s">
        <v>168</v>
      </c>
      <c r="H38" s="119">
        <v>121.104</v>
      </c>
      <c r="I38" s="119">
        <v>124.839</v>
      </c>
      <c r="J38" s="119">
        <v>113.61250636066754</v>
      </c>
      <c r="K38" s="119">
        <v>112.57952859473963</v>
      </c>
      <c r="L38" s="119">
        <v>118.8835293909716</v>
      </c>
      <c r="M38" s="119">
        <v>117.56446557884937</v>
      </c>
      <c r="N38" s="179">
        <v>112.94870794357512</v>
      </c>
    </row>
    <row r="39" spans="2:14" x14ac:dyDescent="0.25">
      <c r="B39" s="103"/>
      <c r="C39" t="s">
        <v>203</v>
      </c>
      <c r="E39" t="s">
        <v>168</v>
      </c>
      <c r="H39" s="119">
        <v>66.004999999999995</v>
      </c>
      <c r="I39" s="119">
        <v>65.492000000000004</v>
      </c>
      <c r="J39" s="119">
        <v>61.275853792817678</v>
      </c>
      <c r="K39" s="119">
        <v>56.604261833656594</v>
      </c>
      <c r="L39" s="119">
        <v>53.387455891972159</v>
      </c>
      <c r="M39" s="119">
        <v>51.176825560447909</v>
      </c>
      <c r="N39" s="179">
        <v>50.509190175632817</v>
      </c>
    </row>
    <row r="40" spans="2:14" x14ac:dyDescent="0.25">
      <c r="B40" s="103"/>
      <c r="H40" s="74"/>
      <c r="I40" s="74"/>
      <c r="J40" s="74"/>
      <c r="K40" s="74"/>
      <c r="L40" s="74"/>
      <c r="M40" s="74"/>
      <c r="N40" s="180"/>
    </row>
    <row r="41" spans="2:14" x14ac:dyDescent="0.25">
      <c r="B41" s="103"/>
      <c r="C41" s="19" t="s">
        <v>200</v>
      </c>
      <c r="H41" s="74"/>
      <c r="I41" s="181"/>
      <c r="J41" s="181"/>
      <c r="K41" s="181"/>
      <c r="L41" s="181"/>
      <c r="M41" s="181"/>
      <c r="N41" s="182"/>
    </row>
    <row r="42" spans="2:14" x14ac:dyDescent="0.25">
      <c r="B42" s="103"/>
      <c r="C42" t="s">
        <v>201</v>
      </c>
      <c r="E42" t="s">
        <v>33</v>
      </c>
      <c r="H42" s="74"/>
      <c r="I42" s="181">
        <v>-4.093317793317796E-2</v>
      </c>
      <c r="J42" s="181">
        <v>-6.1042603753201585E-2</v>
      </c>
      <c r="K42" s="181">
        <v>-5.2243885123497535E-2</v>
      </c>
      <c r="L42" s="181">
        <v>-4.2199335495716056E-2</v>
      </c>
      <c r="M42" s="181">
        <v>-3.4624665807663768E-2</v>
      </c>
      <c r="N42" s="182">
        <v>-2.1404719264454551E-2</v>
      </c>
    </row>
    <row r="43" spans="2:14" x14ac:dyDescent="0.25">
      <c r="B43" s="71"/>
      <c r="C43" s="66" t="s">
        <v>202</v>
      </c>
      <c r="D43" s="66"/>
      <c r="E43" s="66" t="s">
        <v>33</v>
      </c>
      <c r="F43" s="66"/>
      <c r="G43" s="66"/>
      <c r="H43" s="75"/>
      <c r="I43" s="183">
        <v>-7.8025667257069609E-2</v>
      </c>
      <c r="J43" s="183">
        <v>-0.11318003386180836</v>
      </c>
      <c r="K43" s="183">
        <v>-0.10390722833636389</v>
      </c>
      <c r="L43" s="183">
        <v>-9.3969751093511175E-2</v>
      </c>
      <c r="M43" s="183">
        <v>-7.9540500743177048E-2</v>
      </c>
      <c r="N43" s="184">
        <v>-4.7865257320665468E-2</v>
      </c>
    </row>
    <row r="44" spans="2:14" x14ac:dyDescent="0.25">
      <c r="J44" s="168"/>
      <c r="K44" s="163"/>
      <c r="L44" s="163"/>
      <c r="M44" s="163"/>
      <c r="N44" s="163"/>
    </row>
    <row r="46" spans="2:14" x14ac:dyDescent="0.25">
      <c r="B46" s="19"/>
    </row>
    <row r="50" spans="3:3" x14ac:dyDescent="0.25">
      <c r="C50" s="19"/>
    </row>
    <row r="54" spans="3:3" x14ac:dyDescent="0.25">
      <c r="C5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A0CD-0E5A-4089-BB14-B002AEFDBD72}">
  <sheetPr>
    <tabColor theme="7" tint="0.79998168889431442"/>
  </sheetPr>
  <dimension ref="A1:P85"/>
  <sheetViews>
    <sheetView showGridLines="0" workbookViewId="0">
      <pane xSplit="8" ySplit="12" topLeftCell="I25" activePane="bottomRight" state="frozen"/>
      <selection pane="topRight" activeCell="I1" sqref="I1"/>
      <selection pane="bottomLeft" activeCell="A13" sqref="A13"/>
      <selection pane="bottomRight" activeCell="K34" sqref="K34"/>
    </sheetView>
  </sheetViews>
  <sheetFormatPr defaultRowHeight="15" x14ac:dyDescent="0.25"/>
  <cols>
    <col min="1" max="3" width="3.7109375" customWidth="1"/>
    <col min="5" max="5" width="10.5703125" customWidth="1"/>
    <col min="8" max="8" width="10.5703125" customWidth="1"/>
    <col min="12" max="13" width="9.7109375" bestFit="1" customWidth="1"/>
    <col min="14" max="14" width="10.140625" bestFit="1" customWidth="1"/>
    <col min="15" max="16" width="9.7109375" bestFit="1" customWidth="1"/>
  </cols>
  <sheetData>
    <row r="1" spans="1:16" ht="18.75" x14ac:dyDescent="0.3">
      <c r="A1" s="5"/>
      <c r="B1" s="8" t="str">
        <f>Cover!B6</f>
        <v>Willamette Valley Vineyards Financial Model</v>
      </c>
      <c r="C1" s="5"/>
      <c r="D1" s="5"/>
      <c r="E1" s="5"/>
      <c r="F1" s="5"/>
      <c r="G1" s="5"/>
      <c r="H1" s="5"/>
      <c r="I1" s="5"/>
      <c r="J1" s="5"/>
      <c r="K1" s="5"/>
      <c r="L1" s="5"/>
      <c r="M1" s="5"/>
      <c r="N1" s="5"/>
      <c r="O1" s="5"/>
      <c r="P1" s="5"/>
    </row>
    <row r="2" spans="1:16" ht="18.75" x14ac:dyDescent="0.3">
      <c r="A2" s="6"/>
      <c r="B2" s="7" t="s">
        <v>1</v>
      </c>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2"/>
      <c r="B4" s="2"/>
      <c r="C4" s="2"/>
      <c r="D4" s="2"/>
      <c r="E4" s="2"/>
      <c r="F4" s="2"/>
      <c r="G4" s="2"/>
      <c r="H4" s="2"/>
      <c r="I4" s="2"/>
      <c r="J4" s="2"/>
      <c r="K4" s="2"/>
      <c r="L4" s="2"/>
      <c r="M4" s="2"/>
      <c r="N4" s="2"/>
      <c r="O4" s="2"/>
      <c r="P4" s="2"/>
    </row>
    <row r="8" spans="1:16" x14ac:dyDescent="0.25">
      <c r="A8" s="3"/>
      <c r="B8" s="3"/>
      <c r="C8" s="3"/>
      <c r="D8" s="3"/>
      <c r="E8" s="3"/>
      <c r="F8" s="3"/>
      <c r="G8" s="3"/>
      <c r="H8" s="3"/>
      <c r="I8" s="3"/>
      <c r="J8" s="3"/>
      <c r="K8" s="3"/>
      <c r="L8" s="3"/>
      <c r="M8" s="3"/>
      <c r="N8" s="3"/>
      <c r="O8" s="3"/>
      <c r="P8" s="3"/>
    </row>
    <row r="9" spans="1:16" x14ac:dyDescent="0.25">
      <c r="B9" s="1"/>
      <c r="J9" s="9">
        <v>2021</v>
      </c>
      <c r="K9" s="9">
        <v>2022</v>
      </c>
      <c r="L9">
        <v>2023</v>
      </c>
      <c r="M9">
        <v>2024</v>
      </c>
      <c r="N9">
        <v>2025</v>
      </c>
      <c r="O9">
        <v>2026</v>
      </c>
      <c r="P9">
        <v>2027</v>
      </c>
    </row>
    <row r="10" spans="1:16" ht="3.95" customHeight="1" x14ac:dyDescent="0.25"/>
    <row r="11" spans="1:16" x14ac:dyDescent="0.25">
      <c r="B11" s="12" t="s">
        <v>2</v>
      </c>
      <c r="C11" s="13"/>
      <c r="D11" s="13"/>
      <c r="E11" s="13"/>
      <c r="F11" s="13"/>
      <c r="G11" s="13"/>
      <c r="H11" s="13"/>
      <c r="I11" s="13"/>
      <c r="J11" s="13"/>
      <c r="K11" s="14">
        <v>0.01</v>
      </c>
      <c r="L11" s="14">
        <v>0.02</v>
      </c>
      <c r="M11" s="14">
        <v>0.02</v>
      </c>
      <c r="N11" s="14">
        <v>0.02</v>
      </c>
      <c r="O11" s="14">
        <v>0.02</v>
      </c>
      <c r="P11" s="14">
        <v>0.02</v>
      </c>
    </row>
    <row r="12" spans="1:16" x14ac:dyDescent="0.25">
      <c r="B12" s="16" t="s">
        <v>3</v>
      </c>
      <c r="C12" s="17"/>
      <c r="D12" s="17"/>
      <c r="E12" s="17"/>
      <c r="F12" s="17"/>
      <c r="G12" s="17"/>
      <c r="H12" s="17"/>
      <c r="I12" s="17"/>
      <c r="J12" s="17"/>
      <c r="K12" s="18">
        <v>0.1</v>
      </c>
      <c r="L12" s="18">
        <v>0.1</v>
      </c>
      <c r="M12" s="18">
        <v>0.1</v>
      </c>
      <c r="N12" s="18">
        <v>0.1</v>
      </c>
      <c r="O12" s="18">
        <v>0.1</v>
      </c>
      <c r="P12" s="18">
        <v>0.1</v>
      </c>
    </row>
    <row r="13" spans="1:16" x14ac:dyDescent="0.25">
      <c r="K13" s="10"/>
      <c r="L13" s="10"/>
      <c r="M13" s="10"/>
      <c r="N13" s="10"/>
      <c r="O13" s="10"/>
      <c r="P13" s="10"/>
    </row>
    <row r="14" spans="1:16" x14ac:dyDescent="0.25">
      <c r="C14" s="22" t="s">
        <v>205</v>
      </c>
      <c r="K14" s="10"/>
      <c r="L14" s="10"/>
      <c r="M14" s="10"/>
      <c r="N14" s="10"/>
      <c r="O14" s="10"/>
      <c r="P14" s="10"/>
    </row>
    <row r="15" spans="1:16" x14ac:dyDescent="0.25">
      <c r="C15" t="s">
        <v>206</v>
      </c>
      <c r="G15">
        <v>1000</v>
      </c>
      <c r="K15" s="10"/>
      <c r="L15" s="10"/>
      <c r="M15" s="10"/>
      <c r="N15" s="10"/>
      <c r="O15" s="10"/>
      <c r="P15" s="10"/>
    </row>
    <row r="16" spans="1:16" x14ac:dyDescent="0.25">
      <c r="C16" t="s">
        <v>207</v>
      </c>
      <c r="G16" s="19">
        <v>1000</v>
      </c>
      <c r="K16" s="10"/>
      <c r="L16" s="10"/>
      <c r="M16" s="10"/>
      <c r="N16" s="10"/>
      <c r="O16" s="10"/>
      <c r="P16" s="10"/>
    </row>
    <row r="17" spans="2:16" x14ac:dyDescent="0.25">
      <c r="C17" t="s">
        <v>208</v>
      </c>
      <c r="G17" s="191">
        <v>1000</v>
      </c>
      <c r="K17" s="10"/>
      <c r="L17" s="10"/>
      <c r="M17" s="10"/>
      <c r="N17" s="10"/>
      <c r="O17" s="10"/>
      <c r="P17" s="10"/>
    </row>
    <row r="18" spans="2:16" x14ac:dyDescent="0.25">
      <c r="C18" t="s">
        <v>209</v>
      </c>
      <c r="G18" s="138">
        <v>1</v>
      </c>
      <c r="K18" s="10"/>
      <c r="L18" s="10"/>
      <c r="M18" s="10"/>
      <c r="N18" s="10"/>
      <c r="O18" s="10"/>
      <c r="P18" s="10"/>
    </row>
    <row r="22" spans="2:16" x14ac:dyDescent="0.25">
      <c r="B22" s="19" t="s">
        <v>4</v>
      </c>
    </row>
    <row r="23" spans="2:16" ht="3" customHeight="1" x14ac:dyDescent="0.25"/>
    <row r="24" spans="2:16" x14ac:dyDescent="0.25">
      <c r="C24" s="193" t="s">
        <v>5</v>
      </c>
      <c r="D24" s="193"/>
      <c r="E24" s="193"/>
      <c r="H24" t="s">
        <v>17</v>
      </c>
      <c r="J24" s="193">
        <v>206</v>
      </c>
    </row>
    <row r="25" spans="2:16" x14ac:dyDescent="0.25">
      <c r="C25" t="s">
        <v>6</v>
      </c>
      <c r="H25" t="s">
        <v>17</v>
      </c>
      <c r="J25" s="195">
        <v>50</v>
      </c>
    </row>
    <row r="26" spans="2:16" x14ac:dyDescent="0.25">
      <c r="C26" t="s">
        <v>7</v>
      </c>
      <c r="H26" t="s">
        <v>17</v>
      </c>
      <c r="J26" s="196">
        <f>J24-J25</f>
        <v>156</v>
      </c>
      <c r="K26" s="92">
        <v>181</v>
      </c>
      <c r="L26" s="194">
        <v>255</v>
      </c>
      <c r="M26" s="194">
        <v>255</v>
      </c>
      <c r="N26" s="194">
        <v>255</v>
      </c>
      <c r="O26" s="194">
        <v>255</v>
      </c>
      <c r="P26" s="194">
        <v>255</v>
      </c>
    </row>
    <row r="27" spans="2:16" x14ac:dyDescent="0.25">
      <c r="C27" t="s">
        <v>10</v>
      </c>
      <c r="H27" s="10"/>
      <c r="L27" s="194">
        <v>270</v>
      </c>
      <c r="M27" s="194">
        <v>270</v>
      </c>
      <c r="N27" s="194">
        <v>270</v>
      </c>
      <c r="O27" s="194">
        <v>270</v>
      </c>
      <c r="P27" s="194">
        <v>270</v>
      </c>
    </row>
    <row r="28" spans="2:16" x14ac:dyDescent="0.25">
      <c r="C28" t="s">
        <v>11</v>
      </c>
      <c r="H28" s="10"/>
      <c r="L28" s="194">
        <v>245</v>
      </c>
      <c r="M28" s="194">
        <v>245</v>
      </c>
      <c r="N28" s="194">
        <v>245</v>
      </c>
      <c r="O28" s="194">
        <v>245</v>
      </c>
      <c r="P28" s="194">
        <v>245</v>
      </c>
    </row>
    <row r="29" spans="2:16" x14ac:dyDescent="0.25">
      <c r="H29" s="10"/>
      <c r="L29" s="20"/>
      <c r="M29" s="20"/>
      <c r="N29" s="20"/>
      <c r="O29" s="20"/>
      <c r="P29" s="20"/>
    </row>
    <row r="30" spans="2:16" x14ac:dyDescent="0.25">
      <c r="C30" t="s">
        <v>49</v>
      </c>
      <c r="H30" t="s">
        <v>50</v>
      </c>
      <c r="K30" s="20">
        <v>350</v>
      </c>
      <c r="L30" s="20">
        <v>350</v>
      </c>
      <c r="M30" s="20">
        <v>350</v>
      </c>
      <c r="N30" s="20">
        <v>350</v>
      </c>
      <c r="O30" s="20">
        <v>350</v>
      </c>
      <c r="P30" s="20">
        <v>350</v>
      </c>
    </row>
    <row r="32" spans="2:16" x14ac:dyDescent="0.25">
      <c r="B32" s="19" t="s">
        <v>8</v>
      </c>
    </row>
    <row r="33" spans="2:16" ht="3" customHeight="1" x14ac:dyDescent="0.25">
      <c r="B33" s="19"/>
    </row>
    <row r="34" spans="2:16" ht="15" customHeight="1" x14ac:dyDescent="0.25">
      <c r="C34" t="s">
        <v>12</v>
      </c>
      <c r="H34" t="s">
        <v>15</v>
      </c>
      <c r="J34">
        <v>13.1</v>
      </c>
      <c r="K34">
        <v>15.1</v>
      </c>
    </row>
    <row r="36" spans="2:16" x14ac:dyDescent="0.25">
      <c r="C36" t="s">
        <v>14</v>
      </c>
      <c r="H36" t="s">
        <v>16</v>
      </c>
      <c r="J36" s="10">
        <v>0.44</v>
      </c>
      <c r="K36" s="10">
        <v>0.44</v>
      </c>
    </row>
    <row r="37" spans="2:16" x14ac:dyDescent="0.25">
      <c r="C37" t="s">
        <v>13</v>
      </c>
      <c r="H37" t="s">
        <v>16</v>
      </c>
      <c r="J37" s="10">
        <f>1-J36</f>
        <v>0.56000000000000005</v>
      </c>
      <c r="K37" s="10">
        <f t="shared" ref="K37" si="0">1-K36</f>
        <v>0.56000000000000005</v>
      </c>
    </row>
    <row r="39" spans="2:16" x14ac:dyDescent="0.25">
      <c r="C39" t="s">
        <v>18</v>
      </c>
      <c r="H39" t="s">
        <v>15</v>
      </c>
      <c r="K39">
        <v>20.6</v>
      </c>
      <c r="L39" s="20">
        <f>K39*(1+L11)</f>
        <v>21.012</v>
      </c>
      <c r="M39" s="20">
        <f t="shared" ref="M39:P39" si="1">L39*(1+M11)</f>
        <v>21.43224</v>
      </c>
      <c r="N39" s="20">
        <f t="shared" si="1"/>
        <v>21.860884800000001</v>
      </c>
      <c r="O39" s="20">
        <f t="shared" si="1"/>
        <v>22.298102496000002</v>
      </c>
      <c r="P39" s="20">
        <f t="shared" si="1"/>
        <v>22.744064545920004</v>
      </c>
    </row>
    <row r="42" spans="2:16" x14ac:dyDescent="0.25">
      <c r="B42" s="19" t="s">
        <v>19</v>
      </c>
    </row>
    <row r="43" spans="2:16" ht="3.95" customHeight="1" x14ac:dyDescent="0.25"/>
    <row r="44" spans="2:16" x14ac:dyDescent="0.25">
      <c r="C44" t="s">
        <v>20</v>
      </c>
      <c r="H44" t="s">
        <v>15</v>
      </c>
      <c r="K44" s="197">
        <v>53.5</v>
      </c>
    </row>
    <row r="45" spans="2:16" x14ac:dyDescent="0.25">
      <c r="C45" t="s">
        <v>21</v>
      </c>
      <c r="H45" t="s">
        <v>15</v>
      </c>
      <c r="K45">
        <v>14.8</v>
      </c>
      <c r="L45" s="20">
        <v>-15</v>
      </c>
      <c r="M45" s="20">
        <v>-15</v>
      </c>
      <c r="N45" s="20">
        <v>-15</v>
      </c>
      <c r="O45" s="20">
        <v>-8</v>
      </c>
      <c r="P45" s="20">
        <v>-5</v>
      </c>
    </row>
    <row r="47" spans="2:16" x14ac:dyDescent="0.25">
      <c r="C47" t="s">
        <v>22</v>
      </c>
      <c r="H47" t="s">
        <v>24</v>
      </c>
      <c r="K47">
        <v>10</v>
      </c>
    </row>
    <row r="48" spans="2:16" x14ac:dyDescent="0.25">
      <c r="C48" t="s">
        <v>23</v>
      </c>
      <c r="H48" t="s">
        <v>24</v>
      </c>
      <c r="K48">
        <v>20</v>
      </c>
      <c r="L48">
        <v>20</v>
      </c>
      <c r="M48">
        <v>20</v>
      </c>
      <c r="N48">
        <v>20</v>
      </c>
      <c r="O48">
        <v>20</v>
      </c>
      <c r="P48">
        <v>20</v>
      </c>
    </row>
    <row r="50" spans="2:16" x14ac:dyDescent="0.25">
      <c r="B50" s="19" t="s">
        <v>125</v>
      </c>
    </row>
    <row r="51" spans="2:16" ht="3" customHeight="1" x14ac:dyDescent="0.25"/>
    <row r="52" spans="2:16" x14ac:dyDescent="0.25">
      <c r="B52" s="102" t="s">
        <v>97</v>
      </c>
      <c r="L52" s="20">
        <v>40</v>
      </c>
      <c r="M52" s="20">
        <v>40</v>
      </c>
      <c r="N52" s="20">
        <v>40</v>
      </c>
      <c r="O52" s="20">
        <v>40</v>
      </c>
      <c r="P52" s="20">
        <v>40</v>
      </c>
    </row>
    <row r="53" spans="2:16" x14ac:dyDescent="0.25">
      <c r="B53" s="102" t="s">
        <v>123</v>
      </c>
      <c r="L53" s="20">
        <v>530</v>
      </c>
      <c r="M53" s="20">
        <v>530</v>
      </c>
      <c r="N53" s="20">
        <v>530</v>
      </c>
      <c r="O53" s="20">
        <v>530</v>
      </c>
      <c r="P53" s="20">
        <v>530</v>
      </c>
    </row>
    <row r="54" spans="2:16" x14ac:dyDescent="0.25">
      <c r="B54" s="102" t="s">
        <v>99</v>
      </c>
      <c r="L54" s="20">
        <v>4</v>
      </c>
      <c r="M54" s="20">
        <v>4</v>
      </c>
      <c r="N54" s="20">
        <v>4</v>
      </c>
      <c r="O54" s="20">
        <v>4</v>
      </c>
      <c r="P54" s="20">
        <v>4</v>
      </c>
    </row>
    <row r="55" spans="2:16" x14ac:dyDescent="0.25">
      <c r="B55" s="102" t="s">
        <v>106</v>
      </c>
      <c r="L55" s="20">
        <v>65</v>
      </c>
      <c r="M55" s="20">
        <v>65</v>
      </c>
      <c r="N55" s="20">
        <v>65</v>
      </c>
      <c r="O55" s="20">
        <v>65</v>
      </c>
      <c r="P55" s="20">
        <v>65</v>
      </c>
    </row>
    <row r="56" spans="2:16" x14ac:dyDescent="0.25">
      <c r="B56" s="102"/>
      <c r="L56" s="20"/>
      <c r="M56" s="20"/>
      <c r="N56" s="20"/>
      <c r="O56" s="20"/>
      <c r="P56" s="20"/>
    </row>
    <row r="57" spans="2:16" x14ac:dyDescent="0.25">
      <c r="B57" s="102" t="s">
        <v>162</v>
      </c>
      <c r="L57" s="20"/>
      <c r="M57" s="20"/>
      <c r="N57" s="20"/>
      <c r="O57" s="20"/>
      <c r="P57" s="20"/>
    </row>
    <row r="58" spans="2:16" ht="3" customHeight="1" x14ac:dyDescent="0.25">
      <c r="B58" s="102"/>
      <c r="L58" s="20"/>
      <c r="M58" s="20"/>
      <c r="N58" s="20"/>
      <c r="O58" s="20"/>
      <c r="P58" s="20"/>
    </row>
    <row r="59" spans="2:16" x14ac:dyDescent="0.25">
      <c r="B59" s="102"/>
      <c r="C59" t="s">
        <v>163</v>
      </c>
      <c r="H59" t="s">
        <v>15</v>
      </c>
      <c r="J59" s="20">
        <v>0</v>
      </c>
      <c r="K59" s="20">
        <v>0</v>
      </c>
      <c r="L59" s="20">
        <v>0</v>
      </c>
      <c r="M59" s="20">
        <v>0</v>
      </c>
      <c r="N59" s="20">
        <v>0</v>
      </c>
      <c r="O59" s="20">
        <v>0</v>
      </c>
      <c r="P59" s="20">
        <v>0</v>
      </c>
    </row>
    <row r="60" spans="2:16" x14ac:dyDescent="0.25">
      <c r="B60" s="102"/>
      <c r="L60" s="20"/>
      <c r="M60" s="20"/>
      <c r="N60" s="20"/>
      <c r="O60" s="20"/>
      <c r="P60" s="20"/>
    </row>
    <row r="62" spans="2:16" x14ac:dyDescent="0.25">
      <c r="B62" s="19" t="s">
        <v>30</v>
      </c>
    </row>
    <row r="63" spans="2:16" ht="3.95" customHeight="1" x14ac:dyDescent="0.25"/>
    <row r="64" spans="2:16" ht="15" customHeight="1" x14ac:dyDescent="0.25">
      <c r="C64" t="s">
        <v>31</v>
      </c>
      <c r="H64" t="s">
        <v>33</v>
      </c>
      <c r="L64" s="11">
        <v>0.15</v>
      </c>
      <c r="M64" s="11">
        <v>0.15</v>
      </c>
      <c r="N64" s="11">
        <v>0.15</v>
      </c>
      <c r="O64" s="11">
        <v>0.15</v>
      </c>
      <c r="P64" s="11">
        <v>0.15</v>
      </c>
    </row>
    <row r="65" spans="2:16" ht="15" customHeight="1" x14ac:dyDescent="0.25">
      <c r="C65" t="s">
        <v>32</v>
      </c>
      <c r="H65" t="s">
        <v>15</v>
      </c>
      <c r="L65" s="20">
        <v>1</v>
      </c>
      <c r="M65" s="20">
        <v>1</v>
      </c>
      <c r="N65" s="20">
        <v>1</v>
      </c>
      <c r="O65" s="20">
        <v>1</v>
      </c>
      <c r="P65" s="20">
        <v>1</v>
      </c>
    </row>
    <row r="69" spans="2:16" x14ac:dyDescent="0.25">
      <c r="B69" s="19" t="s">
        <v>26</v>
      </c>
    </row>
    <row r="70" spans="2:16" ht="3" customHeight="1" x14ac:dyDescent="0.25">
      <c r="B70" s="19"/>
    </row>
    <row r="71" spans="2:16" x14ac:dyDescent="0.25">
      <c r="B71" s="19"/>
      <c r="C71" t="s">
        <v>27</v>
      </c>
      <c r="H71" t="s">
        <v>16</v>
      </c>
      <c r="L71" s="11">
        <v>7.0000000000000007E-2</v>
      </c>
      <c r="M71" s="11">
        <v>7.0000000000000007E-2</v>
      </c>
      <c r="N71" s="11">
        <v>7.0000000000000007E-2</v>
      </c>
      <c r="O71" s="11">
        <v>7.0000000000000007E-2</v>
      </c>
      <c r="P71" s="11">
        <v>7.0000000000000007E-2</v>
      </c>
    </row>
    <row r="72" spans="2:16" x14ac:dyDescent="0.25">
      <c r="C72" t="s">
        <v>25</v>
      </c>
      <c r="H72" t="s">
        <v>15</v>
      </c>
      <c r="L72" s="20">
        <v>-5.7</v>
      </c>
      <c r="M72" s="20">
        <v>-5.7</v>
      </c>
      <c r="N72" s="20">
        <v>-5.7</v>
      </c>
      <c r="O72" s="20">
        <v>-5.7</v>
      </c>
      <c r="P72" s="20">
        <v>-5.7</v>
      </c>
    </row>
    <row r="73" spans="2:16" x14ac:dyDescent="0.25">
      <c r="C73" t="s">
        <v>29</v>
      </c>
      <c r="H73" t="s">
        <v>16</v>
      </c>
      <c r="L73" s="21">
        <v>0.05</v>
      </c>
      <c r="M73" s="21">
        <v>0.05</v>
      </c>
      <c r="N73" s="21">
        <v>0.05</v>
      </c>
      <c r="O73" s="21">
        <v>0.05</v>
      </c>
      <c r="P73" s="21">
        <v>0.05</v>
      </c>
    </row>
    <row r="74" spans="2:16" x14ac:dyDescent="0.25">
      <c r="C74" t="s">
        <v>158</v>
      </c>
      <c r="H74" t="s">
        <v>16</v>
      </c>
      <c r="L74" s="11">
        <v>0.01</v>
      </c>
      <c r="M74" s="11">
        <v>0.01</v>
      </c>
      <c r="N74" s="11">
        <v>0.01</v>
      </c>
      <c r="O74" s="11">
        <v>0.01</v>
      </c>
      <c r="P74" s="11">
        <v>0.01</v>
      </c>
    </row>
    <row r="75" spans="2:16" x14ac:dyDescent="0.25">
      <c r="C75" t="s">
        <v>188</v>
      </c>
      <c r="L75" s="20">
        <v>0.96</v>
      </c>
      <c r="M75" s="20">
        <v>0.96</v>
      </c>
      <c r="N75" s="20">
        <v>0.68</v>
      </c>
      <c r="O75" s="20">
        <v>0.26</v>
      </c>
      <c r="P75" s="20"/>
    </row>
    <row r="76" spans="2:16" ht="15" customHeight="1" x14ac:dyDescent="0.25"/>
    <row r="77" spans="2:16" ht="15" customHeight="1" x14ac:dyDescent="0.25"/>
    <row r="78" spans="2:16" x14ac:dyDescent="0.25">
      <c r="B78" t="s">
        <v>179</v>
      </c>
    </row>
    <row r="79" spans="2:16" x14ac:dyDescent="0.25">
      <c r="C79" t="s">
        <v>180</v>
      </c>
      <c r="H79" t="s">
        <v>168</v>
      </c>
      <c r="K79" s="20">
        <v>38.880000000000003</v>
      </c>
      <c r="L79" s="20">
        <f>K79+L83</f>
        <v>41.88</v>
      </c>
      <c r="M79" s="20">
        <f t="shared" ref="M79:P79" si="2">L79+M83</f>
        <v>44.88</v>
      </c>
      <c r="N79" s="20">
        <f t="shared" si="2"/>
        <v>47.88</v>
      </c>
      <c r="O79" s="20">
        <f t="shared" si="2"/>
        <v>50.88</v>
      </c>
      <c r="P79" s="20">
        <f t="shared" si="2"/>
        <v>53.88</v>
      </c>
    </row>
    <row r="80" spans="2:16" x14ac:dyDescent="0.25">
      <c r="C80" t="s">
        <v>181</v>
      </c>
      <c r="K80" s="20"/>
      <c r="L80" s="20"/>
      <c r="M80" s="20"/>
      <c r="N80" s="20"/>
      <c r="O80" s="20"/>
      <c r="P80" s="20"/>
    </row>
    <row r="81" spans="3:16" x14ac:dyDescent="0.25">
      <c r="C81" t="s">
        <v>182</v>
      </c>
      <c r="H81" t="s">
        <v>15</v>
      </c>
      <c r="L81" s="20">
        <v>2</v>
      </c>
      <c r="M81" s="20">
        <v>2</v>
      </c>
      <c r="N81" s="20">
        <v>1</v>
      </c>
      <c r="O81" s="20">
        <v>0.5</v>
      </c>
      <c r="P81" s="20">
        <v>0</v>
      </c>
    </row>
    <row r="82" spans="3:16" x14ac:dyDescent="0.25">
      <c r="C82" t="s">
        <v>166</v>
      </c>
      <c r="L82" s="20"/>
      <c r="M82" s="20"/>
      <c r="N82" s="20"/>
      <c r="O82" s="20"/>
      <c r="P82" s="20"/>
    </row>
    <row r="83" spans="3:16" x14ac:dyDescent="0.25">
      <c r="C83" t="s">
        <v>182</v>
      </c>
      <c r="H83" t="s">
        <v>15</v>
      </c>
      <c r="L83" s="20">
        <v>3</v>
      </c>
      <c r="M83" s="20">
        <v>3</v>
      </c>
      <c r="N83" s="20">
        <v>3</v>
      </c>
      <c r="O83" s="20">
        <v>3</v>
      </c>
      <c r="P83" s="20">
        <v>3</v>
      </c>
    </row>
    <row r="84" spans="3:16" x14ac:dyDescent="0.25">
      <c r="K84" s="104"/>
      <c r="L84" s="104"/>
      <c r="M84" s="104"/>
      <c r="N84" s="104"/>
      <c r="O84" s="104"/>
      <c r="P84" s="104"/>
    </row>
    <row r="85" spans="3:16" x14ac:dyDescent="0.25">
      <c r="C85" t="s">
        <v>167</v>
      </c>
      <c r="K85" s="151">
        <v>5.2999999999999999E-2</v>
      </c>
      <c r="L85" s="151">
        <v>5.2999999999999999E-2</v>
      </c>
      <c r="M85" s="151">
        <v>5.2999999999999999E-2</v>
      </c>
      <c r="N85" s="151">
        <v>5.2999999999999999E-2</v>
      </c>
      <c r="O85" s="151">
        <v>5.2999999999999999E-2</v>
      </c>
      <c r="P85" s="151">
        <v>5.2999999999999999E-2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6CCBD-E89A-4EE2-A2AA-44C42FF93DE0}">
  <sheetPr>
    <tabColor theme="7" tint="0.79998168889431442"/>
  </sheetPr>
  <dimension ref="A1:P43"/>
  <sheetViews>
    <sheetView showGridLines="0" topLeftCell="A3" workbookViewId="0">
      <selection activeCell="G7" sqref="G7"/>
    </sheetView>
  </sheetViews>
  <sheetFormatPr defaultRowHeight="15" x14ac:dyDescent="0.25"/>
  <cols>
    <col min="1" max="3" width="3.7109375" customWidth="1"/>
    <col min="7" max="7" width="11.5703125" customWidth="1"/>
  </cols>
  <sheetData>
    <row r="1" spans="1:16" ht="18.75" x14ac:dyDescent="0.3">
      <c r="A1" s="5"/>
      <c r="B1" s="8" t="str">
        <f>Assumptions!B1</f>
        <v>Willamette Valley Vineyards Financial Model</v>
      </c>
      <c r="C1" s="5"/>
      <c r="D1" s="5"/>
      <c r="E1" s="5"/>
      <c r="F1" s="5"/>
      <c r="G1" s="5"/>
      <c r="H1" s="5"/>
      <c r="I1" s="5"/>
      <c r="J1" s="5"/>
      <c r="K1" s="5"/>
      <c r="L1" s="5"/>
      <c r="M1" s="5"/>
      <c r="N1" s="5"/>
      <c r="O1" s="5"/>
      <c r="P1" s="5"/>
    </row>
    <row r="2" spans="1:16" ht="18.75" x14ac:dyDescent="0.3">
      <c r="A2" s="6"/>
      <c r="B2" s="134" t="s">
        <v>204</v>
      </c>
      <c r="C2" s="6"/>
      <c r="D2" s="6"/>
      <c r="E2" s="6"/>
      <c r="F2" s="6"/>
      <c r="G2" s="6"/>
      <c r="H2" s="6"/>
      <c r="I2" s="6"/>
      <c r="J2" s="6"/>
      <c r="K2" s="6"/>
      <c r="L2" s="6"/>
      <c r="M2" s="6"/>
      <c r="N2" s="6"/>
      <c r="O2" s="6"/>
      <c r="P2" s="6"/>
    </row>
    <row r="3" spans="1:16" x14ac:dyDescent="0.25">
      <c r="A3" s="2"/>
      <c r="B3" s="2"/>
      <c r="C3" s="2"/>
      <c r="D3" s="2"/>
      <c r="E3" s="2"/>
      <c r="F3" s="2"/>
      <c r="G3" s="2"/>
      <c r="H3" s="2"/>
      <c r="I3" s="2"/>
      <c r="J3" s="2"/>
      <c r="K3" s="2"/>
      <c r="L3" s="2"/>
      <c r="M3" s="2"/>
      <c r="N3" s="2"/>
      <c r="O3" s="2"/>
      <c r="P3" s="2"/>
    </row>
    <row r="4" spans="1:16" ht="5.0999999999999996" customHeight="1" x14ac:dyDescent="0.25"/>
    <row r="5" spans="1:16" ht="5.0999999999999996" customHeight="1" x14ac:dyDescent="0.25"/>
    <row r="6" spans="1:16" ht="5.0999999999999996" customHeight="1" x14ac:dyDescent="0.25"/>
    <row r="7" spans="1:16" x14ac:dyDescent="0.25">
      <c r="C7" t="s">
        <v>34</v>
      </c>
      <c r="G7" s="51" t="s">
        <v>11</v>
      </c>
      <c r="L7" s="22">
        <v>2023</v>
      </c>
      <c r="M7" s="22">
        <v>2024</v>
      </c>
      <c r="N7" s="22">
        <v>2025</v>
      </c>
      <c r="O7" s="22">
        <v>2026</v>
      </c>
      <c r="P7" s="22">
        <v>2027</v>
      </c>
    </row>
    <row r="10" spans="1:16" x14ac:dyDescent="0.25">
      <c r="C10" s="19" t="s">
        <v>35</v>
      </c>
    </row>
    <row r="12" spans="1:16" x14ac:dyDescent="0.25">
      <c r="C12" s="19" t="s">
        <v>36</v>
      </c>
      <c r="L12" s="48">
        <f>INDEX(L14:L16,MATCH($G$7,$D$14:$D$16,0))</f>
        <v>0.03</v>
      </c>
      <c r="M12" s="49">
        <f t="shared" ref="M12:P12" si="0">INDEX(M14:M16,MATCH($G$7,$D$14:$D$16,0))</f>
        <v>0.03</v>
      </c>
      <c r="N12" s="49">
        <f t="shared" si="0"/>
        <v>0.03</v>
      </c>
      <c r="O12" s="49">
        <f t="shared" si="0"/>
        <v>0.03</v>
      </c>
      <c r="P12" s="50">
        <f t="shared" si="0"/>
        <v>0.03</v>
      </c>
    </row>
    <row r="13" spans="1:16" ht="3" customHeight="1" x14ac:dyDescent="0.25"/>
    <row r="14" spans="1:16" x14ac:dyDescent="0.25">
      <c r="D14" t="s">
        <v>9</v>
      </c>
      <c r="L14" s="23">
        <v>0.02</v>
      </c>
      <c r="M14" s="14">
        <v>0.02</v>
      </c>
      <c r="N14" s="14">
        <v>0.02</v>
      </c>
      <c r="O14" s="14">
        <v>0.02</v>
      </c>
      <c r="P14" s="15">
        <v>0.02</v>
      </c>
    </row>
    <row r="15" spans="1:16" x14ac:dyDescent="0.25">
      <c r="D15" t="s">
        <v>10</v>
      </c>
      <c r="L15" s="24">
        <v>0.01</v>
      </c>
      <c r="M15" s="11">
        <v>0.01</v>
      </c>
      <c r="N15" s="11">
        <v>0.01</v>
      </c>
      <c r="O15" s="11">
        <v>0.01</v>
      </c>
      <c r="P15" s="25">
        <v>0.01</v>
      </c>
    </row>
    <row r="16" spans="1:16" x14ac:dyDescent="0.25">
      <c r="D16" t="s">
        <v>11</v>
      </c>
      <c r="L16" s="26">
        <v>0.03</v>
      </c>
      <c r="M16" s="27">
        <v>0.03</v>
      </c>
      <c r="N16" s="27">
        <v>0.03</v>
      </c>
      <c r="O16" s="27">
        <v>0.03</v>
      </c>
      <c r="P16" s="28">
        <v>0.03</v>
      </c>
    </row>
    <row r="19" spans="3:16" x14ac:dyDescent="0.25">
      <c r="C19" s="17"/>
      <c r="D19" s="17"/>
      <c r="E19" s="17"/>
      <c r="F19" s="17"/>
      <c r="G19" s="17"/>
      <c r="H19" s="17"/>
      <c r="I19" s="17"/>
      <c r="J19" s="17"/>
      <c r="K19" s="17"/>
      <c r="L19" s="17"/>
      <c r="M19" s="17"/>
      <c r="N19" s="17"/>
      <c r="O19" s="17"/>
      <c r="P19" s="17"/>
    </row>
    <row r="22" spans="3:16" x14ac:dyDescent="0.25">
      <c r="C22" s="19" t="s">
        <v>37</v>
      </c>
    </row>
    <row r="24" spans="3:16" x14ac:dyDescent="0.25">
      <c r="C24" s="19" t="s">
        <v>38</v>
      </c>
      <c r="L24" s="45">
        <f>INDEX(L26:L28,MATCH($G$7,$D$26:$D$28,0))</f>
        <v>245</v>
      </c>
      <c r="M24" s="46">
        <f t="shared" ref="M24:P24" si="1">INDEX(M26:M28,MATCH($G$7,$D$26:$D$28,0))</f>
        <v>245</v>
      </c>
      <c r="N24" s="46">
        <f t="shared" si="1"/>
        <v>245</v>
      </c>
      <c r="O24" s="46">
        <f t="shared" si="1"/>
        <v>245</v>
      </c>
      <c r="P24" s="47">
        <f t="shared" si="1"/>
        <v>245</v>
      </c>
    </row>
    <row r="25" spans="3:16" ht="3" customHeight="1" x14ac:dyDescent="0.25"/>
    <row r="26" spans="3:16" x14ac:dyDescent="0.25">
      <c r="D26" t="s">
        <v>9</v>
      </c>
      <c r="L26" s="35">
        <v>255</v>
      </c>
      <c r="M26" s="36">
        <v>255</v>
      </c>
      <c r="N26" s="36">
        <v>255</v>
      </c>
      <c r="O26" s="36">
        <v>255</v>
      </c>
      <c r="P26" s="37">
        <v>255</v>
      </c>
    </row>
    <row r="27" spans="3:16" x14ac:dyDescent="0.25">
      <c r="D27" t="s">
        <v>10</v>
      </c>
      <c r="L27" s="38">
        <v>270</v>
      </c>
      <c r="M27" s="20">
        <v>270</v>
      </c>
      <c r="N27" s="20">
        <v>270</v>
      </c>
      <c r="O27" s="20">
        <v>270</v>
      </c>
      <c r="P27" s="39">
        <v>270</v>
      </c>
    </row>
    <row r="28" spans="3:16" x14ac:dyDescent="0.25">
      <c r="D28" t="s">
        <v>11</v>
      </c>
      <c r="L28" s="40">
        <v>245</v>
      </c>
      <c r="M28" s="41">
        <v>245</v>
      </c>
      <c r="N28" s="41">
        <v>245</v>
      </c>
      <c r="O28" s="41">
        <v>245</v>
      </c>
      <c r="P28" s="42">
        <v>245</v>
      </c>
    </row>
    <row r="31" spans="3:16" x14ac:dyDescent="0.25">
      <c r="C31" s="19" t="s">
        <v>3</v>
      </c>
      <c r="L31" s="48">
        <f>INDEX(L33:L35,MATCH($G$7,$D$33:$D$35,0))</f>
        <v>7.0000000000000007E-2</v>
      </c>
      <c r="M31" s="49">
        <f t="shared" ref="M31:P31" si="2">INDEX(M33:M35,MATCH($G$7,$D$33:$D$35,0))</f>
        <v>7.0000000000000007E-2</v>
      </c>
      <c r="N31" s="49">
        <f t="shared" si="2"/>
        <v>7.0000000000000007E-2</v>
      </c>
      <c r="O31" s="49">
        <f t="shared" si="2"/>
        <v>7.0000000000000007E-2</v>
      </c>
      <c r="P31" s="50">
        <f t="shared" si="2"/>
        <v>7.0000000000000007E-2</v>
      </c>
    </row>
    <row r="32" spans="3:16" ht="3" customHeight="1" x14ac:dyDescent="0.25"/>
    <row r="33" spans="3:16" x14ac:dyDescent="0.25">
      <c r="D33" t="s">
        <v>9</v>
      </c>
      <c r="L33" s="23">
        <v>0.1</v>
      </c>
      <c r="M33" s="14">
        <v>0.1</v>
      </c>
      <c r="N33" s="14">
        <v>0.1</v>
      </c>
      <c r="O33" s="14">
        <v>0.1</v>
      </c>
      <c r="P33" s="15">
        <v>0.1</v>
      </c>
    </row>
    <row r="34" spans="3:16" x14ac:dyDescent="0.25">
      <c r="D34" t="s">
        <v>10</v>
      </c>
      <c r="L34" s="24">
        <v>0.12</v>
      </c>
      <c r="M34" s="11">
        <v>0.12</v>
      </c>
      <c r="N34" s="11">
        <v>0.12</v>
      </c>
      <c r="O34" s="11">
        <v>0.12</v>
      </c>
      <c r="P34" s="25">
        <v>0.12</v>
      </c>
    </row>
    <row r="35" spans="3:16" x14ac:dyDescent="0.25">
      <c r="D35" t="s">
        <v>11</v>
      </c>
      <c r="L35" s="26">
        <v>7.0000000000000007E-2</v>
      </c>
      <c r="M35" s="27">
        <v>7.0000000000000007E-2</v>
      </c>
      <c r="N35" s="27">
        <v>7.0000000000000007E-2</v>
      </c>
      <c r="O35" s="27">
        <v>7.0000000000000007E-2</v>
      </c>
      <c r="P35" s="28">
        <v>7.0000000000000007E-2</v>
      </c>
    </row>
    <row r="37" spans="3:16" x14ac:dyDescent="0.25">
      <c r="C37" s="17"/>
      <c r="D37" s="17"/>
      <c r="E37" s="17"/>
      <c r="F37" s="17"/>
      <c r="G37" s="17"/>
      <c r="H37" s="17"/>
      <c r="I37" s="17"/>
      <c r="J37" s="17"/>
      <c r="K37" s="17"/>
      <c r="L37" s="17"/>
      <c r="M37" s="17"/>
      <c r="N37" s="17"/>
      <c r="O37" s="17"/>
      <c r="P37" s="17"/>
    </row>
    <row r="39" spans="3:16" x14ac:dyDescent="0.25">
      <c r="C39" s="19" t="s">
        <v>198</v>
      </c>
      <c r="L39" s="45">
        <f>INDEX(L41:L43,MATCH($G$7,$D$41:$D$43,0))</f>
        <v>-4.21</v>
      </c>
      <c r="M39" s="46">
        <f>INDEX(M41:M43,MATCH($G$7,$D$41:$D$43,0))</f>
        <v>1.21</v>
      </c>
      <c r="N39" s="46">
        <f t="shared" ref="N39:P39" si="3">INDEX(N41:N43,MATCH($G$7,$D$41:$D$43,0))</f>
        <v>1.8</v>
      </c>
      <c r="O39" s="46">
        <f t="shared" si="3"/>
        <v>1.86</v>
      </c>
      <c r="P39" s="47">
        <f t="shared" si="3"/>
        <v>1.75</v>
      </c>
    </row>
    <row r="40" spans="3:16" ht="3" customHeight="1" x14ac:dyDescent="0.25">
      <c r="L40" s="171"/>
      <c r="M40" s="171"/>
      <c r="N40" s="171"/>
      <c r="O40" s="171"/>
      <c r="P40" s="171"/>
    </row>
    <row r="41" spans="3:16" x14ac:dyDescent="0.25">
      <c r="D41" t="s">
        <v>9</v>
      </c>
      <c r="L41" s="173">
        <v>-3.5150000000000001</v>
      </c>
      <c r="M41" s="77">
        <v>1.52</v>
      </c>
      <c r="N41" s="77">
        <v>0</v>
      </c>
      <c r="O41" s="77">
        <v>0</v>
      </c>
      <c r="P41" s="174">
        <v>-0.17</v>
      </c>
    </row>
    <row r="42" spans="3:16" x14ac:dyDescent="0.25">
      <c r="D42" t="s">
        <v>10</v>
      </c>
      <c r="L42" s="173">
        <v>-2.66</v>
      </c>
      <c r="M42" s="77">
        <v>-0.37</v>
      </c>
      <c r="N42" s="77">
        <v>0.23</v>
      </c>
      <c r="O42" s="77">
        <v>0.27</v>
      </c>
      <c r="P42" s="174">
        <v>0.16</v>
      </c>
    </row>
    <row r="43" spans="3:16" x14ac:dyDescent="0.25">
      <c r="D43" t="s">
        <v>11</v>
      </c>
      <c r="L43" s="175">
        <v>-4.21</v>
      </c>
      <c r="M43" s="176">
        <v>1.21</v>
      </c>
      <c r="N43" s="176">
        <v>1.8</v>
      </c>
      <c r="O43" s="176">
        <v>1.86</v>
      </c>
      <c r="P43" s="177">
        <v>1.75</v>
      </c>
    </row>
  </sheetData>
  <dataValidations count="1">
    <dataValidation type="list" allowBlank="1" showInputMessage="1" showErrorMessage="1" sqref="G7" xr:uid="{14F60D58-00DF-4619-BCB4-42B484EE4E64}">
      <formula1>$D$14:$D$16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9A999-27CC-4684-8011-DC3232638DA5}">
  <sheetPr>
    <tabColor theme="7" tint="0.79998168889431442"/>
  </sheetPr>
  <dimension ref="A1:U306"/>
  <sheetViews>
    <sheetView showGridLines="0" workbookViewId="0">
      <selection activeCell="L14" sqref="L14"/>
    </sheetView>
  </sheetViews>
  <sheetFormatPr defaultRowHeight="15" x14ac:dyDescent="0.25"/>
  <cols>
    <col min="1" max="1" width="3.7109375" customWidth="1"/>
    <col min="2" max="2" width="6.28515625" customWidth="1"/>
    <col min="3" max="3" width="3.7109375" customWidth="1"/>
    <col min="11" max="11" width="12.42578125" bestFit="1" customWidth="1"/>
    <col min="12" max="12" width="9.42578125" bestFit="1" customWidth="1"/>
    <col min="13" max="17" width="10.5703125" bestFit="1" customWidth="1"/>
    <col min="20" max="20" width="16.7109375" bestFit="1" customWidth="1"/>
  </cols>
  <sheetData>
    <row r="1" spans="1:17" ht="18.75" x14ac:dyDescent="0.3">
      <c r="A1" s="3"/>
      <c r="B1" s="52" t="s">
        <v>0</v>
      </c>
      <c r="C1" s="3"/>
      <c r="D1" s="3"/>
      <c r="E1" s="3"/>
      <c r="F1" s="3"/>
      <c r="G1" s="3"/>
      <c r="H1" s="3"/>
      <c r="I1" s="3"/>
      <c r="J1" s="3"/>
      <c r="K1" s="3"/>
      <c r="L1" s="3"/>
      <c r="M1" s="3"/>
      <c r="N1" s="3"/>
      <c r="O1" s="3"/>
      <c r="P1" s="3"/>
      <c r="Q1" s="3"/>
    </row>
    <row r="2" spans="1:17" ht="18.75" x14ac:dyDescent="0.3">
      <c r="A2" s="2"/>
      <c r="B2" s="53" t="s">
        <v>39</v>
      </c>
      <c r="C2" s="2"/>
      <c r="D2" s="2"/>
      <c r="E2" s="2"/>
      <c r="F2" s="2"/>
      <c r="G2" s="2"/>
      <c r="H2" s="2"/>
      <c r="I2" s="2"/>
      <c r="J2" s="2"/>
      <c r="K2" s="2"/>
      <c r="L2" s="2"/>
      <c r="M2" s="2"/>
      <c r="N2" s="2"/>
      <c r="O2" s="2"/>
      <c r="P2" s="2"/>
      <c r="Q2" s="2"/>
    </row>
    <row r="3" spans="1:17" x14ac:dyDescent="0.25">
      <c r="A3" s="2"/>
      <c r="B3" s="2"/>
      <c r="C3" s="2"/>
      <c r="D3" s="2"/>
      <c r="E3" s="2"/>
      <c r="F3" s="2"/>
      <c r="G3" s="2"/>
      <c r="H3" s="2"/>
      <c r="I3" s="2"/>
      <c r="J3" s="2"/>
      <c r="K3" s="2"/>
      <c r="L3" s="2"/>
      <c r="M3" s="2"/>
      <c r="N3" s="90" t="str">
        <f>"CURRENTLY RUNNING: "&amp;Scenarios!$G$7</f>
        <v>CURRENTLY RUNNING: Worst Case</v>
      </c>
      <c r="O3" s="2"/>
      <c r="P3" s="2"/>
      <c r="Q3" s="2"/>
    </row>
    <row r="6" spans="1:17" ht="15.75" thickBot="1" x14ac:dyDescent="0.3">
      <c r="A6" s="3"/>
      <c r="B6" s="54" t="s">
        <v>40</v>
      </c>
      <c r="C6" s="3"/>
      <c r="D6" s="3"/>
      <c r="E6" s="3"/>
      <c r="F6" s="3"/>
      <c r="G6" s="3"/>
      <c r="H6" s="3"/>
      <c r="I6" s="3"/>
      <c r="J6" s="3"/>
      <c r="K6" s="3"/>
      <c r="L6" s="3"/>
      <c r="M6" s="55" t="s">
        <v>41</v>
      </c>
      <c r="N6" s="56"/>
      <c r="O6" s="56"/>
      <c r="P6" s="56"/>
      <c r="Q6" s="56"/>
    </row>
    <row r="8" spans="1:17" x14ac:dyDescent="0.25">
      <c r="K8" s="9">
        <v>2021</v>
      </c>
      <c r="L8" s="9">
        <v>2022</v>
      </c>
      <c r="M8">
        <v>2023</v>
      </c>
      <c r="N8">
        <v>2024</v>
      </c>
      <c r="O8">
        <v>2025</v>
      </c>
      <c r="P8">
        <v>2026</v>
      </c>
      <c r="Q8">
        <v>2027</v>
      </c>
    </row>
    <row r="10" spans="1:17" x14ac:dyDescent="0.25">
      <c r="C10" s="57" t="s">
        <v>2</v>
      </c>
      <c r="D10" s="58"/>
      <c r="E10" s="58"/>
      <c r="F10" s="58"/>
      <c r="G10" s="58"/>
      <c r="H10" s="58"/>
      <c r="I10" s="58"/>
      <c r="J10" s="58"/>
      <c r="K10" s="58"/>
      <c r="L10" s="59">
        <f>Assumptions!K11</f>
        <v>0.01</v>
      </c>
      <c r="M10" s="59">
        <f>Assumptions!L11</f>
        <v>0.02</v>
      </c>
      <c r="N10" s="59">
        <f>Assumptions!M11</f>
        <v>0.02</v>
      </c>
      <c r="O10" s="59">
        <f>Assumptions!N11</f>
        <v>0.02</v>
      </c>
      <c r="P10" s="59">
        <f>Assumptions!O11</f>
        <v>0.02</v>
      </c>
      <c r="Q10" s="60">
        <f>Assumptions!P11</f>
        <v>0.02</v>
      </c>
    </row>
    <row r="12" spans="1:17" x14ac:dyDescent="0.25">
      <c r="B12" s="19" t="s">
        <v>42</v>
      </c>
    </row>
    <row r="13" spans="1:17" ht="3" customHeight="1" x14ac:dyDescent="0.25"/>
    <row r="14" spans="1:17" x14ac:dyDescent="0.25">
      <c r="C14" t="s">
        <v>46</v>
      </c>
      <c r="K14" s="20">
        <f>K16+K15</f>
        <v>206</v>
      </c>
      <c r="L14" s="61">
        <f t="shared" ref="L14" si="0">L16+L15</f>
        <v>231.5</v>
      </c>
      <c r="M14" s="61">
        <f>Scenarios!L24</f>
        <v>245</v>
      </c>
      <c r="N14" s="61">
        <f>Scenarios!M24</f>
        <v>245</v>
      </c>
      <c r="O14" s="61">
        <f>Scenarios!N24</f>
        <v>245</v>
      </c>
      <c r="P14" s="61">
        <f>Scenarios!O24</f>
        <v>245</v>
      </c>
      <c r="Q14" s="61">
        <f>Scenarios!P24</f>
        <v>245</v>
      </c>
    </row>
    <row r="15" spans="1:17" ht="15.75" thickBot="1" x14ac:dyDescent="0.3">
      <c r="C15" t="s">
        <v>44</v>
      </c>
      <c r="K15" s="62">
        <f>Assumptions!J25</f>
        <v>50</v>
      </c>
      <c r="L15" s="63">
        <f>K15*(1+L10)</f>
        <v>50.5</v>
      </c>
      <c r="M15" s="63">
        <f t="shared" ref="M15:Q15" si="1">L15*(1+M10)</f>
        <v>51.51</v>
      </c>
      <c r="N15" s="63">
        <f t="shared" si="1"/>
        <v>52.540199999999999</v>
      </c>
      <c r="O15" s="63">
        <f t="shared" si="1"/>
        <v>53.591003999999998</v>
      </c>
      <c r="P15" s="63">
        <f t="shared" si="1"/>
        <v>54.66282408</v>
      </c>
      <c r="Q15" s="63">
        <f t="shared" si="1"/>
        <v>55.756080561600001</v>
      </c>
    </row>
    <row r="16" spans="1:17" ht="15.75" thickTop="1" x14ac:dyDescent="0.25">
      <c r="C16" t="s">
        <v>45</v>
      </c>
      <c r="K16" s="64">
        <f>Assumptions!J26</f>
        <v>156</v>
      </c>
      <c r="L16" s="64">
        <f>Assumptions!K26</f>
        <v>181</v>
      </c>
      <c r="M16" s="64">
        <f>M14-M15</f>
        <v>193.49</v>
      </c>
      <c r="N16" s="64">
        <f t="shared" ref="N16:Q16" si="2">N14-N15</f>
        <v>192.4598</v>
      </c>
      <c r="O16" s="64">
        <f t="shared" si="2"/>
        <v>191.408996</v>
      </c>
      <c r="P16" s="64">
        <f t="shared" si="2"/>
        <v>190.33717591999999</v>
      </c>
      <c r="Q16" s="64">
        <f t="shared" si="2"/>
        <v>189.24391943839998</v>
      </c>
    </row>
    <row r="17" spans="2:17" x14ac:dyDescent="0.25">
      <c r="C17" s="17"/>
      <c r="D17" s="17"/>
      <c r="E17" s="17"/>
      <c r="F17" s="17"/>
      <c r="G17" s="17"/>
      <c r="H17" s="17"/>
      <c r="I17" s="17"/>
      <c r="J17" s="17"/>
      <c r="K17" s="17"/>
      <c r="L17" s="17"/>
      <c r="M17" s="17"/>
      <c r="N17" s="17"/>
      <c r="O17" s="17"/>
      <c r="P17" s="17"/>
      <c r="Q17" s="17"/>
    </row>
    <row r="19" spans="2:17" x14ac:dyDescent="0.25">
      <c r="B19" s="19" t="s">
        <v>47</v>
      </c>
    </row>
    <row r="20" spans="2:17" ht="3" customHeight="1" x14ac:dyDescent="0.25"/>
    <row r="21" spans="2:17" ht="15" customHeight="1" x14ac:dyDescent="0.25">
      <c r="C21" t="s">
        <v>48</v>
      </c>
      <c r="H21" t="s">
        <v>51</v>
      </c>
      <c r="L21" s="20">
        <f>Assumptions!K30</f>
        <v>350</v>
      </c>
      <c r="M21" s="20">
        <f>Assumptions!L30</f>
        <v>350</v>
      </c>
      <c r="N21" s="20">
        <f>M21</f>
        <v>350</v>
      </c>
      <c r="O21" s="20">
        <f t="shared" ref="O21:Q21" si="3">N21</f>
        <v>350</v>
      </c>
      <c r="P21" s="20">
        <f t="shared" si="3"/>
        <v>350</v>
      </c>
      <c r="Q21" s="20">
        <f t="shared" si="3"/>
        <v>350</v>
      </c>
    </row>
    <row r="22" spans="2:17" ht="15" customHeight="1" x14ac:dyDescent="0.25"/>
    <row r="23" spans="2:17" x14ac:dyDescent="0.25">
      <c r="C23" t="s">
        <v>3</v>
      </c>
      <c r="K23" s="66"/>
      <c r="L23" s="66"/>
      <c r="M23" s="67">
        <f>Scenarios!L31</f>
        <v>7.0000000000000007E-2</v>
      </c>
      <c r="N23" s="67">
        <f>Scenarios!M31</f>
        <v>7.0000000000000007E-2</v>
      </c>
      <c r="O23" s="67">
        <f>Scenarios!N31</f>
        <v>7.0000000000000007E-2</v>
      </c>
      <c r="P23" s="67">
        <f>Scenarios!O31</f>
        <v>7.0000000000000007E-2</v>
      </c>
      <c r="Q23" s="67">
        <f>Scenarios!P31</f>
        <v>7.0000000000000007E-2</v>
      </c>
    </row>
    <row r="24" spans="2:17" x14ac:dyDescent="0.25">
      <c r="C24" t="s">
        <v>76</v>
      </c>
      <c r="H24" t="s">
        <v>51</v>
      </c>
      <c r="K24" s="133">
        <f ca="1">K32/K16*1000</f>
        <v>202.95036160420773</v>
      </c>
      <c r="L24" s="133">
        <f>L32/L16*1000</f>
        <v>187.292817679558</v>
      </c>
      <c r="M24" s="92">
        <f>MIN(M21,L24*(1+M23))</f>
        <v>200.40331491712706</v>
      </c>
      <c r="N24" s="92">
        <f t="shared" ref="N24:Q24" si="4">MIN(N21,M24*(1+N23))</f>
        <v>214.43154696132598</v>
      </c>
      <c r="O24" s="92">
        <f t="shared" si="4"/>
        <v>229.44175524861882</v>
      </c>
      <c r="P24" s="92">
        <f t="shared" si="4"/>
        <v>245.50267811602214</v>
      </c>
      <c r="Q24" s="92">
        <f t="shared" si="4"/>
        <v>262.68786558414371</v>
      </c>
    </row>
    <row r="25" spans="2:17" x14ac:dyDescent="0.25">
      <c r="C25" s="17"/>
      <c r="D25" s="17"/>
      <c r="E25" s="17"/>
      <c r="F25" s="17"/>
      <c r="G25" s="17"/>
      <c r="H25" s="17"/>
      <c r="I25" s="17"/>
      <c r="J25" s="17"/>
      <c r="K25" s="17"/>
      <c r="L25" s="17"/>
      <c r="M25" s="17"/>
      <c r="N25" s="17"/>
      <c r="O25" s="17"/>
      <c r="P25" s="17"/>
      <c r="Q25" s="17"/>
    </row>
    <row r="26" spans="2:17" x14ac:dyDescent="0.25">
      <c r="B26" s="72" t="s">
        <v>64</v>
      </c>
    </row>
    <row r="28" spans="2:17" x14ac:dyDescent="0.25">
      <c r="B28" s="19" t="s">
        <v>52</v>
      </c>
    </row>
    <row r="29" spans="2:17" ht="3" customHeight="1" x14ac:dyDescent="0.25"/>
    <row r="30" spans="2:17" x14ac:dyDescent="0.25">
      <c r="C30" t="s">
        <v>43</v>
      </c>
      <c r="K30" s="79">
        <f ca="1">K60</f>
        <v>41.860256410256405</v>
      </c>
      <c r="L30" s="79">
        <f t="shared" ref="L30" si="5">L60</f>
        <v>43.4</v>
      </c>
      <c r="M30" s="79">
        <f>M14*M24/1000</f>
        <v>49.098812154696134</v>
      </c>
      <c r="N30" s="79">
        <f>N14*N24/1000</f>
        <v>52.535729005524864</v>
      </c>
      <c r="O30" s="79">
        <f>O14*O24/1000</f>
        <v>56.213230035911614</v>
      </c>
      <c r="P30" s="79">
        <f>P14*P24/1000</f>
        <v>60.148156138425421</v>
      </c>
      <c r="Q30" s="79">
        <f>Q14*Q24/1000</f>
        <v>64.358527068115208</v>
      </c>
    </row>
    <row r="31" spans="2:17" x14ac:dyDescent="0.25">
      <c r="C31" t="s">
        <v>53</v>
      </c>
      <c r="K31" s="80">
        <f>K61</f>
        <v>10.199999999999999</v>
      </c>
      <c r="L31" s="80">
        <f t="shared" ref="L31" si="6">L61</f>
        <v>9.5</v>
      </c>
      <c r="M31" s="80">
        <f>M$15*M$24/1000</f>
        <v>10.322774751381214</v>
      </c>
      <c r="N31" s="80">
        <f t="shared" ref="N31:Q31" si="7">N$15*N$24/1000</f>
        <v>11.266276363657457</v>
      </c>
      <c r="O31" s="80">
        <f t="shared" si="7"/>
        <v>12.296014023295751</v>
      </c>
      <c r="P31" s="80">
        <f t="shared" si="7"/>
        <v>13.419869705024984</v>
      </c>
      <c r="Q31" s="80">
        <f t="shared" si="7"/>
        <v>14.646445796064269</v>
      </c>
    </row>
    <row r="32" spans="2:17" x14ac:dyDescent="0.25">
      <c r="C32" s="19" t="s">
        <v>54</v>
      </c>
      <c r="K32" s="83">
        <f ca="1">K30-K31</f>
        <v>31.660256410256405</v>
      </c>
      <c r="L32" s="83">
        <f t="shared" ref="L32:Q32" si="8">L30-L31</f>
        <v>33.9</v>
      </c>
      <c r="M32" s="83">
        <f t="shared" si="8"/>
        <v>38.776037403314916</v>
      </c>
      <c r="N32" s="83">
        <f t="shared" si="8"/>
        <v>41.269452641867403</v>
      </c>
      <c r="O32" s="83">
        <f t="shared" si="8"/>
        <v>43.917216012615867</v>
      </c>
      <c r="P32" s="83">
        <f t="shared" si="8"/>
        <v>46.728286433400434</v>
      </c>
      <c r="Q32" s="83">
        <f t="shared" si="8"/>
        <v>49.712081272050938</v>
      </c>
    </row>
    <row r="35" spans="1:17" ht="15.75" thickBot="1" x14ac:dyDescent="0.3">
      <c r="A35" s="3"/>
      <c r="B35" s="54" t="s">
        <v>55</v>
      </c>
      <c r="C35" s="3"/>
      <c r="D35" s="3"/>
      <c r="E35" s="3"/>
      <c r="F35" s="3"/>
      <c r="G35" s="3"/>
      <c r="H35" s="3"/>
      <c r="I35" s="3"/>
      <c r="J35" s="3"/>
      <c r="K35" s="3"/>
      <c r="L35" s="3"/>
      <c r="M35" s="55" t="s">
        <v>41</v>
      </c>
      <c r="N35" s="56"/>
      <c r="O35" s="56"/>
      <c r="P35" s="56"/>
      <c r="Q35" s="56"/>
    </row>
    <row r="37" spans="1:17" x14ac:dyDescent="0.25">
      <c r="B37" s="72" t="s">
        <v>64</v>
      </c>
      <c r="K37" s="9">
        <v>2021</v>
      </c>
      <c r="L37" s="9">
        <v>2022</v>
      </c>
      <c r="M37">
        <v>2023</v>
      </c>
      <c r="N37">
        <v>2024</v>
      </c>
      <c r="O37">
        <v>2025</v>
      </c>
      <c r="P37">
        <v>2026</v>
      </c>
      <c r="Q37">
        <v>2027</v>
      </c>
    </row>
    <row r="38" spans="1:17" x14ac:dyDescent="0.25">
      <c r="K38" s="9"/>
      <c r="L38" s="9"/>
    </row>
    <row r="39" spans="1:17" x14ac:dyDescent="0.25">
      <c r="B39" s="29" t="s">
        <v>36</v>
      </c>
      <c r="C39" s="30"/>
      <c r="D39" s="30"/>
      <c r="E39" s="30"/>
      <c r="F39" s="30"/>
      <c r="G39" s="30"/>
      <c r="H39" s="30"/>
      <c r="I39" s="30"/>
      <c r="J39" s="30"/>
      <c r="K39" s="30"/>
      <c r="L39" s="30"/>
      <c r="M39" s="43">
        <f>Assumptions!L11</f>
        <v>0.02</v>
      </c>
      <c r="N39" s="43">
        <f>Assumptions!M11</f>
        <v>0.02</v>
      </c>
      <c r="O39" s="43">
        <f>Assumptions!N11</f>
        <v>0.02</v>
      </c>
      <c r="P39" s="43">
        <f>Assumptions!O11</f>
        <v>0.02</v>
      </c>
      <c r="Q39" s="44">
        <f>Assumptions!P11</f>
        <v>0.02</v>
      </c>
    </row>
    <row r="41" spans="1:17" x14ac:dyDescent="0.25">
      <c r="B41" s="19" t="s">
        <v>56</v>
      </c>
    </row>
    <row r="42" spans="1:17" ht="3" customHeight="1" x14ac:dyDescent="0.25"/>
    <row r="43" spans="1:17" x14ac:dyDescent="0.25">
      <c r="C43" t="s">
        <v>58</v>
      </c>
      <c r="K43" s="81">
        <v>28.365425867507888</v>
      </c>
      <c r="L43" s="81">
        <v>35.473864306784662</v>
      </c>
      <c r="M43" s="79">
        <f>L43*(1+M$39)</f>
        <v>36.183341592920357</v>
      </c>
      <c r="N43" s="79">
        <f t="shared" ref="N43:Q43" si="9">M43*(1+N$39)</f>
        <v>36.907008424778766</v>
      </c>
      <c r="O43" s="79">
        <f t="shared" si="9"/>
        <v>37.645148593274342</v>
      </c>
      <c r="P43" s="79">
        <f t="shared" si="9"/>
        <v>38.398051565139831</v>
      </c>
      <c r="Q43" s="79">
        <f t="shared" si="9"/>
        <v>39.166012596442627</v>
      </c>
    </row>
    <row r="44" spans="1:17" x14ac:dyDescent="0.25">
      <c r="C44" t="s">
        <v>57</v>
      </c>
      <c r="K44" s="81">
        <v>36.101451104100953</v>
      </c>
      <c r="L44" s="81">
        <v>45.148554572271401</v>
      </c>
      <c r="M44" s="79">
        <f>L44*(1+M$39)</f>
        <v>46.051525663716831</v>
      </c>
      <c r="N44" s="79">
        <f t="shared" ref="N44:Q44" si="10">M44*(1+N$39)</f>
        <v>46.972556176991169</v>
      </c>
      <c r="O44" s="79">
        <f t="shared" si="10"/>
        <v>47.912007300530995</v>
      </c>
      <c r="P44" s="79">
        <f t="shared" si="10"/>
        <v>48.870247446541619</v>
      </c>
      <c r="Q44" s="79">
        <f t="shared" si="10"/>
        <v>49.847652395472451</v>
      </c>
    </row>
    <row r="47" spans="1:17" x14ac:dyDescent="0.25">
      <c r="B47" s="19" t="s">
        <v>59</v>
      </c>
    </row>
    <row r="48" spans="1:17" ht="3" customHeight="1" x14ac:dyDescent="0.25"/>
    <row r="49" spans="1:17" x14ac:dyDescent="0.25">
      <c r="C49" t="s">
        <v>60</v>
      </c>
      <c r="H49" s="138">
        <v>0.44</v>
      </c>
      <c r="K49" s="20">
        <f>H49*K64</f>
        <v>5.7640000000000002</v>
      </c>
      <c r="L49" s="20">
        <f>H49*L64</f>
        <v>6.6440000000000001</v>
      </c>
      <c r="M49" s="20">
        <f>L49*(1+M$39)</f>
        <v>6.7768800000000002</v>
      </c>
      <c r="N49" s="20">
        <f t="shared" ref="N49:Q49" si="11">M49*(1+N$39)</f>
        <v>6.9124176000000004</v>
      </c>
      <c r="O49" s="20">
        <f t="shared" si="11"/>
        <v>7.0506659520000001</v>
      </c>
      <c r="P49" s="20">
        <f t="shared" si="11"/>
        <v>7.1916792710399999</v>
      </c>
      <c r="Q49" s="20">
        <f t="shared" si="11"/>
        <v>7.3355128564607996</v>
      </c>
    </row>
    <row r="50" spans="1:17" x14ac:dyDescent="0.25">
      <c r="C50" t="s">
        <v>61</v>
      </c>
      <c r="H50" s="91">
        <f>1-H49</f>
        <v>0.56000000000000005</v>
      </c>
      <c r="K50" s="20">
        <f>H50*K64</f>
        <v>7.3360000000000003</v>
      </c>
      <c r="L50" s="20">
        <f>H50*L64</f>
        <v>8.4560000000000013</v>
      </c>
      <c r="M50" s="20">
        <f t="shared" ref="M50:Q50" si="12">L50*(1+M$39)</f>
        <v>8.6251200000000008</v>
      </c>
      <c r="N50" s="20">
        <f t="shared" si="12"/>
        <v>8.7976224000000016</v>
      </c>
      <c r="O50" s="20">
        <f t="shared" si="12"/>
        <v>8.9735748480000019</v>
      </c>
      <c r="P50" s="20">
        <f t="shared" si="12"/>
        <v>9.1530463449600017</v>
      </c>
      <c r="Q50" s="20">
        <f t="shared" si="12"/>
        <v>9.336107271859202</v>
      </c>
    </row>
    <row r="51" spans="1:17" x14ac:dyDescent="0.25">
      <c r="K51" s="66"/>
      <c r="L51" s="66"/>
      <c r="M51" s="66"/>
      <c r="N51" s="66"/>
      <c r="O51" s="66"/>
      <c r="P51" s="66"/>
      <c r="Q51" s="66"/>
    </row>
    <row r="52" spans="1:17" x14ac:dyDescent="0.25">
      <c r="C52" s="19" t="s">
        <v>62</v>
      </c>
      <c r="K52" s="20">
        <f t="shared" ref="K52" si="13">K49+K50</f>
        <v>13.100000000000001</v>
      </c>
      <c r="L52" s="20">
        <f>L49+L50</f>
        <v>15.100000000000001</v>
      </c>
      <c r="M52" s="20">
        <f t="shared" ref="M52:Q52" si="14">M49+M50</f>
        <v>15.402000000000001</v>
      </c>
      <c r="N52" s="20">
        <f t="shared" si="14"/>
        <v>15.710040000000003</v>
      </c>
      <c r="O52" s="20">
        <f t="shared" si="14"/>
        <v>16.024240800000001</v>
      </c>
      <c r="P52" s="20">
        <f t="shared" si="14"/>
        <v>16.344725616000002</v>
      </c>
      <c r="Q52" s="20">
        <f t="shared" si="14"/>
        <v>16.671620128320001</v>
      </c>
    </row>
    <row r="56" spans="1:17" ht="15.75" thickBot="1" x14ac:dyDescent="0.3">
      <c r="A56" s="3"/>
      <c r="B56" s="54" t="s">
        <v>63</v>
      </c>
      <c r="C56" s="3"/>
      <c r="D56" s="3"/>
      <c r="E56" s="3"/>
      <c r="F56" s="3"/>
      <c r="G56" s="3"/>
      <c r="H56" s="3"/>
      <c r="I56" s="3"/>
      <c r="J56" s="3"/>
      <c r="K56" s="3"/>
      <c r="L56" s="3"/>
      <c r="M56" s="55" t="s">
        <v>41</v>
      </c>
      <c r="N56" s="56"/>
      <c r="O56" s="56"/>
      <c r="P56" s="56"/>
      <c r="Q56" s="56"/>
    </row>
    <row r="58" spans="1:17" x14ac:dyDescent="0.25">
      <c r="B58" s="72" t="s">
        <v>64</v>
      </c>
      <c r="K58" s="9">
        <v>2021</v>
      </c>
      <c r="L58" s="9">
        <v>2022</v>
      </c>
      <c r="M58">
        <v>2023</v>
      </c>
      <c r="N58">
        <v>2024</v>
      </c>
      <c r="O58">
        <v>2025</v>
      </c>
      <c r="P58">
        <v>2026</v>
      </c>
      <c r="Q58">
        <v>2027</v>
      </c>
    </row>
    <row r="60" spans="1:17" x14ac:dyDescent="0.25">
      <c r="B60" t="s">
        <v>43</v>
      </c>
      <c r="K60" s="81">
        <f ca="1">K30</f>
        <v>41.860256410256405</v>
      </c>
      <c r="L60" s="74">
        <v>43.4</v>
      </c>
      <c r="M60" s="79">
        <f>M30</f>
        <v>49.098812154696134</v>
      </c>
      <c r="N60" s="79">
        <f t="shared" ref="N60:Q60" si="15">N30</f>
        <v>52.535729005524864</v>
      </c>
      <c r="O60" s="79">
        <f t="shared" si="15"/>
        <v>56.213230035911614</v>
      </c>
      <c r="P60" s="79">
        <f t="shared" si="15"/>
        <v>60.148156138425421</v>
      </c>
      <c r="Q60" s="79">
        <f t="shared" si="15"/>
        <v>64.358527068115208</v>
      </c>
    </row>
    <row r="61" spans="1:17" x14ac:dyDescent="0.25">
      <c r="B61" t="s">
        <v>53</v>
      </c>
      <c r="K61" s="75">
        <v>10.199999999999999</v>
      </c>
      <c r="L61" s="75">
        <v>9.5</v>
      </c>
      <c r="M61" s="80">
        <f>M31</f>
        <v>10.322774751381214</v>
      </c>
      <c r="N61" s="80">
        <f t="shared" ref="N61:Q61" si="16">N31</f>
        <v>11.266276363657457</v>
      </c>
      <c r="O61" s="80">
        <f t="shared" si="16"/>
        <v>12.296014023295751</v>
      </c>
      <c r="P61" s="80">
        <f t="shared" si="16"/>
        <v>13.419869705024984</v>
      </c>
      <c r="Q61" s="80">
        <f t="shared" si="16"/>
        <v>14.646445796064269</v>
      </c>
    </row>
    <row r="62" spans="1:17" x14ac:dyDescent="0.25">
      <c r="B62" t="s">
        <v>54</v>
      </c>
      <c r="K62" s="82">
        <v>31.7</v>
      </c>
      <c r="L62" s="82">
        <v>33.9</v>
      </c>
      <c r="M62" s="83">
        <f>M60-M61</f>
        <v>38.776037403314916</v>
      </c>
      <c r="N62" s="83">
        <f t="shared" ref="N62:P62" si="17">N60-N61</f>
        <v>41.269452641867403</v>
      </c>
      <c r="O62" s="83">
        <f t="shared" si="17"/>
        <v>43.917216012615867</v>
      </c>
      <c r="P62" s="83">
        <f t="shared" si="17"/>
        <v>46.728286433400434</v>
      </c>
      <c r="Q62" s="83">
        <f>Q60-Q61</f>
        <v>49.712081272050938</v>
      </c>
    </row>
    <row r="63" spans="1:17" x14ac:dyDescent="0.25">
      <c r="K63" s="74"/>
      <c r="L63" s="74"/>
    </row>
    <row r="64" spans="1:17" x14ac:dyDescent="0.25">
      <c r="B64" t="s">
        <v>12</v>
      </c>
      <c r="K64" s="75">
        <v>13.1</v>
      </c>
      <c r="L64" s="75">
        <v>15.1</v>
      </c>
      <c r="M64" s="33">
        <f>M52</f>
        <v>15.402000000000001</v>
      </c>
      <c r="N64" s="33">
        <f t="shared" ref="N64:Q64" si="18">N52</f>
        <v>15.710040000000003</v>
      </c>
      <c r="O64" s="33">
        <f t="shared" si="18"/>
        <v>16.024240800000001</v>
      </c>
      <c r="P64" s="33">
        <f t="shared" si="18"/>
        <v>16.344725616000002</v>
      </c>
      <c r="Q64" s="33">
        <f t="shared" si="18"/>
        <v>16.671620128320001</v>
      </c>
    </row>
    <row r="65" spans="2:17" x14ac:dyDescent="0.25">
      <c r="B65" s="19" t="s">
        <v>65</v>
      </c>
      <c r="K65" s="82">
        <f>K62-K64</f>
        <v>18.600000000000001</v>
      </c>
      <c r="L65" s="82">
        <f t="shared" ref="L65" si="19">L62-L64</f>
        <v>18.799999999999997</v>
      </c>
      <c r="M65" s="64">
        <f t="shared" ref="M65" si="20">M62-M64</f>
        <v>23.374037403314915</v>
      </c>
      <c r="N65" s="64">
        <f t="shared" ref="N65" si="21">N62-N64</f>
        <v>25.5594126418674</v>
      </c>
      <c r="O65" s="64">
        <f t="shared" ref="O65" si="22">O62-O64</f>
        <v>27.892975212615866</v>
      </c>
      <c r="P65" s="64">
        <f t="shared" ref="P65" si="23">P62-P64</f>
        <v>30.383560817400433</v>
      </c>
      <c r="Q65" s="64">
        <f>Q62-Q64</f>
        <v>33.040461143730937</v>
      </c>
    </row>
    <row r="67" spans="2:17" x14ac:dyDescent="0.25">
      <c r="B67" t="s">
        <v>66</v>
      </c>
      <c r="K67" s="75">
        <v>14.9</v>
      </c>
      <c r="L67" s="75">
        <v>19.3</v>
      </c>
      <c r="M67" s="110">
        <f>Assumptions!L39</f>
        <v>21.012</v>
      </c>
      <c r="N67" s="33">
        <f>M67*(1+N39)</f>
        <v>21.43224</v>
      </c>
      <c r="O67" s="33">
        <f t="shared" ref="O67:Q67" si="24">N67*(1+O39)</f>
        <v>21.860884800000001</v>
      </c>
      <c r="P67" s="33">
        <f t="shared" si="24"/>
        <v>22.298102496000002</v>
      </c>
      <c r="Q67" s="33">
        <f t="shared" si="24"/>
        <v>22.744064545920004</v>
      </c>
    </row>
    <row r="68" spans="2:17" x14ac:dyDescent="0.25">
      <c r="B68" s="19" t="s">
        <v>69</v>
      </c>
      <c r="D68" s="140"/>
      <c r="K68" s="82">
        <f>K65-K67</f>
        <v>3.7000000000000011</v>
      </c>
      <c r="L68" s="84">
        <f t="shared" ref="L68" si="25">L65-L67</f>
        <v>-0.50000000000000355</v>
      </c>
      <c r="M68" s="137">
        <f t="shared" ref="M68" si="26">M65-M67</f>
        <v>2.3620374033149147</v>
      </c>
      <c r="N68" s="137">
        <f t="shared" ref="N68" si="27">N65-N67</f>
        <v>4.1271726418674</v>
      </c>
      <c r="O68" s="137">
        <f t="shared" ref="O68" si="28">O65-O67</f>
        <v>6.0320904126158652</v>
      </c>
      <c r="P68" s="137">
        <f t="shared" ref="P68" si="29">P65-P67</f>
        <v>8.0854583214004307</v>
      </c>
      <c r="Q68" s="137">
        <f t="shared" ref="Q68" si="30">Q65-Q67</f>
        <v>10.296396597810933</v>
      </c>
    </row>
    <row r="70" spans="2:17" x14ac:dyDescent="0.25">
      <c r="B70" t="s">
        <v>68</v>
      </c>
      <c r="K70" s="139">
        <v>1.9</v>
      </c>
      <c r="L70" s="139">
        <v>2.2999999999999998</v>
      </c>
      <c r="M70" s="136">
        <f>M217</f>
        <v>8.0210000000000008</v>
      </c>
      <c r="N70" s="136">
        <f>N217</f>
        <v>8.7710000000000008</v>
      </c>
      <c r="O70" s="136">
        <f t="shared" ref="O70:Q70" si="31">O217</f>
        <v>9.5210000000000008</v>
      </c>
      <c r="P70" s="136">
        <f t="shared" si="31"/>
        <v>10.096</v>
      </c>
      <c r="Q70" s="136">
        <f t="shared" si="31"/>
        <v>10.420999999999999</v>
      </c>
    </row>
    <row r="71" spans="2:17" x14ac:dyDescent="0.25">
      <c r="B71" s="19" t="s">
        <v>67</v>
      </c>
      <c r="K71" s="84">
        <f>K68-K70</f>
        <v>1.8000000000000012</v>
      </c>
      <c r="L71" s="84">
        <f t="shared" ref="L71" si="32">L68-L70</f>
        <v>-2.8000000000000034</v>
      </c>
      <c r="M71" s="137">
        <f t="shared" ref="M71" si="33">M68-M70</f>
        <v>-5.6589625966850861</v>
      </c>
      <c r="N71" s="137">
        <f t="shared" ref="N71" si="34">N68-N70</f>
        <v>-4.6438273581326008</v>
      </c>
      <c r="O71" s="137">
        <f t="shared" ref="O71" si="35">O68-O70</f>
        <v>-3.4889095873841356</v>
      </c>
      <c r="P71" s="137">
        <f t="shared" ref="P71" si="36">P68-P70</f>
        <v>-2.0105416785995693</v>
      </c>
      <c r="Q71" s="137">
        <f t="shared" ref="Q71" si="37">Q68-Q70</f>
        <v>-0.12460340218906651</v>
      </c>
    </row>
    <row r="73" spans="2:17" x14ac:dyDescent="0.25">
      <c r="B73" t="s">
        <v>70</v>
      </c>
      <c r="K73" s="139">
        <v>0.15</v>
      </c>
      <c r="L73" s="139">
        <v>0.14000000000000001</v>
      </c>
      <c r="M73" s="136">
        <f>M282</f>
        <v>2.5001000000000007</v>
      </c>
      <c r="N73" s="136">
        <f t="shared" ref="N73:Q73" ca="1" si="38">N282</f>
        <v>2.2756925938216153</v>
      </c>
      <c r="O73" s="136">
        <f t="shared" ca="1" si="38"/>
        <v>2.4132150498916651</v>
      </c>
      <c r="P73" s="136">
        <f t="shared" ca="1" si="38"/>
        <v>2.7784351820171951</v>
      </c>
      <c r="Q73" s="136">
        <f t="shared" ca="1" si="38"/>
        <v>2.7196735211228074</v>
      </c>
    </row>
    <row r="74" spans="2:17" x14ac:dyDescent="0.25">
      <c r="B74" s="19" t="s">
        <v>71</v>
      </c>
      <c r="K74" s="84">
        <f>K71-K73</f>
        <v>1.6500000000000012</v>
      </c>
      <c r="L74" s="84">
        <f t="shared" ref="L74" si="39">L71-L73</f>
        <v>-2.9400000000000035</v>
      </c>
      <c r="M74" s="137">
        <f t="shared" ref="M74" si="40">M71-M73</f>
        <v>-8.1590625966850858</v>
      </c>
      <c r="N74" s="137">
        <f t="shared" ref="N74" ca="1" si="41">N71-N73</f>
        <v>-6.9195199519542161</v>
      </c>
      <c r="O74" s="137">
        <f t="shared" ref="O74" ca="1" si="42">O71-O73</f>
        <v>-5.9021246372758007</v>
      </c>
      <c r="P74" s="137">
        <f t="shared" ref="P74" ca="1" si="43">P71-P73</f>
        <v>-4.7889768606167644</v>
      </c>
      <c r="Q74" s="137">
        <f t="shared" ref="Q74" ca="1" si="44">Q71-Q73</f>
        <v>-2.8442769233118739</v>
      </c>
    </row>
    <row r="76" spans="2:17" x14ac:dyDescent="0.25">
      <c r="B76" t="s">
        <v>72</v>
      </c>
      <c r="K76" s="119">
        <v>1</v>
      </c>
      <c r="L76" s="74">
        <v>0.11</v>
      </c>
      <c r="M76" s="77">
        <f>M237</f>
        <v>-1.3738593895027629</v>
      </c>
      <c r="N76" s="77">
        <f t="shared" ref="N76:Q76" ca="1" si="45">N237</f>
        <v>-1.1879279927931323</v>
      </c>
      <c r="O76" s="77">
        <f t="shared" ca="1" si="45"/>
        <v>-1.03531869559137</v>
      </c>
      <c r="P76" s="77">
        <f t="shared" ca="1" si="45"/>
        <v>-0.86834652909251464</v>
      </c>
      <c r="Q76" s="77">
        <f t="shared" ca="1" si="45"/>
        <v>-0.57664153849678101</v>
      </c>
    </row>
    <row r="77" spans="2:17" x14ac:dyDescent="0.25">
      <c r="B77" t="s">
        <v>73</v>
      </c>
      <c r="K77" s="139">
        <v>0</v>
      </c>
      <c r="L77" s="139">
        <v>0</v>
      </c>
      <c r="M77" s="111">
        <f>M238</f>
        <v>0.15000000000000013</v>
      </c>
      <c r="N77" s="111">
        <f t="shared" ref="N77:Q77" ca="1" si="46">N238</f>
        <v>0.14999999999999991</v>
      </c>
      <c r="O77" s="111">
        <f t="shared" ca="1" si="46"/>
        <v>0.14999999999999991</v>
      </c>
      <c r="P77" s="111">
        <f t="shared" ca="1" si="46"/>
        <v>0.15000000000000002</v>
      </c>
      <c r="Q77" s="111">
        <f t="shared" ca="1" si="46"/>
        <v>0.14999999999999997</v>
      </c>
    </row>
    <row r="78" spans="2:17" x14ac:dyDescent="0.25">
      <c r="B78" s="19" t="s">
        <v>74</v>
      </c>
      <c r="K78" s="96">
        <f>K76+K77</f>
        <v>1</v>
      </c>
      <c r="L78" s="96">
        <f t="shared" ref="L78" si="47">L76+L77</f>
        <v>0.11</v>
      </c>
      <c r="M78" s="137">
        <f t="shared" ref="M78" si="48">M76+M77</f>
        <v>-1.2238593895027627</v>
      </c>
      <c r="N78" s="137">
        <f t="shared" ref="N78" ca="1" si="49">N76+N77</f>
        <v>-1.0379279927931324</v>
      </c>
      <c r="O78" s="137">
        <f t="shared" ref="O78" ca="1" si="50">O76+O77</f>
        <v>-0.88531869559137011</v>
      </c>
      <c r="P78" s="137">
        <f t="shared" ref="P78" ca="1" si="51">P76+P77</f>
        <v>-0.71834652909251462</v>
      </c>
      <c r="Q78" s="137">
        <f t="shared" ref="Q78" ca="1" si="52">Q76+Q77</f>
        <v>-0.42664153849678105</v>
      </c>
    </row>
    <row r="80" spans="2:17" ht="15.75" thickBot="1" x14ac:dyDescent="0.3">
      <c r="B80" s="19" t="s">
        <v>75</v>
      </c>
      <c r="K80" s="76">
        <f>K74-K78</f>
        <v>0.65000000000000124</v>
      </c>
      <c r="L80" s="76">
        <f t="shared" ref="L80:Q80" si="53">L74-L78</f>
        <v>-3.0500000000000034</v>
      </c>
      <c r="M80" s="76">
        <f t="shared" si="53"/>
        <v>-6.9352032071823233</v>
      </c>
      <c r="N80" s="76">
        <f t="shared" ca="1" si="53"/>
        <v>-5.8815919591610832</v>
      </c>
      <c r="O80" s="76">
        <f t="shared" ca="1" si="53"/>
        <v>-5.0168059416844306</v>
      </c>
      <c r="P80" s="76">
        <f t="shared" ca="1" si="53"/>
        <v>-4.0706303315242494</v>
      </c>
      <c r="Q80" s="76">
        <f t="shared" ca="1" si="53"/>
        <v>-2.4176353848150929</v>
      </c>
    </row>
    <row r="81" spans="1:17" ht="15.75" thickTop="1" x14ac:dyDescent="0.25"/>
    <row r="82" spans="1:17" x14ac:dyDescent="0.25">
      <c r="B82" s="19" t="s">
        <v>93</v>
      </c>
      <c r="L82" s="33">
        <f>L298</f>
        <v>2.060057</v>
      </c>
      <c r="M82" s="33">
        <f t="shared" ref="M82:Q82" ca="1" si="54">M298</f>
        <v>0</v>
      </c>
      <c r="N82" s="33">
        <f t="shared" ca="1" si="54"/>
        <v>0</v>
      </c>
      <c r="O82" s="33">
        <f t="shared" ca="1" si="54"/>
        <v>0</v>
      </c>
      <c r="P82" s="33">
        <f t="shared" ca="1" si="54"/>
        <v>0</v>
      </c>
      <c r="Q82" s="33">
        <f t="shared" ca="1" si="54"/>
        <v>0</v>
      </c>
    </row>
    <row r="83" spans="1:17" x14ac:dyDescent="0.25">
      <c r="B83" s="19" t="s">
        <v>199</v>
      </c>
      <c r="L83" s="178">
        <f>L80-L82</f>
        <v>-5.110057000000003</v>
      </c>
      <c r="M83" s="178">
        <f t="shared" ref="M83:Q83" ca="1" si="55">M80-M82</f>
        <v>-6.9352032071823233</v>
      </c>
      <c r="N83" s="178">
        <f t="shared" ca="1" si="55"/>
        <v>-5.8815919591610832</v>
      </c>
      <c r="O83" s="178">
        <f t="shared" ca="1" si="55"/>
        <v>-5.0168059416844306</v>
      </c>
      <c r="P83" s="178">
        <f t="shared" ca="1" si="55"/>
        <v>-4.0706303315242494</v>
      </c>
      <c r="Q83" s="178">
        <f t="shared" ca="1" si="55"/>
        <v>-2.4176353848150929</v>
      </c>
    </row>
    <row r="87" spans="1:17" ht="15.75" thickBot="1" x14ac:dyDescent="0.3">
      <c r="A87" s="3"/>
      <c r="B87" s="54" t="s">
        <v>77</v>
      </c>
      <c r="C87" s="3"/>
      <c r="D87" s="3"/>
      <c r="E87" s="3"/>
      <c r="F87" s="3"/>
      <c r="G87" s="3"/>
      <c r="H87" s="3"/>
      <c r="I87" s="3"/>
      <c r="J87" s="3"/>
      <c r="K87" s="3"/>
      <c r="L87" s="3"/>
      <c r="M87" s="55" t="s">
        <v>41</v>
      </c>
      <c r="N87" s="56"/>
      <c r="O87" s="56"/>
      <c r="P87" s="56"/>
      <c r="Q87" s="56"/>
    </row>
    <row r="89" spans="1:17" x14ac:dyDescent="0.25">
      <c r="B89" s="72" t="s">
        <v>64</v>
      </c>
      <c r="K89" s="9">
        <v>2021</v>
      </c>
      <c r="L89" s="9">
        <v>2022</v>
      </c>
      <c r="M89">
        <v>2023</v>
      </c>
      <c r="N89">
        <v>2024</v>
      </c>
      <c r="O89">
        <v>2025</v>
      </c>
      <c r="P89">
        <v>2026</v>
      </c>
      <c r="Q89">
        <v>2027</v>
      </c>
    </row>
    <row r="92" spans="1:17" x14ac:dyDescent="0.25">
      <c r="B92" s="19" t="s">
        <v>78</v>
      </c>
    </row>
    <row r="93" spans="1:17" ht="3" customHeight="1" x14ac:dyDescent="0.25"/>
    <row r="94" spans="1:17" x14ac:dyDescent="0.25">
      <c r="C94" t="s">
        <v>79</v>
      </c>
      <c r="K94" s="94">
        <v>1</v>
      </c>
      <c r="L94" s="122">
        <v>-2.8</v>
      </c>
      <c r="M94" s="77">
        <f>M80</f>
        <v>-6.9352032071823233</v>
      </c>
      <c r="N94" s="77">
        <f ca="1">N80</f>
        <v>-5.8815919591610832</v>
      </c>
      <c r="O94" s="77">
        <f ca="1">O80</f>
        <v>-5.0168059416844306</v>
      </c>
      <c r="P94" s="77">
        <f ca="1">P80</f>
        <v>-4.0706303315242494</v>
      </c>
      <c r="Q94" s="77">
        <f ca="1">Q80</f>
        <v>-2.4176353848150929</v>
      </c>
    </row>
    <row r="95" spans="1:17" x14ac:dyDescent="0.25">
      <c r="C95" t="s">
        <v>68</v>
      </c>
      <c r="K95" s="93">
        <v>2</v>
      </c>
      <c r="L95" s="93">
        <v>2</v>
      </c>
      <c r="M95" s="20">
        <f>M70</f>
        <v>8.0210000000000008</v>
      </c>
      <c r="N95" s="20">
        <f>N70</f>
        <v>8.7710000000000008</v>
      </c>
      <c r="O95" s="20">
        <f>O70</f>
        <v>9.5210000000000008</v>
      </c>
      <c r="P95" s="20">
        <f>P70</f>
        <v>10.096</v>
      </c>
      <c r="Q95" s="20">
        <f>Q70</f>
        <v>10.420999999999999</v>
      </c>
    </row>
    <row r="96" spans="1:17" x14ac:dyDescent="0.25">
      <c r="C96" t="s">
        <v>73</v>
      </c>
      <c r="K96" s="93">
        <v>0</v>
      </c>
      <c r="L96" s="93">
        <v>0</v>
      </c>
      <c r="M96" s="77">
        <f>M77</f>
        <v>0.15000000000000013</v>
      </c>
      <c r="N96" s="77">
        <f ca="1">N77</f>
        <v>0.14999999999999991</v>
      </c>
      <c r="O96" s="77">
        <f ca="1">O77</f>
        <v>0.14999999999999991</v>
      </c>
      <c r="P96" s="77">
        <f ca="1">P77</f>
        <v>0.15000000000000002</v>
      </c>
      <c r="Q96" s="77">
        <f ca="1">Q77</f>
        <v>0.14999999999999997</v>
      </c>
    </row>
    <row r="97" spans="2:17" x14ac:dyDescent="0.25">
      <c r="C97" t="s">
        <v>80</v>
      </c>
      <c r="K97" s="97">
        <v>0</v>
      </c>
      <c r="L97" s="97">
        <v>0</v>
      </c>
      <c r="M97" s="121">
        <f>M195</f>
        <v>1.340943825020819</v>
      </c>
      <c r="N97" s="121">
        <f t="shared" ref="N97:Q97" si="56">N195</f>
        <v>0.60155034348928282</v>
      </c>
      <c r="O97" s="121">
        <f t="shared" si="56"/>
        <v>0.76140329917382843</v>
      </c>
      <c r="P97" s="121">
        <f t="shared" si="56"/>
        <v>0.71986354941201114</v>
      </c>
      <c r="Q97" s="121">
        <f t="shared" si="56"/>
        <v>0.74702827349068457</v>
      </c>
    </row>
    <row r="98" spans="2:17" x14ac:dyDescent="0.25">
      <c r="C98" t="s">
        <v>81</v>
      </c>
      <c r="K98" s="96">
        <f>SUM(K94:K97)</f>
        <v>3</v>
      </c>
      <c r="L98" s="96">
        <f t="shared" ref="L98:Q98" si="57">SUM(L94:L97)</f>
        <v>-0.79999999999999982</v>
      </c>
      <c r="M98" s="92">
        <f t="shared" si="57"/>
        <v>2.5767406178384968</v>
      </c>
      <c r="N98" s="92">
        <f t="shared" ca="1" si="57"/>
        <v>3.6409583843282003</v>
      </c>
      <c r="O98" s="92">
        <f t="shared" ca="1" si="57"/>
        <v>5.4155973574893981</v>
      </c>
      <c r="P98" s="92">
        <f t="shared" ca="1" si="57"/>
        <v>6.8952332178877622</v>
      </c>
      <c r="Q98" s="92">
        <f t="shared" ca="1" si="57"/>
        <v>8.9003928886755919</v>
      </c>
    </row>
    <row r="101" spans="2:17" x14ac:dyDescent="0.25">
      <c r="B101" s="19" t="s">
        <v>82</v>
      </c>
    </row>
    <row r="102" spans="2:17" ht="3" customHeight="1" x14ac:dyDescent="0.25"/>
    <row r="103" spans="2:17" x14ac:dyDescent="0.25">
      <c r="B103" s="86"/>
      <c r="C103" s="66" t="s">
        <v>176</v>
      </c>
      <c r="D103" s="66"/>
      <c r="E103" s="66"/>
      <c r="F103" s="66"/>
      <c r="G103" s="66"/>
      <c r="H103" s="66"/>
      <c r="I103" s="66"/>
      <c r="J103" s="66"/>
      <c r="K103" s="78">
        <v>-12</v>
      </c>
      <c r="L103" s="78">
        <v>-14.8</v>
      </c>
      <c r="M103" s="127">
        <f>Assumptions!L45</f>
        <v>-15</v>
      </c>
      <c r="N103" s="127">
        <f>Assumptions!M45</f>
        <v>-15</v>
      </c>
      <c r="O103" s="127">
        <f>Assumptions!N45</f>
        <v>-15</v>
      </c>
      <c r="P103" s="127">
        <f>Assumptions!O45</f>
        <v>-8</v>
      </c>
      <c r="Q103" s="127">
        <f>Assumptions!P45</f>
        <v>-5</v>
      </c>
    </row>
    <row r="104" spans="2:17" x14ac:dyDescent="0.25">
      <c r="C104" t="s">
        <v>85</v>
      </c>
      <c r="K104" s="85">
        <f t="shared" ref="K104:Q104" si="58">SUM(K103:K103)</f>
        <v>-12</v>
      </c>
      <c r="L104" s="85">
        <f t="shared" si="58"/>
        <v>-14.8</v>
      </c>
      <c r="M104" s="85">
        <f t="shared" si="58"/>
        <v>-15</v>
      </c>
      <c r="N104" s="85">
        <f t="shared" si="58"/>
        <v>-15</v>
      </c>
      <c r="O104" s="85">
        <f t="shared" si="58"/>
        <v>-15</v>
      </c>
      <c r="P104" s="85">
        <f t="shared" si="58"/>
        <v>-8</v>
      </c>
      <c r="Q104" s="85">
        <f t="shared" si="58"/>
        <v>-5</v>
      </c>
    </row>
    <row r="107" spans="2:17" x14ac:dyDescent="0.25">
      <c r="B107" s="19" t="s">
        <v>86</v>
      </c>
    </row>
    <row r="108" spans="2:17" ht="3" customHeight="1" x14ac:dyDescent="0.25"/>
    <row r="109" spans="2:17" x14ac:dyDescent="0.25">
      <c r="C109" t="s">
        <v>87</v>
      </c>
      <c r="K109" s="20">
        <v>0</v>
      </c>
      <c r="L109" s="20">
        <v>0</v>
      </c>
      <c r="M109" s="135">
        <f ca="1">M266</f>
        <v>-0.16600000000000001</v>
      </c>
      <c r="N109" s="135">
        <f t="shared" ref="N109:Q109" ca="1" si="59">N266</f>
        <v>9.1483009978332994</v>
      </c>
      <c r="O109" s="135">
        <f t="shared" ca="1" si="59"/>
        <v>15.284402642510603</v>
      </c>
      <c r="P109" s="135">
        <f t="shared" ca="1" si="59"/>
        <v>6.804766782112238</v>
      </c>
      <c r="Q109" s="135">
        <f t="shared" ca="1" si="59"/>
        <v>1.7996071113586867</v>
      </c>
    </row>
    <row r="110" spans="2:17" x14ac:dyDescent="0.25">
      <c r="C110" t="s">
        <v>88</v>
      </c>
      <c r="K110" s="77">
        <v>-1.5</v>
      </c>
      <c r="L110" s="77">
        <v>-1.5</v>
      </c>
      <c r="M110" s="77">
        <f>M275</f>
        <v>-5.7</v>
      </c>
      <c r="N110" s="77">
        <f t="shared" ref="N110:Q110" si="60">N275</f>
        <v>-5.7</v>
      </c>
      <c r="O110" s="77">
        <f t="shared" si="60"/>
        <v>-5.7</v>
      </c>
      <c r="P110" s="77">
        <f t="shared" si="60"/>
        <v>-5.7</v>
      </c>
      <c r="Q110" s="77">
        <f t="shared" si="60"/>
        <v>-5.7</v>
      </c>
    </row>
    <row r="111" spans="2:17" x14ac:dyDescent="0.25">
      <c r="C111" t="s">
        <v>93</v>
      </c>
      <c r="K111" s="111">
        <f>-1.8</f>
        <v>-1.8</v>
      </c>
      <c r="L111" s="111">
        <v>-1.4</v>
      </c>
      <c r="M111" s="136">
        <f ca="1">-M298</f>
        <v>0</v>
      </c>
      <c r="N111" s="136">
        <f t="shared" ref="N111:Q111" ca="1" si="61">-N298</f>
        <v>0</v>
      </c>
      <c r="O111" s="136">
        <f t="shared" ca="1" si="61"/>
        <v>0</v>
      </c>
      <c r="P111" s="136">
        <f t="shared" ca="1" si="61"/>
        <v>0</v>
      </c>
      <c r="Q111" s="136">
        <f t="shared" ca="1" si="61"/>
        <v>0</v>
      </c>
    </row>
    <row r="112" spans="2:17" x14ac:dyDescent="0.25">
      <c r="C112" t="s">
        <v>89</v>
      </c>
      <c r="K112" s="85">
        <f>SUM(K109:K111)</f>
        <v>-3.3</v>
      </c>
      <c r="L112" s="85">
        <f t="shared" ref="L112" si="62">SUM(L109:L111)</f>
        <v>-2.9</v>
      </c>
      <c r="M112" s="85">
        <f t="shared" ref="M112" ca="1" si="63">SUM(M109:M111)</f>
        <v>-5.8660000000000005</v>
      </c>
      <c r="N112" s="85">
        <f t="shared" ref="N112" ca="1" si="64">SUM(N109:N111)</f>
        <v>3.4483009978332992</v>
      </c>
      <c r="O112" s="85">
        <f t="shared" ref="O112" ca="1" si="65">SUM(O109:O111)</f>
        <v>9.5844026425106037</v>
      </c>
      <c r="P112" s="85">
        <f t="shared" ref="P112" ca="1" si="66">SUM(P109:P111)</f>
        <v>1.1047667821122378</v>
      </c>
      <c r="Q112" s="85">
        <f t="shared" ref="Q112" ca="1" si="67">SUM(Q109:Q111)</f>
        <v>-3.9003928886413135</v>
      </c>
    </row>
    <row r="115" spans="1:17" x14ac:dyDescent="0.25">
      <c r="B115" s="112" t="s">
        <v>90</v>
      </c>
      <c r="C115" s="69"/>
      <c r="D115" s="69"/>
      <c r="E115" s="69"/>
      <c r="F115" s="69"/>
      <c r="G115" s="69"/>
      <c r="H115" s="69"/>
      <c r="I115" s="69"/>
      <c r="J115" s="69"/>
      <c r="K115" s="123">
        <f t="shared" ref="K115:Q115" si="68">K98+K104+K112</f>
        <v>-12.3</v>
      </c>
      <c r="L115" s="123">
        <f t="shared" si="68"/>
        <v>-18.5</v>
      </c>
      <c r="M115" s="123">
        <f t="shared" ca="1" si="68"/>
        <v>-18.289259382161504</v>
      </c>
      <c r="N115" s="123">
        <f t="shared" ca="1" si="68"/>
        <v>-7.9107406178385</v>
      </c>
      <c r="O115" s="123">
        <f t="shared" ca="1" si="68"/>
        <v>0</v>
      </c>
      <c r="P115" s="123">
        <f t="shared" ca="1" si="68"/>
        <v>0</v>
      </c>
      <c r="Q115" s="124">
        <f t="shared" ca="1" si="68"/>
        <v>3.4278357929906633E-11</v>
      </c>
    </row>
    <row r="116" spans="1:17" ht="3" customHeight="1" x14ac:dyDescent="0.25">
      <c r="B116" s="103"/>
      <c r="Q116" s="125"/>
    </row>
    <row r="117" spans="1:17" x14ac:dyDescent="0.25">
      <c r="B117" s="103" t="s">
        <v>91</v>
      </c>
      <c r="K117" s="20">
        <v>57</v>
      </c>
      <c r="L117">
        <f>K118</f>
        <v>44.7</v>
      </c>
      <c r="M117" s="77">
        <f>L118</f>
        <v>26.200000000000003</v>
      </c>
      <c r="N117" s="77">
        <f t="shared" ref="N117:Q117" ca="1" si="69">M118</f>
        <v>7.9107406178384991</v>
      </c>
      <c r="O117" s="77">
        <f t="shared" ca="1" si="69"/>
        <v>0</v>
      </c>
      <c r="P117" s="77">
        <f t="shared" ca="1" si="69"/>
        <v>0</v>
      </c>
      <c r="Q117" s="126">
        <f t="shared" ca="1" si="69"/>
        <v>0</v>
      </c>
    </row>
    <row r="118" spans="1:17" x14ac:dyDescent="0.25">
      <c r="B118" s="71" t="s">
        <v>92</v>
      </c>
      <c r="C118" s="66"/>
      <c r="D118" s="66"/>
      <c r="E118" s="66"/>
      <c r="F118" s="66"/>
      <c r="G118" s="66"/>
      <c r="H118" s="66"/>
      <c r="I118" s="66"/>
      <c r="J118" s="66"/>
      <c r="K118" s="111">
        <f>K115+K117</f>
        <v>44.7</v>
      </c>
      <c r="L118" s="111">
        <f t="shared" ref="L118:Q118" si="70">L115+L117</f>
        <v>26.200000000000003</v>
      </c>
      <c r="M118" s="111">
        <f t="shared" ca="1" si="70"/>
        <v>7.9107406178384991</v>
      </c>
      <c r="N118" s="111">
        <f t="shared" ca="1" si="70"/>
        <v>0</v>
      </c>
      <c r="O118" s="111">
        <f t="shared" ca="1" si="70"/>
        <v>0</v>
      </c>
      <c r="P118" s="111">
        <f t="shared" ca="1" si="70"/>
        <v>0</v>
      </c>
      <c r="Q118" s="115">
        <f t="shared" ca="1" si="70"/>
        <v>3.4278357929906633E-11</v>
      </c>
    </row>
    <row r="119" spans="1:17" x14ac:dyDescent="0.25">
      <c r="K119" s="77"/>
      <c r="L119" s="77"/>
      <c r="M119" s="77"/>
      <c r="N119" s="77"/>
      <c r="O119" s="77"/>
      <c r="P119" s="77"/>
      <c r="Q119" s="77"/>
    </row>
    <row r="120" spans="1:17" ht="15.75" x14ac:dyDescent="0.25">
      <c r="B120" s="144" t="s">
        <v>169</v>
      </c>
      <c r="C120" s="143"/>
      <c r="D120" s="143"/>
      <c r="K120" s="159">
        <f>ROUND(K118-K130,2)</f>
        <v>0</v>
      </c>
      <c r="L120" s="159">
        <f t="shared" ref="L120:Q120" si="71">ROUND(L118-L130,2)</f>
        <v>0</v>
      </c>
      <c r="M120" s="159">
        <f ca="1">ROUND(M118-M130,2)</f>
        <v>0</v>
      </c>
      <c r="N120" s="159">
        <f t="shared" ca="1" si="71"/>
        <v>0</v>
      </c>
      <c r="O120" s="159">
        <f t="shared" ca="1" si="71"/>
        <v>0</v>
      </c>
      <c r="P120" s="159">
        <f t="shared" ca="1" si="71"/>
        <v>0</v>
      </c>
      <c r="Q120" s="159">
        <f t="shared" ca="1" si="71"/>
        <v>0</v>
      </c>
    </row>
    <row r="124" spans="1:17" ht="15.75" thickBot="1" x14ac:dyDescent="0.3">
      <c r="A124" s="3"/>
      <c r="B124" s="54" t="s">
        <v>94</v>
      </c>
      <c r="C124" s="3"/>
      <c r="D124" s="3"/>
      <c r="E124" s="3"/>
      <c r="F124" s="3"/>
      <c r="G124" s="3"/>
      <c r="H124" s="3"/>
      <c r="I124" s="3"/>
      <c r="J124" s="3"/>
      <c r="K124" s="3"/>
      <c r="L124" s="3"/>
      <c r="M124" s="55" t="s">
        <v>41</v>
      </c>
      <c r="N124" s="56"/>
      <c r="O124" s="56"/>
      <c r="P124" s="56"/>
      <c r="Q124" s="56"/>
    </row>
    <row r="126" spans="1:17" x14ac:dyDescent="0.25">
      <c r="B126" s="72" t="s">
        <v>64</v>
      </c>
      <c r="K126" s="9">
        <v>2021</v>
      </c>
      <c r="L126" s="9">
        <v>2022</v>
      </c>
      <c r="M126">
        <v>2023</v>
      </c>
      <c r="N126">
        <v>2024</v>
      </c>
      <c r="O126">
        <v>2025</v>
      </c>
      <c r="P126">
        <v>2026</v>
      </c>
      <c r="Q126">
        <v>2027</v>
      </c>
    </row>
    <row r="128" spans="1:17" x14ac:dyDescent="0.25">
      <c r="B128" s="19" t="s">
        <v>95</v>
      </c>
    </row>
    <row r="129" spans="2:17" ht="3" customHeight="1" x14ac:dyDescent="0.25">
      <c r="B129" s="19"/>
    </row>
    <row r="130" spans="2:17" x14ac:dyDescent="0.25">
      <c r="C130" t="s">
        <v>96</v>
      </c>
      <c r="K130" s="93">
        <v>44.7</v>
      </c>
      <c r="L130" s="93">
        <v>26.2</v>
      </c>
      <c r="M130" s="77">
        <f ca="1">M118</f>
        <v>7.9107406178384991</v>
      </c>
      <c r="N130" s="77">
        <f t="shared" ref="N130:Q130" ca="1" si="72">N118</f>
        <v>0</v>
      </c>
      <c r="O130" s="77">
        <f t="shared" ca="1" si="72"/>
        <v>0</v>
      </c>
      <c r="P130" s="77">
        <f t="shared" ca="1" si="72"/>
        <v>0</v>
      </c>
      <c r="Q130" s="77">
        <f t="shared" ca="1" si="72"/>
        <v>3.4278357929906633E-11</v>
      </c>
    </row>
    <row r="131" spans="2:17" x14ac:dyDescent="0.25">
      <c r="C131" t="s">
        <v>97</v>
      </c>
      <c r="K131" s="93">
        <v>4</v>
      </c>
      <c r="L131" s="93">
        <v>4.2</v>
      </c>
      <c r="M131" s="20">
        <f>M187</f>
        <v>4.2494287565276618</v>
      </c>
      <c r="N131" s="20">
        <f t="shared" ref="N131:Q131" si="73">N187</f>
        <v>4.5103226931002629</v>
      </c>
      <c r="O131" s="20">
        <f t="shared" si="73"/>
        <v>4.8128455904236569</v>
      </c>
      <c r="P131" s="20">
        <f t="shared" si="73"/>
        <v>5.1209081022904588</v>
      </c>
      <c r="Q131" s="20">
        <f t="shared" si="73"/>
        <v>5.4478993174850343</v>
      </c>
    </row>
    <row r="132" spans="2:17" x14ac:dyDescent="0.25">
      <c r="C132" t="s">
        <v>98</v>
      </c>
      <c r="K132" s="94">
        <v>19</v>
      </c>
      <c r="L132" s="93">
        <v>22.2</v>
      </c>
      <c r="M132" s="20">
        <f>M188</f>
        <v>22.364547945205484</v>
      </c>
      <c r="N132" s="20">
        <f t="shared" ref="N132:Q132" si="74">N188</f>
        <v>22.74951147540984</v>
      </c>
      <c r="O132" s="20">
        <f t="shared" si="74"/>
        <v>23.268075682191782</v>
      </c>
      <c r="P132" s="20">
        <f t="shared" si="74"/>
        <v>23.73343719583562</v>
      </c>
      <c r="Q132" s="20">
        <f t="shared" si="74"/>
        <v>24.208105939752329</v>
      </c>
    </row>
    <row r="133" spans="2:17" x14ac:dyDescent="0.25">
      <c r="C133" t="s">
        <v>99</v>
      </c>
      <c r="K133" s="95">
        <v>0.45400000000000001</v>
      </c>
      <c r="L133" s="95">
        <v>0.29899999999999999</v>
      </c>
      <c r="M133" s="33">
        <f>M189</f>
        <v>0.16878904109589044</v>
      </c>
      <c r="N133" s="33">
        <f>N189</f>
        <v>0.17169442622950823</v>
      </c>
      <c r="O133" s="33">
        <f>O189</f>
        <v>0.17560811835616438</v>
      </c>
      <c r="P133" s="33">
        <f t="shared" ref="P133:Q133" si="75">P189</f>
        <v>0.1791202807232877</v>
      </c>
      <c r="Q133" s="33">
        <f t="shared" si="75"/>
        <v>0.18270268633775344</v>
      </c>
    </row>
    <row r="134" spans="2:17" x14ac:dyDescent="0.25">
      <c r="C134" s="19" t="s">
        <v>100</v>
      </c>
      <c r="K134" s="96">
        <f>SUM(K130:K133)</f>
        <v>68.153999999999996</v>
      </c>
      <c r="L134" s="96">
        <f t="shared" ref="L134" si="76">SUM(L130:L133)</f>
        <v>52.898999999999994</v>
      </c>
      <c r="M134" s="77">
        <f ca="1">SUM(M130:M133)</f>
        <v>34.693506360667534</v>
      </c>
      <c r="N134" s="77">
        <f t="shared" ref="N134:Q134" ca="1" si="77">SUM(N130:N133)</f>
        <v>27.431528594739611</v>
      </c>
      <c r="O134" s="77">
        <f t="shared" ca="1" si="77"/>
        <v>28.2565293909716</v>
      </c>
      <c r="P134" s="77">
        <f t="shared" ca="1" si="77"/>
        <v>29.033465578849366</v>
      </c>
      <c r="Q134" s="77">
        <f t="shared" ca="1" si="77"/>
        <v>29.838707943609393</v>
      </c>
    </row>
    <row r="135" spans="2:17" x14ac:dyDescent="0.25">
      <c r="K135" s="93"/>
      <c r="L135" s="93"/>
    </row>
    <row r="137" spans="2:17" x14ac:dyDescent="0.25">
      <c r="C137" t="s">
        <v>101</v>
      </c>
      <c r="K137" s="94">
        <v>39.450000000000003</v>
      </c>
      <c r="L137" s="93">
        <v>53.46</v>
      </c>
      <c r="M137" s="77">
        <f>L137-M103-M70</f>
        <v>60.439000000000007</v>
      </c>
      <c r="N137" s="77">
        <f>M137-N103-N70</f>
        <v>66.668000000000006</v>
      </c>
      <c r="O137" s="77">
        <f>N137-O103-O70</f>
        <v>72.147000000000006</v>
      </c>
      <c r="P137" s="77">
        <f>O137-P103-P70</f>
        <v>70.051000000000002</v>
      </c>
      <c r="Q137" s="77">
        <f>P137-Q103-Q70</f>
        <v>64.63</v>
      </c>
    </row>
    <row r="138" spans="2:17" x14ac:dyDescent="0.25">
      <c r="C138" s="86" t="s">
        <v>84</v>
      </c>
      <c r="K138" s="97">
        <v>13.5</v>
      </c>
      <c r="L138" s="97">
        <v>18.48</v>
      </c>
      <c r="M138" s="66">
        <f>L138</f>
        <v>18.48</v>
      </c>
      <c r="N138" s="66">
        <f t="shared" ref="N138:Q138" si="78">M138</f>
        <v>18.48</v>
      </c>
      <c r="O138" s="66">
        <f t="shared" si="78"/>
        <v>18.48</v>
      </c>
      <c r="P138" s="66">
        <f t="shared" si="78"/>
        <v>18.48</v>
      </c>
      <c r="Q138" s="66">
        <f t="shared" si="78"/>
        <v>18.48</v>
      </c>
    </row>
    <row r="139" spans="2:17" x14ac:dyDescent="0.25">
      <c r="K139" s="82">
        <f>K137+K138</f>
        <v>52.95</v>
      </c>
      <c r="L139" s="82">
        <f>L137+L138</f>
        <v>71.94</v>
      </c>
      <c r="M139" s="85">
        <f>M137+M138</f>
        <v>78.919000000000011</v>
      </c>
      <c r="N139" s="85">
        <f t="shared" ref="N139:Q139" si="79">N137+N138</f>
        <v>85.14800000000001</v>
      </c>
      <c r="O139" s="85">
        <f t="shared" si="79"/>
        <v>90.62700000000001</v>
      </c>
      <c r="P139" s="85">
        <f t="shared" si="79"/>
        <v>88.531000000000006</v>
      </c>
      <c r="Q139" s="85">
        <f t="shared" si="79"/>
        <v>83.11</v>
      </c>
    </row>
    <row r="140" spans="2:17" x14ac:dyDescent="0.25">
      <c r="C140" t="s">
        <v>102</v>
      </c>
      <c r="K140" s="93"/>
      <c r="L140" s="93"/>
    </row>
    <row r="141" spans="2:17" ht="15.75" thickBot="1" x14ac:dyDescent="0.3">
      <c r="K141" s="99">
        <f>K134+K139</f>
        <v>121.104</v>
      </c>
      <c r="L141" s="99">
        <f t="shared" ref="L141" si="80">L134+L139</f>
        <v>124.839</v>
      </c>
      <c r="M141" s="149">
        <f ca="1">M134+M139</f>
        <v>113.61250636066754</v>
      </c>
      <c r="N141" s="149">
        <f t="shared" ref="N141:Q141" ca="1" si="81">N134+N139</f>
        <v>112.57952859473963</v>
      </c>
      <c r="O141" s="149">
        <f t="shared" ca="1" si="81"/>
        <v>118.8835293909716</v>
      </c>
      <c r="P141" s="149">
        <f t="shared" ca="1" si="81"/>
        <v>117.56446557884937</v>
      </c>
      <c r="Q141" s="149">
        <f t="shared" ca="1" si="81"/>
        <v>112.94870794360939</v>
      </c>
    </row>
    <row r="142" spans="2:17" ht="15.75" thickTop="1" x14ac:dyDescent="0.25">
      <c r="C142" s="19" t="s">
        <v>103</v>
      </c>
      <c r="K142" s="93"/>
      <c r="L142" s="93"/>
    </row>
    <row r="143" spans="2:17" x14ac:dyDescent="0.25">
      <c r="K143" s="93"/>
      <c r="L143" s="93"/>
    </row>
    <row r="144" spans="2:17" x14ac:dyDescent="0.25">
      <c r="K144" s="93"/>
      <c r="L144" s="93"/>
    </row>
    <row r="145" spans="2:21" x14ac:dyDescent="0.25">
      <c r="B145" s="19" t="s">
        <v>104</v>
      </c>
      <c r="K145" s="93"/>
      <c r="L145" s="93"/>
    </row>
    <row r="146" spans="2:21" ht="3" customHeight="1" x14ac:dyDescent="0.25">
      <c r="B146" s="19"/>
      <c r="K146" s="93"/>
      <c r="L146" s="93"/>
    </row>
    <row r="147" spans="2:21" x14ac:dyDescent="0.25">
      <c r="C147" t="s">
        <v>105</v>
      </c>
      <c r="K147" s="94">
        <v>0</v>
      </c>
      <c r="L147" s="98">
        <v>0.16600000000000001</v>
      </c>
      <c r="M147" s="20">
        <f ca="1">M267</f>
        <v>0</v>
      </c>
      <c r="N147" s="20">
        <f t="shared" ref="N147:Q147" ca="1" si="82">N267</f>
        <v>9.1483009978332994</v>
      </c>
      <c r="O147" s="20">
        <f t="shared" ca="1" si="82"/>
        <v>24.432703640343902</v>
      </c>
      <c r="P147" s="20">
        <f t="shared" ca="1" si="82"/>
        <v>31.237470422456141</v>
      </c>
      <c r="Q147" s="20">
        <f t="shared" ca="1" si="82"/>
        <v>33.037077533814831</v>
      </c>
    </row>
    <row r="148" spans="2:21" x14ac:dyDescent="0.25">
      <c r="C148" t="s">
        <v>106</v>
      </c>
      <c r="K148" s="93">
        <v>4</v>
      </c>
      <c r="L148" s="94">
        <v>4</v>
      </c>
      <c r="M148" s="20">
        <f>M192</f>
        <v>2.7428219178082194</v>
      </c>
      <c r="N148" s="20">
        <f t="shared" ref="N148:Q148" si="83">N192</f>
        <v>2.7900344262295089</v>
      </c>
      <c r="O148" s="20">
        <f t="shared" si="83"/>
        <v>2.8536319232876712</v>
      </c>
      <c r="P148" s="20">
        <f t="shared" si="83"/>
        <v>2.9107045617534251</v>
      </c>
      <c r="Q148" s="20">
        <f t="shared" si="83"/>
        <v>2.9689186529884934</v>
      </c>
    </row>
    <row r="149" spans="2:21" x14ac:dyDescent="0.25">
      <c r="C149" t="s">
        <v>116</v>
      </c>
      <c r="K149" s="94">
        <v>0.5</v>
      </c>
      <c r="L149" s="94">
        <v>1</v>
      </c>
      <c r="M149" s="20">
        <f>Assumptions!L75</f>
        <v>0.96</v>
      </c>
      <c r="N149" s="20">
        <f>Assumptions!M75</f>
        <v>0.96</v>
      </c>
      <c r="O149" s="20">
        <f>Assumptions!N75</f>
        <v>0.68</v>
      </c>
      <c r="P149" s="20">
        <f>Assumptions!O75</f>
        <v>0.26</v>
      </c>
      <c r="Q149" s="20">
        <v>0</v>
      </c>
    </row>
    <row r="150" spans="2:21" x14ac:dyDescent="0.25">
      <c r="C150" s="19" t="s">
        <v>107</v>
      </c>
      <c r="K150" s="96">
        <f t="shared" ref="K150:Q150" si="84">SUM(K147:K149)</f>
        <v>4.5</v>
      </c>
      <c r="L150" s="96">
        <f t="shared" si="84"/>
        <v>5.1660000000000004</v>
      </c>
      <c r="M150" s="64">
        <f t="shared" ca="1" si="84"/>
        <v>3.7028219178082193</v>
      </c>
      <c r="N150" s="64">
        <f t="shared" ca="1" si="84"/>
        <v>12.898335424062807</v>
      </c>
      <c r="O150" s="64">
        <f t="shared" ca="1" si="84"/>
        <v>27.966335563631574</v>
      </c>
      <c r="P150" s="64">
        <f t="shared" ca="1" si="84"/>
        <v>34.408174984209566</v>
      </c>
      <c r="Q150" s="64">
        <f t="shared" ca="1" si="84"/>
        <v>36.005996186803323</v>
      </c>
    </row>
    <row r="151" spans="2:21" x14ac:dyDescent="0.25">
      <c r="K151" s="93"/>
      <c r="L151" s="93"/>
    </row>
    <row r="152" spans="2:21" x14ac:dyDescent="0.25">
      <c r="C152" t="s">
        <v>73</v>
      </c>
      <c r="K152" s="93">
        <v>0.6</v>
      </c>
      <c r="L152" s="93">
        <v>1.2</v>
      </c>
      <c r="M152" s="77">
        <f>L152+M238</f>
        <v>1.35</v>
      </c>
      <c r="N152" s="77">
        <f ca="1">M152+N238</f>
        <v>1.5</v>
      </c>
      <c r="O152" s="77">
        <f ca="1">N152+O238</f>
        <v>1.65</v>
      </c>
      <c r="P152" s="77">
        <f ca="1">O152+P238</f>
        <v>1.7999999999999998</v>
      </c>
      <c r="Q152" s="77">
        <f ca="1">P152+Q238</f>
        <v>1.9499999999999997</v>
      </c>
    </row>
    <row r="153" spans="2:21" x14ac:dyDescent="0.25">
      <c r="C153" t="s">
        <v>118</v>
      </c>
      <c r="K153" s="94">
        <v>4</v>
      </c>
      <c r="L153" s="94">
        <v>10.14</v>
      </c>
      <c r="M153" s="20">
        <f>L153</f>
        <v>10.14</v>
      </c>
      <c r="N153" s="20">
        <f t="shared" ref="N153:Q153" si="85">M153</f>
        <v>10.14</v>
      </c>
      <c r="O153" s="20">
        <f t="shared" si="85"/>
        <v>10.14</v>
      </c>
      <c r="P153" s="20">
        <f t="shared" si="85"/>
        <v>10.14</v>
      </c>
      <c r="Q153" s="20">
        <f t="shared" si="85"/>
        <v>10.14</v>
      </c>
    </row>
    <row r="154" spans="2:21" x14ac:dyDescent="0.25">
      <c r="C154" t="s">
        <v>185</v>
      </c>
      <c r="K154" s="94">
        <v>1</v>
      </c>
      <c r="L154" s="94">
        <v>3.5</v>
      </c>
      <c r="M154" s="20">
        <f>L154</f>
        <v>3.5</v>
      </c>
      <c r="N154" s="20">
        <f>M154</f>
        <v>3.5</v>
      </c>
      <c r="O154" s="20">
        <f>N154</f>
        <v>3.5</v>
      </c>
      <c r="P154" s="20">
        <f t="shared" ref="P154:Q154" si="86">O154</f>
        <v>3.5</v>
      </c>
      <c r="Q154" s="20">
        <f t="shared" si="86"/>
        <v>3.5</v>
      </c>
    </row>
    <row r="155" spans="2:21" x14ac:dyDescent="0.25">
      <c r="C155" t="s">
        <v>117</v>
      </c>
      <c r="K155" s="95">
        <v>45</v>
      </c>
      <c r="L155" s="95">
        <v>39.340000000000003</v>
      </c>
      <c r="M155" s="136">
        <f>M276</f>
        <v>33.64</v>
      </c>
      <c r="N155" s="136">
        <f t="shared" ref="N155:Q155" si="87">N276</f>
        <v>27.94</v>
      </c>
      <c r="O155" s="136">
        <f t="shared" si="87"/>
        <v>22.240000000000002</v>
      </c>
      <c r="P155" s="136">
        <f t="shared" si="87"/>
        <v>16.540000000000003</v>
      </c>
      <c r="Q155" s="136">
        <f t="shared" si="87"/>
        <v>10.840000000000003</v>
      </c>
    </row>
    <row r="156" spans="2:21" x14ac:dyDescent="0.25">
      <c r="C156" s="19" t="s">
        <v>108</v>
      </c>
      <c r="K156" s="96">
        <f t="shared" ref="K156:Q156" si="88">SUM(K152:K155)</f>
        <v>50.6</v>
      </c>
      <c r="L156" s="96">
        <f t="shared" si="88"/>
        <v>54.180000000000007</v>
      </c>
      <c r="M156" s="64">
        <f t="shared" si="88"/>
        <v>48.63</v>
      </c>
      <c r="N156" s="64">
        <f t="shared" ca="1" si="88"/>
        <v>43.08</v>
      </c>
      <c r="O156" s="64">
        <f t="shared" ca="1" si="88"/>
        <v>37.53</v>
      </c>
      <c r="P156" s="64">
        <f t="shared" ca="1" si="88"/>
        <v>31.980000000000004</v>
      </c>
      <c r="Q156" s="64">
        <f t="shared" ca="1" si="88"/>
        <v>26.430000000000003</v>
      </c>
    </row>
    <row r="157" spans="2:21" x14ac:dyDescent="0.25">
      <c r="U157" s="20"/>
    </row>
    <row r="158" spans="2:21" ht="15.75" thickBot="1" x14ac:dyDescent="0.3">
      <c r="C158" s="19" t="s">
        <v>109</v>
      </c>
      <c r="K158" s="99">
        <f t="shared" ref="K158:Q158" si="89">K150+K156</f>
        <v>55.1</v>
      </c>
      <c r="L158" s="99">
        <f t="shared" si="89"/>
        <v>59.346000000000004</v>
      </c>
      <c r="M158" s="150">
        <f t="shared" ca="1" si="89"/>
        <v>52.332821917808225</v>
      </c>
      <c r="N158" s="150">
        <f t="shared" ca="1" si="89"/>
        <v>55.978335424062806</v>
      </c>
      <c r="O158" s="150">
        <f t="shared" ca="1" si="89"/>
        <v>65.496335563631575</v>
      </c>
      <c r="P158" s="150">
        <f t="shared" ca="1" si="89"/>
        <v>66.38817498420957</v>
      </c>
      <c r="Q158" s="150">
        <f t="shared" ca="1" si="89"/>
        <v>62.435996186803322</v>
      </c>
    </row>
    <row r="159" spans="2:21" ht="15.75" thickTop="1" x14ac:dyDescent="0.25"/>
    <row r="160" spans="2:21" x14ac:dyDescent="0.25">
      <c r="C160" t="s">
        <v>166</v>
      </c>
      <c r="K160" s="119">
        <v>32</v>
      </c>
      <c r="L160" s="119">
        <v>34</v>
      </c>
      <c r="M160" s="135">
        <f ca="1">M299</f>
        <v>40.929057</v>
      </c>
      <c r="N160" s="135">
        <f t="shared" ref="N160:Q160" ca="1" si="90">N299</f>
        <v>40.929057</v>
      </c>
      <c r="O160" s="135">
        <f t="shared" ca="1" si="90"/>
        <v>40.929057</v>
      </c>
      <c r="P160" s="135">
        <f t="shared" ca="1" si="90"/>
        <v>40.929057</v>
      </c>
      <c r="Q160" s="135">
        <f t="shared" ca="1" si="90"/>
        <v>40.929057</v>
      </c>
    </row>
    <row r="161" spans="1:20" x14ac:dyDescent="0.25">
      <c r="C161" t="s">
        <v>110</v>
      </c>
      <c r="K161" s="119">
        <v>8.5120000000000005</v>
      </c>
      <c r="L161" s="119">
        <v>8.5120000000000005</v>
      </c>
      <c r="M161" s="172">
        <f>L161+Scenarios!L39</f>
        <v>4.3020000000000005</v>
      </c>
      <c r="N161" s="172">
        <f>M161+Scenarios!M39</f>
        <v>5.5120000000000005</v>
      </c>
      <c r="O161" s="172">
        <f>N161+Scenarios!N39</f>
        <v>7.3120000000000003</v>
      </c>
      <c r="P161" s="172">
        <f>O161+Scenarios!O39</f>
        <v>9.1720000000000006</v>
      </c>
      <c r="Q161" s="172">
        <f>P161+Scenarios!P39</f>
        <v>10.922000000000001</v>
      </c>
    </row>
    <row r="162" spans="1:20" x14ac:dyDescent="0.25">
      <c r="C162" t="s">
        <v>111</v>
      </c>
      <c r="K162" s="119">
        <v>25.492999999999999</v>
      </c>
      <c r="L162" s="119">
        <v>22.98</v>
      </c>
      <c r="M162" s="20">
        <f ca="1">M306</f>
        <v>16.044796792817678</v>
      </c>
      <c r="N162" s="20">
        <f t="shared" ref="N162:Q162" ca="1" si="91">N306</f>
        <v>10.163204833656595</v>
      </c>
      <c r="O162" s="20">
        <f t="shared" ca="1" si="91"/>
        <v>5.1463988919721642</v>
      </c>
      <c r="P162" s="20">
        <f t="shared" ca="1" si="91"/>
        <v>1.0757685604479148</v>
      </c>
      <c r="Q162" s="20">
        <f t="shared" ca="1" si="91"/>
        <v>-1.3418668244014564</v>
      </c>
      <c r="T162" s="20"/>
    </row>
    <row r="163" spans="1:20" ht="15.75" thickBot="1" x14ac:dyDescent="0.3">
      <c r="C163" s="19" t="s">
        <v>112</v>
      </c>
      <c r="K163" s="99">
        <f>SUM(K160:K162)</f>
        <v>66.004999999999995</v>
      </c>
      <c r="L163" s="99">
        <f t="shared" ref="L163:Q163" si="92">SUM(L160:L162)</f>
        <v>65.492000000000004</v>
      </c>
      <c r="M163" s="150">
        <f t="shared" ca="1" si="92"/>
        <v>61.275853792817678</v>
      </c>
      <c r="N163" s="150">
        <f t="shared" ca="1" si="92"/>
        <v>56.604261833656594</v>
      </c>
      <c r="O163" s="150">
        <f t="shared" ca="1" si="92"/>
        <v>53.387455891972159</v>
      </c>
      <c r="P163" s="150">
        <f t="shared" ca="1" si="92"/>
        <v>51.176825560447909</v>
      </c>
      <c r="Q163" s="150">
        <f t="shared" ca="1" si="92"/>
        <v>50.50919017559854</v>
      </c>
      <c r="T163" s="170"/>
    </row>
    <row r="164" spans="1:20" ht="15.75" thickTop="1" x14ac:dyDescent="0.25">
      <c r="T164" s="170"/>
    </row>
    <row r="165" spans="1:20" ht="15.75" thickBot="1" x14ac:dyDescent="0.3">
      <c r="B165" s="19" t="s">
        <v>113</v>
      </c>
      <c r="K165" s="145">
        <f t="shared" ref="K165" si="93">K158+K163</f>
        <v>121.10499999999999</v>
      </c>
      <c r="L165" s="99">
        <f>L158+L163</f>
        <v>124.83800000000001</v>
      </c>
      <c r="M165" s="99">
        <f t="shared" ref="M165:Q165" ca="1" si="94">M158+M163</f>
        <v>113.6086757106259</v>
      </c>
      <c r="N165" s="99">
        <f t="shared" ca="1" si="94"/>
        <v>112.5825972577194</v>
      </c>
      <c r="O165" s="99">
        <f t="shared" ca="1" si="94"/>
        <v>118.88379145560373</v>
      </c>
      <c r="P165" s="99">
        <f t="shared" ca="1" si="94"/>
        <v>117.56500054465748</v>
      </c>
      <c r="Q165" s="99">
        <f t="shared" ca="1" si="94"/>
        <v>112.94518636240187</v>
      </c>
    </row>
    <row r="166" spans="1:20" ht="15.75" thickTop="1" x14ac:dyDescent="0.25"/>
    <row r="167" spans="1:20" ht="15.75" x14ac:dyDescent="0.25">
      <c r="B167" s="144" t="s">
        <v>169</v>
      </c>
      <c r="C167" s="143"/>
      <c r="D167" s="143"/>
      <c r="K167" s="146">
        <f>K141-K165</f>
        <v>-9.9999999999056399E-4</v>
      </c>
      <c r="L167" s="146">
        <f>L141-L165</f>
        <v>9.9999999999056399E-4</v>
      </c>
      <c r="M167" s="146">
        <f ca="1">M141-M165</f>
        <v>3.8306500416354083E-3</v>
      </c>
      <c r="N167" s="146">
        <f ca="1">N141-N165</f>
        <v>-3.0686629797713749E-3</v>
      </c>
      <c r="O167" s="146">
        <f ca="1">O141-O165</f>
        <v>-2.6206463212474773E-4</v>
      </c>
      <c r="P167" s="146">
        <f t="shared" ref="P167:Q167" ca="1" si="95">P141-P165</f>
        <v>-5.3496580811440708E-4</v>
      </c>
      <c r="Q167" s="146">
        <f t="shared" ca="1" si="95"/>
        <v>3.5215812075222175E-3</v>
      </c>
    </row>
    <row r="170" spans="1:20" ht="15.75" thickBot="1" x14ac:dyDescent="0.3">
      <c r="A170" s="3"/>
      <c r="B170" s="54" t="s">
        <v>119</v>
      </c>
      <c r="C170" s="3"/>
      <c r="D170" s="3"/>
      <c r="E170" s="3"/>
      <c r="F170" s="3"/>
      <c r="G170" s="3"/>
      <c r="H170" s="3"/>
      <c r="I170" s="3"/>
      <c r="J170" s="3"/>
      <c r="K170" s="3"/>
      <c r="L170" s="3"/>
      <c r="M170" s="55" t="s">
        <v>41</v>
      </c>
      <c r="N170" s="56"/>
      <c r="O170" s="56"/>
      <c r="P170" s="56"/>
      <c r="Q170" s="56"/>
    </row>
    <row r="172" spans="1:20" x14ac:dyDescent="0.25">
      <c r="B172" s="72" t="s">
        <v>64</v>
      </c>
      <c r="J172" s="9">
        <v>2020</v>
      </c>
      <c r="K172" s="9">
        <v>2021</v>
      </c>
      <c r="L172" s="9">
        <v>2022</v>
      </c>
      <c r="M172">
        <v>2023</v>
      </c>
      <c r="N172">
        <v>2024</v>
      </c>
      <c r="O172">
        <v>2025</v>
      </c>
      <c r="P172">
        <v>2026</v>
      </c>
      <c r="Q172">
        <v>2027</v>
      </c>
    </row>
    <row r="174" spans="1:20" x14ac:dyDescent="0.25">
      <c r="B174" s="29" t="s">
        <v>121</v>
      </c>
      <c r="C174" s="30"/>
      <c r="D174" s="30"/>
      <c r="E174" s="30"/>
      <c r="F174" s="30"/>
      <c r="G174" s="30"/>
      <c r="H174" s="30"/>
      <c r="I174" s="30"/>
      <c r="J174" s="30"/>
      <c r="K174" s="100">
        <f>DATE(K172,12,31)-DATE(J172,12,31)</f>
        <v>365</v>
      </c>
      <c r="L174" s="100">
        <f t="shared" ref="L174:Q174" si="96">DATE(L172,12,31)-DATE(K172,12,31)</f>
        <v>365</v>
      </c>
      <c r="M174" s="100">
        <f t="shared" si="96"/>
        <v>365</v>
      </c>
      <c r="N174" s="100">
        <f t="shared" si="96"/>
        <v>366</v>
      </c>
      <c r="O174" s="100">
        <f t="shared" si="96"/>
        <v>365</v>
      </c>
      <c r="P174" s="100">
        <f t="shared" si="96"/>
        <v>365</v>
      </c>
      <c r="Q174" s="101">
        <f t="shared" si="96"/>
        <v>365</v>
      </c>
    </row>
    <row r="176" spans="1:20" x14ac:dyDescent="0.25">
      <c r="B176" s="19" t="s">
        <v>120</v>
      </c>
    </row>
    <row r="177" spans="2:17" x14ac:dyDescent="0.25">
      <c r="C177" t="s">
        <v>54</v>
      </c>
      <c r="K177" s="20">
        <f t="shared" ref="K177:Q177" si="97">K62</f>
        <v>31.7</v>
      </c>
      <c r="L177" s="20">
        <f t="shared" si="97"/>
        <v>33.9</v>
      </c>
      <c r="M177" s="20">
        <f t="shared" si="97"/>
        <v>38.776037403314916</v>
      </c>
      <c r="N177" s="20">
        <f t="shared" si="97"/>
        <v>41.269452641867403</v>
      </c>
      <c r="O177" s="20">
        <f t="shared" si="97"/>
        <v>43.917216012615867</v>
      </c>
      <c r="P177" s="20">
        <f t="shared" si="97"/>
        <v>46.728286433400434</v>
      </c>
      <c r="Q177" s="20">
        <f t="shared" si="97"/>
        <v>49.712081272050938</v>
      </c>
    </row>
    <row r="178" spans="2:17" x14ac:dyDescent="0.25">
      <c r="C178" t="s">
        <v>12</v>
      </c>
      <c r="K178" s="20">
        <f t="shared" ref="K178:Q178" si="98">K64</f>
        <v>13.1</v>
      </c>
      <c r="L178" s="20">
        <f t="shared" si="98"/>
        <v>15.1</v>
      </c>
      <c r="M178" s="20">
        <f t="shared" si="98"/>
        <v>15.402000000000001</v>
      </c>
      <c r="N178" s="20">
        <f t="shared" si="98"/>
        <v>15.710040000000003</v>
      </c>
      <c r="O178" s="20">
        <f t="shared" si="98"/>
        <v>16.024240800000001</v>
      </c>
      <c r="P178" s="20">
        <f t="shared" si="98"/>
        <v>16.344725616000002</v>
      </c>
      <c r="Q178" s="20">
        <f t="shared" si="98"/>
        <v>16.671620128320001</v>
      </c>
    </row>
    <row r="180" spans="2:17" x14ac:dyDescent="0.25">
      <c r="B180" s="19" t="s">
        <v>122</v>
      </c>
    </row>
    <row r="181" spans="2:17" x14ac:dyDescent="0.25">
      <c r="C181" t="s">
        <v>97</v>
      </c>
      <c r="I181" t="s">
        <v>126</v>
      </c>
      <c r="K181" s="20">
        <f>K187/K177*K174</f>
        <v>46.056782334384856</v>
      </c>
      <c r="L181" s="20">
        <f t="shared" ref="L181" si="99">L187/L177*L174</f>
        <v>45.221238938053105</v>
      </c>
      <c r="M181" s="61">
        <f>Assumptions!L52</f>
        <v>40</v>
      </c>
      <c r="N181" s="61">
        <f>Assumptions!M52</f>
        <v>40</v>
      </c>
      <c r="O181" s="61">
        <f>Assumptions!N52</f>
        <v>40</v>
      </c>
      <c r="P181" s="61">
        <f>Assumptions!O52</f>
        <v>40</v>
      </c>
      <c r="Q181" s="61">
        <f>Assumptions!P52</f>
        <v>40</v>
      </c>
    </row>
    <row r="182" spans="2:17" x14ac:dyDescent="0.25">
      <c r="C182" t="s">
        <v>123</v>
      </c>
      <c r="I182" t="s">
        <v>126</v>
      </c>
      <c r="K182" s="20">
        <f>K188/K178*K174</f>
        <v>529.38931297709928</v>
      </c>
      <c r="L182" s="20">
        <f t="shared" ref="L182" si="100">L188/L178*L174</f>
        <v>536.62251655629143</v>
      </c>
      <c r="M182" s="61">
        <f>Assumptions!L53</f>
        <v>530</v>
      </c>
      <c r="N182" s="61">
        <f>Assumptions!M53</f>
        <v>530</v>
      </c>
      <c r="O182" s="61">
        <f>Assumptions!N53</f>
        <v>530</v>
      </c>
      <c r="P182" s="61">
        <f>Assumptions!O53</f>
        <v>530</v>
      </c>
      <c r="Q182" s="61">
        <f>Assumptions!P53</f>
        <v>530</v>
      </c>
    </row>
    <row r="183" spans="2:17" x14ac:dyDescent="0.25">
      <c r="C183" t="s">
        <v>99</v>
      </c>
      <c r="I183" t="s">
        <v>126</v>
      </c>
      <c r="K183" s="20">
        <f>K189/K177*K174</f>
        <v>5.2274447949526817</v>
      </c>
      <c r="L183" s="20">
        <f t="shared" ref="L183" si="101">L189/L177*L174</f>
        <v>3.2193215339233041</v>
      </c>
      <c r="M183" s="61">
        <f>Assumptions!L54</f>
        <v>4</v>
      </c>
      <c r="N183" s="61">
        <f>Assumptions!M54</f>
        <v>4</v>
      </c>
      <c r="O183" s="61">
        <f>Assumptions!N54</f>
        <v>4</v>
      </c>
      <c r="P183" s="61">
        <f>Assumptions!O54</f>
        <v>4</v>
      </c>
      <c r="Q183" s="61">
        <f>Assumptions!P54</f>
        <v>4</v>
      </c>
    </row>
    <row r="184" spans="2:17" x14ac:dyDescent="0.25">
      <c r="C184" t="s">
        <v>106</v>
      </c>
      <c r="I184" t="s">
        <v>126</v>
      </c>
      <c r="K184" s="20">
        <f>K192/K178*K174</f>
        <v>111.45038167938931</v>
      </c>
      <c r="L184" s="20">
        <f t="shared" ref="L184" si="102">L192/L178*L174</f>
        <v>96.688741721854313</v>
      </c>
      <c r="M184" s="61">
        <f>Assumptions!L55</f>
        <v>65</v>
      </c>
      <c r="N184" s="61">
        <f>Assumptions!M55</f>
        <v>65</v>
      </c>
      <c r="O184" s="61">
        <f>Assumptions!N55</f>
        <v>65</v>
      </c>
      <c r="P184" s="61">
        <f>Assumptions!O55</f>
        <v>65</v>
      </c>
      <c r="Q184" s="61">
        <f>Assumptions!P55</f>
        <v>65</v>
      </c>
    </row>
    <row r="186" spans="2:17" x14ac:dyDescent="0.25">
      <c r="B186" s="19" t="s">
        <v>124</v>
      </c>
    </row>
    <row r="187" spans="2:17" x14ac:dyDescent="0.25">
      <c r="C187" t="s">
        <v>97</v>
      </c>
      <c r="K187" s="20">
        <f t="shared" ref="K187:L189" si="103">K131</f>
        <v>4</v>
      </c>
      <c r="L187" s="20">
        <f t="shared" si="103"/>
        <v>4.2</v>
      </c>
      <c r="M187" s="20">
        <f>M177/M$174*M181</f>
        <v>4.2494287565276618</v>
      </c>
      <c r="N187" s="20">
        <f t="shared" ref="N187:Q187" si="104">N177/N$174*N181</f>
        <v>4.5103226931002629</v>
      </c>
      <c r="O187" s="20">
        <f t="shared" si="104"/>
        <v>4.8128455904236569</v>
      </c>
      <c r="P187" s="20">
        <f t="shared" si="104"/>
        <v>5.1209081022904588</v>
      </c>
      <c r="Q187" s="20">
        <f t="shared" si="104"/>
        <v>5.4478993174850343</v>
      </c>
    </row>
    <row r="188" spans="2:17" x14ac:dyDescent="0.25">
      <c r="C188" t="s">
        <v>123</v>
      </c>
      <c r="K188" s="20">
        <f t="shared" si="103"/>
        <v>19</v>
      </c>
      <c r="L188" s="20">
        <f t="shared" si="103"/>
        <v>22.2</v>
      </c>
      <c r="M188" s="20">
        <f t="shared" ref="M188:Q188" si="105">M178/M$174*M182</f>
        <v>22.364547945205484</v>
      </c>
      <c r="N188" s="20">
        <f t="shared" si="105"/>
        <v>22.74951147540984</v>
      </c>
      <c r="O188" s="20">
        <f t="shared" si="105"/>
        <v>23.268075682191782</v>
      </c>
      <c r="P188" s="20">
        <f t="shared" si="105"/>
        <v>23.73343719583562</v>
      </c>
      <c r="Q188" s="20">
        <f t="shared" si="105"/>
        <v>24.208105939752329</v>
      </c>
    </row>
    <row r="189" spans="2:17" x14ac:dyDescent="0.25">
      <c r="C189" t="s">
        <v>99</v>
      </c>
      <c r="K189" s="20">
        <f t="shared" si="103"/>
        <v>0.45400000000000001</v>
      </c>
      <c r="L189" s="20">
        <f t="shared" si="103"/>
        <v>0.29899999999999999</v>
      </c>
      <c r="M189" s="20">
        <f>M178/M$174*M183</f>
        <v>0.16878904109589044</v>
      </c>
      <c r="N189" s="20">
        <f t="shared" ref="N189:Q189" si="106">N178/N$174*N183</f>
        <v>0.17169442622950823</v>
      </c>
      <c r="O189" s="20">
        <f t="shared" si="106"/>
        <v>0.17560811835616438</v>
      </c>
      <c r="P189" s="20">
        <f t="shared" si="106"/>
        <v>0.1791202807232877</v>
      </c>
      <c r="Q189" s="20">
        <f t="shared" si="106"/>
        <v>0.18270268633775344</v>
      </c>
    </row>
    <row r="190" spans="2:17" x14ac:dyDescent="0.25">
      <c r="C190" t="s">
        <v>186</v>
      </c>
      <c r="K190" s="20"/>
      <c r="L190" s="20"/>
      <c r="M190" s="20"/>
      <c r="N190" s="20"/>
      <c r="O190" s="20"/>
      <c r="P190" s="20"/>
      <c r="Q190" s="20"/>
    </row>
    <row r="191" spans="2:17" x14ac:dyDescent="0.25">
      <c r="C191" t="s">
        <v>187</v>
      </c>
      <c r="K191" s="20"/>
      <c r="L191" s="20"/>
      <c r="M191" s="20"/>
      <c r="N191" s="20"/>
      <c r="O191" s="20"/>
      <c r="P191" s="20"/>
      <c r="Q191" s="20"/>
    </row>
    <row r="192" spans="2:17" x14ac:dyDescent="0.25">
      <c r="C192" t="s">
        <v>106</v>
      </c>
      <c r="K192" s="33">
        <f>K148</f>
        <v>4</v>
      </c>
      <c r="L192" s="33">
        <f>L148</f>
        <v>4</v>
      </c>
      <c r="M192" s="33">
        <f>M178/M$174*M184</f>
        <v>2.7428219178082194</v>
      </c>
      <c r="N192" s="33">
        <f t="shared" ref="N192:Q192" si="107">N178/N$174*N184</f>
        <v>2.7900344262295089</v>
      </c>
      <c r="O192" s="33">
        <f t="shared" si="107"/>
        <v>2.8536319232876712</v>
      </c>
      <c r="P192" s="33">
        <f t="shared" si="107"/>
        <v>2.9107045617534251</v>
      </c>
      <c r="Q192" s="33">
        <f t="shared" si="107"/>
        <v>2.9689186529884934</v>
      </c>
    </row>
    <row r="193" spans="1:17" x14ac:dyDescent="0.25">
      <c r="C193" s="19" t="s">
        <v>159</v>
      </c>
      <c r="K193" s="20">
        <f>K187+K188+K189-K192</f>
        <v>19.454000000000001</v>
      </c>
      <c r="L193" s="20">
        <f t="shared" ref="L193:Q193" si="108">L187+L188+L189-L192</f>
        <v>22.698999999999998</v>
      </c>
      <c r="M193" s="20">
        <f t="shared" si="108"/>
        <v>24.039943825020817</v>
      </c>
      <c r="N193" s="20">
        <f t="shared" si="108"/>
        <v>24.6414941685101</v>
      </c>
      <c r="O193" s="20">
        <f t="shared" si="108"/>
        <v>25.402897467683928</v>
      </c>
      <c r="P193" s="20">
        <f t="shared" si="108"/>
        <v>26.122761017095939</v>
      </c>
      <c r="Q193" s="20">
        <f t="shared" si="108"/>
        <v>26.869789290586624</v>
      </c>
    </row>
    <row r="194" spans="1:17" x14ac:dyDescent="0.25">
      <c r="A194" t="s">
        <v>160</v>
      </c>
      <c r="C194" s="19"/>
      <c r="K194" s="20"/>
      <c r="L194" s="20"/>
      <c r="M194" s="20"/>
      <c r="N194" s="20"/>
      <c r="O194" s="20"/>
      <c r="P194" s="20"/>
      <c r="Q194" s="20"/>
    </row>
    <row r="195" spans="1:17" ht="15.75" thickBot="1" x14ac:dyDescent="0.3">
      <c r="C195" s="19" t="s">
        <v>161</v>
      </c>
      <c r="K195" s="20"/>
      <c r="L195" s="76">
        <f>L193-K193</f>
        <v>3.2449999999999974</v>
      </c>
      <c r="M195" s="76">
        <f t="shared" ref="M195:Q195" si="109">M193-L193</f>
        <v>1.340943825020819</v>
      </c>
      <c r="N195" s="76">
        <f t="shared" si="109"/>
        <v>0.60155034348928282</v>
      </c>
      <c r="O195" s="76">
        <f t="shared" si="109"/>
        <v>0.76140329917382843</v>
      </c>
      <c r="P195" s="76">
        <f t="shared" si="109"/>
        <v>0.71986354941201114</v>
      </c>
      <c r="Q195" s="76">
        <f t="shared" si="109"/>
        <v>0.74702827349068457</v>
      </c>
    </row>
    <row r="196" spans="1:17" ht="15.75" thickTop="1" x14ac:dyDescent="0.25"/>
    <row r="198" spans="1:17" ht="15.75" thickBot="1" x14ac:dyDescent="0.3">
      <c r="A198" s="3"/>
      <c r="B198" s="54" t="s">
        <v>127</v>
      </c>
      <c r="C198" s="3"/>
      <c r="D198" s="3"/>
      <c r="E198" s="3"/>
      <c r="F198" s="3"/>
      <c r="G198" s="3"/>
      <c r="H198" s="3"/>
      <c r="I198" s="3"/>
      <c r="J198" s="3"/>
      <c r="K198" s="3"/>
      <c r="L198" s="3"/>
      <c r="M198" s="55" t="s">
        <v>41</v>
      </c>
      <c r="N198" s="56"/>
      <c r="O198" s="56"/>
      <c r="P198" s="56"/>
      <c r="Q198" s="56"/>
    </row>
    <row r="200" spans="1:17" x14ac:dyDescent="0.25">
      <c r="B200" s="72" t="s">
        <v>64</v>
      </c>
      <c r="J200" s="9">
        <v>2020</v>
      </c>
      <c r="K200" s="9">
        <v>2021</v>
      </c>
      <c r="L200" s="9">
        <v>2022</v>
      </c>
      <c r="M200">
        <v>2023</v>
      </c>
      <c r="N200">
        <v>2024</v>
      </c>
      <c r="O200">
        <v>2025</v>
      </c>
      <c r="P200">
        <v>2026</v>
      </c>
      <c r="Q200">
        <v>2027</v>
      </c>
    </row>
    <row r="203" spans="1:17" x14ac:dyDescent="0.25">
      <c r="B203" s="68" t="s">
        <v>128</v>
      </c>
      <c r="C203" s="69"/>
      <c r="D203" s="69"/>
      <c r="E203" s="69"/>
      <c r="F203" s="69"/>
      <c r="G203" s="107">
        <f>Assumptions!K47</f>
        <v>10</v>
      </c>
    </row>
    <row r="204" spans="1:17" x14ac:dyDescent="0.25">
      <c r="B204" s="71" t="s">
        <v>129</v>
      </c>
      <c r="C204" s="66"/>
      <c r="D204" s="66"/>
      <c r="E204" s="66"/>
      <c r="F204" s="66"/>
      <c r="G204" s="108">
        <f>Assumptions!K48</f>
        <v>20</v>
      </c>
    </row>
    <row r="206" spans="1:17" x14ac:dyDescent="0.25">
      <c r="C206" t="s">
        <v>130</v>
      </c>
      <c r="M206" s="105">
        <f>L137/G203</f>
        <v>5.3460000000000001</v>
      </c>
      <c r="N206" s="105">
        <f>M206</f>
        <v>5.3460000000000001</v>
      </c>
      <c r="O206" s="105">
        <f t="shared" ref="O206:Q206" si="110">N206</f>
        <v>5.3460000000000001</v>
      </c>
      <c r="P206" s="105">
        <f t="shared" si="110"/>
        <v>5.3460000000000001</v>
      </c>
      <c r="Q206" s="105">
        <f t="shared" si="110"/>
        <v>5.3460000000000001</v>
      </c>
    </row>
    <row r="208" spans="1:17" x14ac:dyDescent="0.25">
      <c r="D208" s="19" t="s">
        <v>83</v>
      </c>
    </row>
    <row r="209" spans="1:18" x14ac:dyDescent="0.25">
      <c r="D209" s="68">
        <f>M200</f>
        <v>2023</v>
      </c>
      <c r="E209" s="31">
        <f>-HLOOKUP($D209,$M$89:Q103,ROWS($M$89:$M$103),0)</f>
        <v>15</v>
      </c>
      <c r="M209" s="105">
        <f>IF(M$200=$D209,$E209/$G$204/2,$E209/$G$204)</f>
        <v>0.375</v>
      </c>
      <c r="N209" s="105">
        <f t="shared" ref="N209:Q213" si="111">IF(N$200=$D209,$E209/$G$204/2,$E209/$G$204)</f>
        <v>0.75</v>
      </c>
      <c r="O209" s="105">
        <f t="shared" si="111"/>
        <v>0.75</v>
      </c>
      <c r="P209" s="105">
        <f t="shared" si="111"/>
        <v>0.75</v>
      </c>
      <c r="Q209" s="105">
        <f t="shared" si="111"/>
        <v>0.75</v>
      </c>
    </row>
    <row r="210" spans="1:18" x14ac:dyDescent="0.25">
      <c r="D210" s="103">
        <f>D209+1</f>
        <v>2024</v>
      </c>
      <c r="E210" s="32">
        <f>-HLOOKUP($D210,$M$89:Q103,ROWS($M$89:$M$103),0)</f>
        <v>15</v>
      </c>
      <c r="M210" s="105"/>
      <c r="N210" s="105">
        <f t="shared" si="111"/>
        <v>0.375</v>
      </c>
      <c r="O210" s="105">
        <f t="shared" si="111"/>
        <v>0.75</v>
      </c>
      <c r="P210" s="105">
        <f t="shared" si="111"/>
        <v>0.75</v>
      </c>
      <c r="Q210" s="105">
        <f t="shared" si="111"/>
        <v>0.75</v>
      </c>
    </row>
    <row r="211" spans="1:18" x14ac:dyDescent="0.25">
      <c r="D211" s="103">
        <f>D210+1</f>
        <v>2025</v>
      </c>
      <c r="E211" s="32">
        <f>-HLOOKUP($D211,$M$89:Q104,ROWS($M$89:$M$103),0)</f>
        <v>15</v>
      </c>
      <c r="M211" s="105"/>
      <c r="N211" s="105"/>
      <c r="O211" s="105">
        <f t="shared" si="111"/>
        <v>0.375</v>
      </c>
      <c r="P211" s="105">
        <f t="shared" si="111"/>
        <v>0.75</v>
      </c>
      <c r="Q211" s="105">
        <f t="shared" si="111"/>
        <v>0.75</v>
      </c>
    </row>
    <row r="212" spans="1:18" x14ac:dyDescent="0.25">
      <c r="D212" s="103">
        <f>D211+1</f>
        <v>2026</v>
      </c>
      <c r="E212" s="32">
        <f>-HLOOKUP($D212,$M$89:Q105,ROWS($M$89:$M$103),0)</f>
        <v>8</v>
      </c>
      <c r="M212" s="105"/>
      <c r="N212" s="105"/>
      <c r="O212" s="105"/>
      <c r="P212" s="105">
        <f t="shared" si="111"/>
        <v>0.2</v>
      </c>
      <c r="Q212" s="105">
        <f t="shared" si="111"/>
        <v>0.4</v>
      </c>
    </row>
    <row r="213" spans="1:18" x14ac:dyDescent="0.25">
      <c r="D213" s="71">
        <f>D212+1</f>
        <v>2027</v>
      </c>
      <c r="E213" s="34">
        <f>-HLOOKUP($D213,$M$89:Q106,ROWS($M$89:$M$103),0)</f>
        <v>5</v>
      </c>
      <c r="M213" s="105"/>
      <c r="N213" s="105"/>
      <c r="O213" s="105"/>
      <c r="P213" s="105"/>
      <c r="Q213" s="105">
        <f t="shared" si="111"/>
        <v>0.125</v>
      </c>
    </row>
    <row r="214" spans="1:18" x14ac:dyDescent="0.25">
      <c r="C214" s="19" t="s">
        <v>178</v>
      </c>
      <c r="E214" s="20">
        <f>SUM(E209:E213)</f>
        <v>58</v>
      </c>
    </row>
    <row r="215" spans="1:18" ht="15.75" thickBot="1" x14ac:dyDescent="0.3">
      <c r="C215" s="19"/>
      <c r="J215" s="73"/>
      <c r="K215" s="73"/>
      <c r="L215" s="73"/>
      <c r="M215" s="106">
        <f>SUM(M206:M214)</f>
        <v>5.7210000000000001</v>
      </c>
      <c r="N215" s="106">
        <f t="shared" ref="N215:Q215" si="112">SUM(N206:N214)</f>
        <v>6.4710000000000001</v>
      </c>
      <c r="O215" s="106">
        <f t="shared" si="112"/>
        <v>7.2210000000000001</v>
      </c>
      <c r="P215" s="106">
        <f t="shared" si="112"/>
        <v>7.7960000000000003</v>
      </c>
      <c r="Q215" s="106">
        <f t="shared" si="112"/>
        <v>8.1210000000000004</v>
      </c>
    </row>
    <row r="216" spans="1:18" ht="15.75" thickTop="1" x14ac:dyDescent="0.25">
      <c r="C216" s="147" t="s">
        <v>177</v>
      </c>
      <c r="D216" s="66"/>
      <c r="E216" s="66"/>
      <c r="F216" s="66"/>
      <c r="G216" s="66"/>
      <c r="H216" s="66"/>
      <c r="I216" s="66"/>
      <c r="J216" s="66"/>
      <c r="K216" s="66"/>
      <c r="L216" s="192">
        <f>L70</f>
        <v>2.2999999999999998</v>
      </c>
      <c r="M216" s="33">
        <f>$L$216</f>
        <v>2.2999999999999998</v>
      </c>
      <c r="N216" s="33">
        <f t="shared" ref="N216:Q216" si="113">$L$216</f>
        <v>2.2999999999999998</v>
      </c>
      <c r="O216" s="33">
        <f t="shared" si="113"/>
        <v>2.2999999999999998</v>
      </c>
      <c r="P216" s="33">
        <f t="shared" si="113"/>
        <v>2.2999999999999998</v>
      </c>
      <c r="Q216" s="33">
        <f t="shared" si="113"/>
        <v>2.2999999999999998</v>
      </c>
      <c r="R216" s="92"/>
    </row>
    <row r="217" spans="1:18" x14ac:dyDescent="0.25">
      <c r="C217" s="19" t="s">
        <v>131</v>
      </c>
      <c r="L217" s="20">
        <f>L216</f>
        <v>2.2999999999999998</v>
      </c>
      <c r="M217" s="135">
        <f>M215+M216</f>
        <v>8.0210000000000008</v>
      </c>
      <c r="N217" s="135">
        <f t="shared" ref="N217:Q217" si="114">N215+N216</f>
        <v>8.7710000000000008</v>
      </c>
      <c r="O217" s="135">
        <f t="shared" si="114"/>
        <v>9.5210000000000008</v>
      </c>
      <c r="P217" s="135">
        <f t="shared" si="114"/>
        <v>10.096</v>
      </c>
      <c r="Q217" s="135">
        <f t="shared" si="114"/>
        <v>10.420999999999999</v>
      </c>
    </row>
    <row r="220" spans="1:18" ht="15.75" thickBot="1" x14ac:dyDescent="0.3">
      <c r="A220" s="3"/>
      <c r="B220" s="54" t="s">
        <v>132</v>
      </c>
      <c r="C220" s="3"/>
      <c r="D220" s="3"/>
      <c r="E220" s="3"/>
      <c r="F220" s="3"/>
      <c r="G220" s="3"/>
      <c r="H220" s="3"/>
      <c r="I220" s="3"/>
      <c r="J220" s="3"/>
      <c r="K220" s="3"/>
      <c r="L220" s="3"/>
      <c r="M220" s="55" t="s">
        <v>41</v>
      </c>
      <c r="N220" s="56"/>
      <c r="O220" s="56"/>
      <c r="P220" s="56"/>
      <c r="Q220" s="56"/>
    </row>
    <row r="221" spans="1:18" x14ac:dyDescent="0.25">
      <c r="B221" s="72" t="s">
        <v>64</v>
      </c>
    </row>
    <row r="222" spans="1:18" x14ac:dyDescent="0.25">
      <c r="J222" s="9"/>
      <c r="K222" s="9"/>
      <c r="L222" s="9"/>
      <c r="M222">
        <v>2023</v>
      </c>
      <c r="N222">
        <v>2024</v>
      </c>
      <c r="O222">
        <v>2025</v>
      </c>
      <c r="P222">
        <v>2026</v>
      </c>
      <c r="Q222">
        <v>2027</v>
      </c>
    </row>
    <row r="224" spans="1:18" x14ac:dyDescent="0.25">
      <c r="B224" s="29" t="s">
        <v>133</v>
      </c>
      <c r="C224" s="30"/>
      <c r="D224" s="109">
        <f>Assumptions!L64</f>
        <v>0.15</v>
      </c>
    </row>
    <row r="226" spans="2:17" x14ac:dyDescent="0.25">
      <c r="B226" s="19" t="s">
        <v>134</v>
      </c>
      <c r="G226" s="19" t="s">
        <v>135</v>
      </c>
      <c r="M226" s="77">
        <f>M74</f>
        <v>-8.1590625966850858</v>
      </c>
      <c r="N226" s="77">
        <f ca="1">N74</f>
        <v>-6.9195199519542161</v>
      </c>
      <c r="O226" s="77">
        <f ca="1">O74</f>
        <v>-5.9021246372758007</v>
      </c>
      <c r="P226" s="77">
        <f ca="1">P74</f>
        <v>-4.7889768606167644</v>
      </c>
      <c r="Q226" s="77">
        <f ca="1">Q74</f>
        <v>-2.8442769233118739</v>
      </c>
    </row>
    <row r="228" spans="2:17" ht="5.0999999999999996" customHeight="1" x14ac:dyDescent="0.25"/>
    <row r="229" spans="2:17" x14ac:dyDescent="0.25">
      <c r="C229" t="s">
        <v>136</v>
      </c>
      <c r="M229" s="110">
        <f>Assumptions!L65</f>
        <v>1</v>
      </c>
      <c r="N229" s="110">
        <f>Assumptions!M65</f>
        <v>1</v>
      </c>
      <c r="O229" s="110">
        <f>Assumptions!N65</f>
        <v>1</v>
      </c>
      <c r="P229" s="110">
        <f>Assumptions!O65</f>
        <v>1</v>
      </c>
      <c r="Q229" s="110">
        <f>Assumptions!P65</f>
        <v>1</v>
      </c>
    </row>
    <row r="230" spans="2:17" ht="3" customHeight="1" x14ac:dyDescent="0.25"/>
    <row r="231" spans="2:17" x14ac:dyDescent="0.25">
      <c r="B231" s="19" t="s">
        <v>137</v>
      </c>
      <c r="G231" s="19" t="s">
        <v>138</v>
      </c>
      <c r="M231" s="85">
        <f>M226-M229</f>
        <v>-9.1590625966850858</v>
      </c>
      <c r="N231" s="85">
        <f t="shared" ref="N231:Q231" ca="1" si="115">N226-N229</f>
        <v>-7.9195199519542161</v>
      </c>
      <c r="O231" s="85">
        <f t="shared" ca="1" si="115"/>
        <v>-6.9021246372758007</v>
      </c>
      <c r="P231" s="85">
        <f t="shared" ca="1" si="115"/>
        <v>-5.7889768606167644</v>
      </c>
      <c r="Q231" s="85">
        <f t="shared" ca="1" si="115"/>
        <v>-3.8442769233118739</v>
      </c>
    </row>
    <row r="234" spans="2:17" x14ac:dyDescent="0.25">
      <c r="C234" t="s">
        <v>139</v>
      </c>
      <c r="M234" s="77">
        <f>M$226*$D$224</f>
        <v>-1.2238593895027627</v>
      </c>
      <c r="N234" s="77">
        <f t="shared" ref="N234:Q234" ca="1" si="116">N$226*$D$224</f>
        <v>-1.0379279927931324</v>
      </c>
      <c r="O234" s="77">
        <f t="shared" ca="1" si="116"/>
        <v>-0.88531869559137011</v>
      </c>
      <c r="P234" s="77">
        <f t="shared" ca="1" si="116"/>
        <v>-0.71834652909251462</v>
      </c>
      <c r="Q234" s="77">
        <f t="shared" ca="1" si="116"/>
        <v>-0.42664153849678105</v>
      </c>
    </row>
    <row r="236" spans="2:17" x14ac:dyDescent="0.25">
      <c r="C236" s="112" t="s">
        <v>140</v>
      </c>
      <c r="D236" s="69"/>
      <c r="E236" s="69"/>
      <c r="F236" s="69"/>
      <c r="G236" s="69"/>
      <c r="H236" s="69"/>
      <c r="I236" s="69"/>
      <c r="J236" s="69"/>
      <c r="K236" s="69"/>
      <c r="L236" s="69"/>
      <c r="M236" s="69"/>
      <c r="N236" s="69"/>
      <c r="O236" s="69"/>
      <c r="P236" s="69"/>
      <c r="Q236" s="70"/>
    </row>
    <row r="237" spans="2:17" x14ac:dyDescent="0.25">
      <c r="C237" s="103" t="s">
        <v>141</v>
      </c>
      <c r="M237" s="113">
        <f>M$231*$D$224</f>
        <v>-1.3738593895027629</v>
      </c>
      <c r="N237" s="113">
        <f t="shared" ref="N237:Q237" ca="1" si="117">N$231*$D$224</f>
        <v>-1.1879279927931323</v>
      </c>
      <c r="O237" s="113">
        <f t="shared" ca="1" si="117"/>
        <v>-1.03531869559137</v>
      </c>
      <c r="P237" s="113">
        <f t="shared" ca="1" si="117"/>
        <v>-0.86834652909251464</v>
      </c>
      <c r="Q237" s="114">
        <f t="shared" ca="1" si="117"/>
        <v>-0.57664153849678101</v>
      </c>
    </row>
    <row r="238" spans="2:17" x14ac:dyDescent="0.25">
      <c r="C238" s="103" t="s">
        <v>142</v>
      </c>
      <c r="M238" s="111">
        <f>M234-M237</f>
        <v>0.15000000000000013</v>
      </c>
      <c r="N238" s="111">
        <f t="shared" ref="N238:Q238" ca="1" si="118">N234-N237</f>
        <v>0.14999999999999991</v>
      </c>
      <c r="O238" s="111">
        <f t="shared" ca="1" si="118"/>
        <v>0.14999999999999991</v>
      </c>
      <c r="P238" s="111">
        <f t="shared" ca="1" si="118"/>
        <v>0.15000000000000002</v>
      </c>
      <c r="Q238" s="115">
        <f t="shared" ca="1" si="118"/>
        <v>0.14999999999999997</v>
      </c>
    </row>
    <row r="239" spans="2:17" x14ac:dyDescent="0.25">
      <c r="C239" s="71" t="s">
        <v>143</v>
      </c>
      <c r="D239" s="66"/>
      <c r="E239" s="66"/>
      <c r="F239" s="66"/>
      <c r="G239" s="66"/>
      <c r="H239" s="66"/>
      <c r="I239" s="66"/>
      <c r="J239" s="66"/>
      <c r="K239" s="66"/>
      <c r="L239" s="66"/>
      <c r="M239" s="116">
        <f>SUM(M237:M238)</f>
        <v>-1.2238593895027627</v>
      </c>
      <c r="N239" s="116">
        <f t="shared" ref="N239:Q239" ca="1" si="119">SUM(N237:N238)</f>
        <v>-1.0379279927931324</v>
      </c>
      <c r="O239" s="116">
        <f t="shared" ca="1" si="119"/>
        <v>-0.88531869559137011</v>
      </c>
      <c r="P239" s="116">
        <f t="shared" ca="1" si="119"/>
        <v>-0.71834652909251462</v>
      </c>
      <c r="Q239" s="117">
        <f t="shared" ca="1" si="119"/>
        <v>-0.42664153849678105</v>
      </c>
    </row>
    <row r="243" spans="1:17" ht="15.75" thickBot="1" x14ac:dyDescent="0.3">
      <c r="A243" s="3"/>
      <c r="B243" s="54" t="s">
        <v>144</v>
      </c>
      <c r="C243" s="3"/>
      <c r="D243" s="3"/>
      <c r="E243" s="3"/>
      <c r="F243" s="3"/>
      <c r="G243" s="3"/>
      <c r="H243" s="3"/>
      <c r="I243" s="3"/>
      <c r="J243" s="3"/>
      <c r="K243" s="3"/>
      <c r="L243" s="3"/>
      <c r="M243" s="55" t="s">
        <v>41</v>
      </c>
      <c r="N243" s="56"/>
      <c r="O243" s="56"/>
      <c r="P243" s="56"/>
      <c r="Q243" s="56"/>
    </row>
    <row r="245" spans="1:17" x14ac:dyDescent="0.25">
      <c r="B245" s="72" t="s">
        <v>64</v>
      </c>
      <c r="J245" s="9">
        <v>2020</v>
      </c>
      <c r="K245" s="9">
        <v>2021</v>
      </c>
      <c r="L245" s="9">
        <v>2022</v>
      </c>
      <c r="M245">
        <v>2023</v>
      </c>
      <c r="N245">
        <v>2024</v>
      </c>
      <c r="O245">
        <v>2025</v>
      </c>
      <c r="P245">
        <v>2026</v>
      </c>
      <c r="Q245">
        <v>2027</v>
      </c>
    </row>
    <row r="247" spans="1:17" x14ac:dyDescent="0.25">
      <c r="B247" s="118" t="s">
        <v>145</v>
      </c>
      <c r="C247" s="102"/>
      <c r="D247" s="102"/>
    </row>
    <row r="248" spans="1:17" x14ac:dyDescent="0.25">
      <c r="B248" s="102"/>
      <c r="C248" s="102"/>
      <c r="D248" s="102"/>
    </row>
    <row r="249" spans="1:17" x14ac:dyDescent="0.25">
      <c r="B249" s="102"/>
      <c r="C249" s="118" t="s">
        <v>96</v>
      </c>
      <c r="D249" s="102"/>
    </row>
    <row r="250" spans="1:17" x14ac:dyDescent="0.25">
      <c r="B250" s="102"/>
      <c r="C250" s="102"/>
      <c r="D250" s="102" t="s">
        <v>146</v>
      </c>
      <c r="L250">
        <f>K252</f>
        <v>44.7</v>
      </c>
      <c r="M250">
        <f>L252</f>
        <v>26.200000000000003</v>
      </c>
      <c r="N250" s="77">
        <f t="shared" ref="N250:Q250" ca="1" si="120">M252</f>
        <v>7.9107406178384991</v>
      </c>
      <c r="O250" s="77">
        <f t="shared" ca="1" si="120"/>
        <v>0</v>
      </c>
      <c r="P250" s="77">
        <f t="shared" ca="1" si="120"/>
        <v>0</v>
      </c>
      <c r="Q250" s="77">
        <f t="shared" ca="1" si="120"/>
        <v>0</v>
      </c>
    </row>
    <row r="251" spans="1:17" x14ac:dyDescent="0.25">
      <c r="B251" s="102"/>
      <c r="C251" s="102"/>
      <c r="D251" s="102" t="s">
        <v>147</v>
      </c>
      <c r="K251" s="66"/>
      <c r="L251" s="111">
        <f t="shared" ref="L251:Q251" si="121">L115</f>
        <v>-18.5</v>
      </c>
      <c r="M251" s="111">
        <f t="shared" ca="1" si="121"/>
        <v>-18.289259382161504</v>
      </c>
      <c r="N251" s="111">
        <f t="shared" ca="1" si="121"/>
        <v>-7.9107406178385</v>
      </c>
      <c r="O251" s="111">
        <f t="shared" ca="1" si="121"/>
        <v>0</v>
      </c>
      <c r="P251" s="111">
        <f t="shared" ca="1" si="121"/>
        <v>0</v>
      </c>
      <c r="Q251" s="111">
        <f t="shared" ca="1" si="121"/>
        <v>3.4278357929906633E-11</v>
      </c>
    </row>
    <row r="252" spans="1:17" x14ac:dyDescent="0.25">
      <c r="B252" s="102"/>
      <c r="C252" s="102"/>
      <c r="D252" s="102" t="s">
        <v>148</v>
      </c>
      <c r="K252">
        <f>K130</f>
        <v>44.7</v>
      </c>
      <c r="L252" s="20">
        <f>SUM(L250:L251)</f>
        <v>26.200000000000003</v>
      </c>
      <c r="M252" s="20">
        <f t="shared" ref="M252:Q252" ca="1" si="122">SUM(M250:M251)</f>
        <v>7.9107406178384991</v>
      </c>
      <c r="N252" s="77">
        <f t="shared" ca="1" si="122"/>
        <v>0</v>
      </c>
      <c r="O252" s="77">
        <f t="shared" ca="1" si="122"/>
        <v>0</v>
      </c>
      <c r="P252" s="77">
        <f t="shared" ca="1" si="122"/>
        <v>0</v>
      </c>
      <c r="Q252" s="77">
        <f t="shared" ca="1" si="122"/>
        <v>3.4278357929906633E-11</v>
      </c>
    </row>
    <row r="253" spans="1:17" x14ac:dyDescent="0.25">
      <c r="B253" s="102"/>
      <c r="C253" s="102"/>
      <c r="D253" s="102"/>
    </row>
    <row r="254" spans="1:17" x14ac:dyDescent="0.25">
      <c r="B254" s="102"/>
      <c r="C254" s="102"/>
      <c r="D254" s="102" t="s">
        <v>149</v>
      </c>
      <c r="L254" s="65">
        <f>Assumptions!L74</f>
        <v>0.01</v>
      </c>
      <c r="M254" s="11">
        <f>L254</f>
        <v>0.01</v>
      </c>
      <c r="N254" s="11">
        <f t="shared" ref="N254:Q254" si="123">M254</f>
        <v>0.01</v>
      </c>
      <c r="O254" s="11">
        <f t="shared" si="123"/>
        <v>0.01</v>
      </c>
      <c r="P254" s="11">
        <f t="shared" si="123"/>
        <v>0.01</v>
      </c>
      <c r="Q254" s="11">
        <f t="shared" si="123"/>
        <v>0.01</v>
      </c>
    </row>
    <row r="255" spans="1:17" x14ac:dyDescent="0.25">
      <c r="B255" s="102"/>
      <c r="C255" s="102"/>
      <c r="D255" s="118" t="s">
        <v>150</v>
      </c>
      <c r="L255" s="158">
        <f>L250*L254</f>
        <v>0.44700000000000006</v>
      </c>
      <c r="M255" s="158">
        <f t="shared" ref="M255:Q255" si="124">M250*M254</f>
        <v>0.26200000000000001</v>
      </c>
      <c r="N255" s="158">
        <f t="shared" ca="1" si="124"/>
        <v>7.9107406178384992E-2</v>
      </c>
      <c r="O255" s="157">
        <f t="shared" ca="1" si="124"/>
        <v>0</v>
      </c>
      <c r="P255" s="157">
        <f t="shared" ca="1" si="124"/>
        <v>0</v>
      </c>
      <c r="Q255" s="157">
        <f t="shared" ca="1" si="124"/>
        <v>0</v>
      </c>
    </row>
    <row r="256" spans="1:17" x14ac:dyDescent="0.25">
      <c r="B256" s="102"/>
      <c r="C256" s="102"/>
      <c r="D256" s="102"/>
    </row>
    <row r="257" spans="2:17" x14ac:dyDescent="0.25">
      <c r="B257" s="102"/>
      <c r="C257" s="102"/>
      <c r="D257" s="102"/>
    </row>
    <row r="258" spans="2:17" x14ac:dyDescent="0.25">
      <c r="B258" s="102"/>
      <c r="C258" s="118" t="s">
        <v>28</v>
      </c>
      <c r="D258" s="102"/>
    </row>
    <row r="259" spans="2:17" x14ac:dyDescent="0.25">
      <c r="B259" s="118"/>
      <c r="C259" s="102"/>
      <c r="D259" s="102" t="s">
        <v>81</v>
      </c>
      <c r="M259" s="77">
        <f>M98</f>
        <v>2.5767406178384968</v>
      </c>
      <c r="N259" s="77">
        <f ca="1">N98</f>
        <v>3.6409583843282003</v>
      </c>
      <c r="O259" s="77">
        <f ca="1">O98</f>
        <v>5.4155973574893981</v>
      </c>
      <c r="P259" s="77">
        <f ca="1">P98</f>
        <v>6.8952332178877622</v>
      </c>
      <c r="Q259" s="77">
        <f ca="1">Q98</f>
        <v>8.9003928886755919</v>
      </c>
    </row>
    <row r="260" spans="2:17" x14ac:dyDescent="0.25">
      <c r="B260" s="118"/>
      <c r="C260" s="102"/>
      <c r="D260" s="102" t="s">
        <v>85</v>
      </c>
      <c r="M260" s="77">
        <f>M104</f>
        <v>-15</v>
      </c>
      <c r="N260" s="77">
        <f>N104</f>
        <v>-15</v>
      </c>
      <c r="O260" s="77">
        <f>O104</f>
        <v>-15</v>
      </c>
      <c r="P260" s="77">
        <f>P104</f>
        <v>-8</v>
      </c>
      <c r="Q260" s="77">
        <f>Q104</f>
        <v>-5</v>
      </c>
    </row>
    <row r="261" spans="2:17" x14ac:dyDescent="0.25">
      <c r="B261" s="118"/>
      <c r="C261" s="102"/>
      <c r="D261" s="102" t="s">
        <v>151</v>
      </c>
      <c r="M261" s="77">
        <f>M275</f>
        <v>-5.7</v>
      </c>
      <c r="N261" s="77">
        <f t="shared" ref="N261:Q261" si="125">N275</f>
        <v>-5.7</v>
      </c>
      <c r="O261" s="77">
        <f t="shared" si="125"/>
        <v>-5.7</v>
      </c>
      <c r="P261" s="77">
        <f t="shared" si="125"/>
        <v>-5.7</v>
      </c>
      <c r="Q261" s="77">
        <f t="shared" si="125"/>
        <v>-5.7</v>
      </c>
    </row>
    <row r="262" spans="2:17" x14ac:dyDescent="0.25">
      <c r="B262" s="118"/>
      <c r="C262" s="102"/>
      <c r="D262" s="102" t="s">
        <v>93</v>
      </c>
      <c r="L262" s="66"/>
      <c r="M262" s="111">
        <f ca="1">M111</f>
        <v>0</v>
      </c>
      <c r="N262" s="111">
        <f ca="1">N111</f>
        <v>0</v>
      </c>
      <c r="O262" s="111">
        <f ca="1">O111</f>
        <v>0</v>
      </c>
      <c r="P262" s="111">
        <f ca="1">P111</f>
        <v>0</v>
      </c>
      <c r="Q262" s="111">
        <f ca="1">Q111</f>
        <v>0</v>
      </c>
    </row>
    <row r="263" spans="2:17" x14ac:dyDescent="0.25">
      <c r="B263" s="102"/>
      <c r="C263" s="102"/>
      <c r="D263" s="118" t="s">
        <v>152</v>
      </c>
      <c r="M263" s="128">
        <f ca="1">SUM(M259:M262)</f>
        <v>-18.123259382161503</v>
      </c>
      <c r="N263" s="128">
        <f t="shared" ref="N263:Q263" ca="1" si="126">SUM(N259:N262)</f>
        <v>-17.059041615671799</v>
      </c>
      <c r="O263" s="128">
        <f t="shared" ca="1" si="126"/>
        <v>-15.284402642510603</v>
      </c>
      <c r="P263" s="128">
        <f t="shared" ca="1" si="126"/>
        <v>-6.804766782112238</v>
      </c>
      <c r="Q263" s="128">
        <f t="shared" ca="1" si="126"/>
        <v>-1.7996071113244083</v>
      </c>
    </row>
    <row r="264" spans="2:17" x14ac:dyDescent="0.25">
      <c r="B264" s="102"/>
      <c r="C264" s="118"/>
      <c r="D264" s="102"/>
    </row>
    <row r="265" spans="2:17" x14ac:dyDescent="0.25">
      <c r="B265" s="102"/>
      <c r="C265" s="102"/>
      <c r="D265" s="102" t="s">
        <v>153</v>
      </c>
      <c r="M265" s="20">
        <f>L267</f>
        <v>0.16600000000000001</v>
      </c>
      <c r="N265" s="20">
        <f ca="1">M267</f>
        <v>0</v>
      </c>
      <c r="O265" s="20">
        <f t="shared" ref="O265:Q265" ca="1" si="127">N267</f>
        <v>9.1483009978332994</v>
      </c>
      <c r="P265" s="20">
        <f t="shared" ca="1" si="127"/>
        <v>24.432703640343902</v>
      </c>
      <c r="Q265" s="20">
        <f t="shared" ca="1" si="127"/>
        <v>31.237470422456141</v>
      </c>
    </row>
    <row r="266" spans="2:17" x14ac:dyDescent="0.25">
      <c r="B266" s="102"/>
      <c r="C266" s="102"/>
      <c r="D266" s="102" t="s">
        <v>154</v>
      </c>
      <c r="L266" s="66"/>
      <c r="M266" s="120">
        <f ca="1">-MIN((M250+M263),M265)</f>
        <v>-0.16600000000000001</v>
      </c>
      <c r="N266" s="120">
        <f t="shared" ref="N266:Q266" ca="1" si="128">-MIN((N250+N263),N265)</f>
        <v>9.1483009978332994</v>
      </c>
      <c r="O266" s="120">
        <f t="shared" ca="1" si="128"/>
        <v>15.284402642510603</v>
      </c>
      <c r="P266" s="120">
        <f t="shared" ca="1" si="128"/>
        <v>6.804766782112238</v>
      </c>
      <c r="Q266" s="120">
        <f t="shared" ca="1" si="128"/>
        <v>1.7996071113244083</v>
      </c>
    </row>
    <row r="267" spans="2:17" x14ac:dyDescent="0.25">
      <c r="B267" s="102"/>
      <c r="C267" s="102"/>
      <c r="D267" s="102" t="s">
        <v>155</v>
      </c>
      <c r="L267" s="128">
        <f>L147</f>
        <v>0.16600000000000001</v>
      </c>
      <c r="M267" s="129">
        <f ca="1">SUM(M265:M266)</f>
        <v>0</v>
      </c>
      <c r="N267" s="128">
        <f t="shared" ref="N267:Q267" ca="1" si="129">SUM(N265:N266)</f>
        <v>9.1483009978332994</v>
      </c>
      <c r="O267" s="128">
        <f t="shared" ca="1" si="129"/>
        <v>24.432703640343902</v>
      </c>
      <c r="P267" s="128">
        <f t="shared" ca="1" si="129"/>
        <v>31.237470422456141</v>
      </c>
      <c r="Q267" s="128">
        <f t="shared" ca="1" si="129"/>
        <v>33.037077533780547</v>
      </c>
    </row>
    <row r="268" spans="2:17" x14ac:dyDescent="0.25">
      <c r="B268" s="102"/>
      <c r="C268" s="102"/>
      <c r="D268" s="102"/>
    </row>
    <row r="269" spans="2:17" x14ac:dyDescent="0.25">
      <c r="B269" s="102"/>
      <c r="C269" s="102"/>
      <c r="D269" s="102" t="s">
        <v>149</v>
      </c>
      <c r="M269" s="130">
        <f>Assumptions!L73</f>
        <v>0.05</v>
      </c>
      <c r="N269" s="131">
        <f>M269</f>
        <v>0.05</v>
      </c>
      <c r="O269" s="131">
        <f t="shared" ref="O269:Q269" si="130">N269</f>
        <v>0.05</v>
      </c>
      <c r="P269" s="131">
        <f t="shared" si="130"/>
        <v>0.05</v>
      </c>
      <c r="Q269" s="131">
        <f t="shared" si="130"/>
        <v>0.05</v>
      </c>
    </row>
    <row r="270" spans="2:17" x14ac:dyDescent="0.25">
      <c r="B270" s="102"/>
      <c r="C270" s="102"/>
      <c r="D270" s="118" t="s">
        <v>156</v>
      </c>
      <c r="M270" s="128">
        <f>M265*M269</f>
        <v>8.3000000000000001E-3</v>
      </c>
      <c r="N270" s="129">
        <f t="shared" ref="N270:Q270" ca="1" si="131">N265*N269</f>
        <v>0</v>
      </c>
      <c r="O270" s="128">
        <f t="shared" ca="1" si="131"/>
        <v>0.45741504989166498</v>
      </c>
      <c r="P270" s="128">
        <f t="shared" ca="1" si="131"/>
        <v>1.2216351820171951</v>
      </c>
      <c r="Q270" s="128">
        <f t="shared" ca="1" si="131"/>
        <v>1.5618735211228072</v>
      </c>
    </row>
    <row r="271" spans="2:17" x14ac:dyDescent="0.25">
      <c r="B271" s="102"/>
      <c r="C271" s="102"/>
      <c r="D271" s="102"/>
    </row>
    <row r="272" spans="2:17" x14ac:dyDescent="0.25">
      <c r="B272" s="102"/>
      <c r="C272" s="102"/>
      <c r="D272" s="102"/>
    </row>
    <row r="273" spans="2:17" x14ac:dyDescent="0.25">
      <c r="B273" s="102"/>
      <c r="C273" s="118" t="s">
        <v>117</v>
      </c>
      <c r="D273" s="102"/>
    </row>
    <row r="274" spans="2:17" x14ac:dyDescent="0.25">
      <c r="B274" s="102"/>
      <c r="C274" s="102"/>
      <c r="D274" s="102" t="s">
        <v>146</v>
      </c>
      <c r="M274">
        <f>L276</f>
        <v>39.340000000000003</v>
      </c>
      <c r="N274" s="77">
        <f>M276</f>
        <v>33.64</v>
      </c>
      <c r="O274" s="77">
        <f t="shared" ref="O274:Q274" si="132">N276</f>
        <v>27.94</v>
      </c>
      <c r="P274" s="77">
        <f t="shared" si="132"/>
        <v>22.240000000000002</v>
      </c>
      <c r="Q274" s="77">
        <f t="shared" si="132"/>
        <v>16.540000000000003</v>
      </c>
    </row>
    <row r="275" spans="2:17" x14ac:dyDescent="0.25">
      <c r="B275" s="102"/>
      <c r="C275" s="102"/>
      <c r="D275" s="102" t="s">
        <v>154</v>
      </c>
      <c r="L275" s="66"/>
      <c r="M275" s="127">
        <f>Assumptions!L72</f>
        <v>-5.7</v>
      </c>
      <c r="N275" s="127">
        <f>Assumptions!M72</f>
        <v>-5.7</v>
      </c>
      <c r="O275" s="127">
        <f>Assumptions!N72</f>
        <v>-5.7</v>
      </c>
      <c r="P275" s="127">
        <f>Assumptions!O72</f>
        <v>-5.7</v>
      </c>
      <c r="Q275" s="127">
        <f>Assumptions!P72</f>
        <v>-5.7</v>
      </c>
    </row>
    <row r="276" spans="2:17" x14ac:dyDescent="0.25">
      <c r="B276" s="102"/>
      <c r="C276" s="102"/>
      <c r="D276" s="102" t="s">
        <v>148</v>
      </c>
      <c r="L276" s="128">
        <f>L155</f>
        <v>39.340000000000003</v>
      </c>
      <c r="M276" s="128">
        <f>SUM(M274:M275)</f>
        <v>33.64</v>
      </c>
      <c r="N276" s="128">
        <f t="shared" ref="N276:Q276" si="133">SUM(N274:N275)</f>
        <v>27.94</v>
      </c>
      <c r="O276" s="128">
        <f t="shared" si="133"/>
        <v>22.240000000000002</v>
      </c>
      <c r="P276" s="128">
        <f t="shared" si="133"/>
        <v>16.540000000000003</v>
      </c>
      <c r="Q276" s="128">
        <f t="shared" si="133"/>
        <v>10.840000000000003</v>
      </c>
    </row>
    <row r="277" spans="2:17" x14ac:dyDescent="0.25">
      <c r="B277" s="102"/>
      <c r="C277" s="102"/>
      <c r="D277" s="102"/>
    </row>
    <row r="278" spans="2:17" x14ac:dyDescent="0.25">
      <c r="B278" s="102"/>
      <c r="C278" s="102"/>
      <c r="D278" s="102" t="s">
        <v>149</v>
      </c>
      <c r="L278" s="66"/>
      <c r="M278" s="130">
        <f>Assumptions!L71</f>
        <v>7.0000000000000007E-2</v>
      </c>
      <c r="N278" s="132">
        <f>M278</f>
        <v>7.0000000000000007E-2</v>
      </c>
      <c r="O278" s="132">
        <f t="shared" ref="O278:Q278" si="134">N278</f>
        <v>7.0000000000000007E-2</v>
      </c>
      <c r="P278" s="132">
        <f t="shared" si="134"/>
        <v>7.0000000000000007E-2</v>
      </c>
      <c r="Q278" s="132">
        <f t="shared" si="134"/>
        <v>7.0000000000000007E-2</v>
      </c>
    </row>
    <row r="279" spans="2:17" x14ac:dyDescent="0.25">
      <c r="B279" s="102"/>
      <c r="C279" s="102"/>
      <c r="D279" s="118" t="s">
        <v>156</v>
      </c>
      <c r="M279" s="128">
        <f>M274*M278</f>
        <v>2.7538000000000005</v>
      </c>
      <c r="N279" s="128">
        <f t="shared" ref="N279:Q279" si="135">N274*N278</f>
        <v>2.3548000000000004</v>
      </c>
      <c r="O279" s="128">
        <f t="shared" si="135"/>
        <v>1.9558000000000002</v>
      </c>
      <c r="P279" s="128">
        <f t="shared" si="135"/>
        <v>1.5568000000000002</v>
      </c>
      <c r="Q279" s="128">
        <f t="shared" si="135"/>
        <v>1.1578000000000004</v>
      </c>
    </row>
    <row r="280" spans="2:17" x14ac:dyDescent="0.25">
      <c r="B280" s="102"/>
      <c r="C280" s="102"/>
      <c r="D280" s="102"/>
    </row>
    <row r="281" spans="2:17" x14ac:dyDescent="0.25">
      <c r="B281" s="102"/>
      <c r="C281" s="102"/>
      <c r="D281" s="102"/>
    </row>
    <row r="282" spans="2:17" ht="15.75" thickBot="1" x14ac:dyDescent="0.3">
      <c r="B282" s="102"/>
      <c r="C282" s="118" t="s">
        <v>157</v>
      </c>
      <c r="D282" s="102"/>
      <c r="M282" s="106">
        <f>M270+M279-M255</f>
        <v>2.5001000000000007</v>
      </c>
      <c r="N282" s="106">
        <f t="shared" ref="N282:Q282" ca="1" si="136">N270+N279-N255</f>
        <v>2.2756925938216153</v>
      </c>
      <c r="O282" s="106">
        <f t="shared" ca="1" si="136"/>
        <v>2.4132150498916651</v>
      </c>
      <c r="P282" s="106">
        <f t="shared" ca="1" si="136"/>
        <v>2.7784351820171951</v>
      </c>
      <c r="Q282" s="106">
        <f t="shared" ca="1" si="136"/>
        <v>2.7196735211228074</v>
      </c>
    </row>
    <row r="283" spans="2:17" ht="15.75" thickTop="1" x14ac:dyDescent="0.25"/>
    <row r="284" spans="2:17" x14ac:dyDescent="0.25">
      <c r="M284" s="77"/>
    </row>
    <row r="285" spans="2:17" ht="15.75" x14ac:dyDescent="0.25">
      <c r="B285" s="144" t="s">
        <v>190</v>
      </c>
      <c r="C285" s="143"/>
      <c r="D285" s="143"/>
      <c r="M285" s="160">
        <f ca="1">M252-M130</f>
        <v>0</v>
      </c>
      <c r="N285" s="160">
        <f ca="1">N252-N130</f>
        <v>0</v>
      </c>
      <c r="O285" s="160">
        <f ca="1">O252-O130</f>
        <v>0</v>
      </c>
      <c r="P285" s="160">
        <f ca="1">P252-P130</f>
        <v>0</v>
      </c>
      <c r="Q285" s="160">
        <f ca="1">Q252-Q130</f>
        <v>0</v>
      </c>
    </row>
    <row r="286" spans="2:17" ht="15.75" x14ac:dyDescent="0.25">
      <c r="B286" s="148"/>
      <c r="M286" s="161"/>
      <c r="N286" s="161"/>
      <c r="O286" s="161"/>
      <c r="P286" s="161"/>
      <c r="Q286" s="161"/>
    </row>
    <row r="287" spans="2:17" ht="15.75" x14ac:dyDescent="0.25">
      <c r="B287" s="144" t="s">
        <v>190</v>
      </c>
      <c r="C287" s="143"/>
      <c r="D287" s="143"/>
      <c r="M287" s="162">
        <f ca="1">M267-M147</f>
        <v>0</v>
      </c>
      <c r="N287" s="162">
        <f ca="1">N267-N147</f>
        <v>0</v>
      </c>
      <c r="O287" s="162">
        <f ca="1">O267-O147</f>
        <v>0</v>
      </c>
      <c r="P287" s="162">
        <f ca="1">P267-P147</f>
        <v>0</v>
      </c>
      <c r="Q287" s="162">
        <f ca="1">Q267-Q147</f>
        <v>-3.4283687000424834E-11</v>
      </c>
    </row>
    <row r="288" spans="2:17" ht="15.75" x14ac:dyDescent="0.25">
      <c r="B288" s="148"/>
      <c r="M288" s="161"/>
      <c r="N288" s="161"/>
      <c r="O288" s="161"/>
      <c r="P288" s="161"/>
      <c r="Q288" s="161"/>
    </row>
    <row r="289" spans="1:17" ht="15.75" x14ac:dyDescent="0.25">
      <c r="B289" s="144" t="s">
        <v>190</v>
      </c>
      <c r="C289" s="143"/>
      <c r="D289" s="143"/>
      <c r="M289" s="162">
        <f>M276-M155</f>
        <v>0</v>
      </c>
      <c r="N289" s="162">
        <f>N276-N155</f>
        <v>0</v>
      </c>
      <c r="O289" s="162">
        <f>O276-O155</f>
        <v>0</v>
      </c>
      <c r="P289" s="162">
        <f>P276-P155</f>
        <v>0</v>
      </c>
      <c r="Q289" s="162">
        <f>Q276-Q155</f>
        <v>0</v>
      </c>
    </row>
    <row r="291" spans="1:17" ht="15.75" thickBot="1" x14ac:dyDescent="0.3">
      <c r="A291" s="3"/>
      <c r="B291" s="54" t="s">
        <v>164</v>
      </c>
      <c r="C291" s="3"/>
      <c r="D291" s="3"/>
      <c r="E291" s="3"/>
      <c r="F291" s="3"/>
      <c r="G291" s="3"/>
      <c r="H291" s="3"/>
      <c r="I291" s="3"/>
      <c r="J291" s="3"/>
      <c r="K291" s="3"/>
      <c r="L291" s="3"/>
      <c r="M291" s="55" t="s">
        <v>41</v>
      </c>
      <c r="N291" s="56"/>
      <c r="O291" s="56"/>
      <c r="P291" s="56"/>
      <c r="Q291" s="56"/>
    </row>
    <row r="293" spans="1:17" x14ac:dyDescent="0.25">
      <c r="B293" s="72" t="s">
        <v>64</v>
      </c>
      <c r="J293" s="9">
        <v>2020</v>
      </c>
      <c r="K293" s="9">
        <v>2021</v>
      </c>
      <c r="L293" s="9">
        <v>2022</v>
      </c>
      <c r="M293">
        <v>2023</v>
      </c>
      <c r="N293">
        <v>2024</v>
      </c>
      <c r="O293">
        <v>2025</v>
      </c>
      <c r="P293">
        <v>2026</v>
      </c>
      <c r="Q293">
        <v>2027</v>
      </c>
    </row>
    <row r="294" spans="1:17" x14ac:dyDescent="0.25">
      <c r="B294" s="102"/>
      <c r="C294" s="102"/>
    </row>
    <row r="295" spans="1:17" x14ac:dyDescent="0.25">
      <c r="B295" s="118" t="s">
        <v>166</v>
      </c>
      <c r="C295" s="102"/>
    </row>
    <row r="296" spans="1:17" x14ac:dyDescent="0.25">
      <c r="B296" s="118"/>
      <c r="C296" s="102" t="s">
        <v>146</v>
      </c>
      <c r="L296" s="152">
        <f>K299</f>
        <v>38.869</v>
      </c>
      <c r="M296" s="153">
        <f>L299</f>
        <v>40.929057</v>
      </c>
      <c r="N296" s="153">
        <f t="shared" ref="N296:Q296" ca="1" si="137">M299</f>
        <v>40.929057</v>
      </c>
      <c r="O296" s="153">
        <f t="shared" ca="1" si="137"/>
        <v>40.929057</v>
      </c>
      <c r="P296" s="153">
        <f t="shared" ca="1" si="137"/>
        <v>40.929057</v>
      </c>
      <c r="Q296" s="153">
        <f t="shared" ca="1" si="137"/>
        <v>40.929057</v>
      </c>
    </row>
    <row r="297" spans="1:17" x14ac:dyDescent="0.25">
      <c r="B297" s="102"/>
      <c r="C297" s="102" t="s">
        <v>183</v>
      </c>
      <c r="L297" s="154">
        <v>5.2999999999999999E-2</v>
      </c>
      <c r="M297" s="154">
        <v>5.2999999999999999E-2</v>
      </c>
      <c r="N297" s="154">
        <v>5.2999999999999999E-2</v>
      </c>
      <c r="O297" s="154">
        <v>5.2999999999999999E-2</v>
      </c>
      <c r="P297" s="154">
        <v>5.2999999999999999E-2</v>
      </c>
      <c r="Q297" s="154">
        <v>5.2999999999999999E-2</v>
      </c>
    </row>
    <row r="298" spans="1:17" x14ac:dyDescent="0.25">
      <c r="B298" s="118"/>
      <c r="C298" s="102" t="s">
        <v>184</v>
      </c>
      <c r="K298" s="66"/>
      <c r="L298" s="155">
        <f>IF(L304&lt;L305,0,(L296*L297))</f>
        <v>2.060057</v>
      </c>
      <c r="M298" s="155">
        <f ca="1">IF(M304&lt;M305,0,(M296*M297))</f>
        <v>0</v>
      </c>
      <c r="N298" s="155">
        <f ca="1">IF(N304&lt;N305,0,(N296*N297))</f>
        <v>0</v>
      </c>
      <c r="O298" s="155">
        <f t="shared" ref="O298:Q298" ca="1" si="138">IF(O304&lt;O305,0,(O296*O297))</f>
        <v>0</v>
      </c>
      <c r="P298" s="155">
        <f t="shared" ca="1" si="138"/>
        <v>0</v>
      </c>
      <c r="Q298" s="155">
        <f t="shared" ca="1" si="138"/>
        <v>0</v>
      </c>
    </row>
    <row r="299" spans="1:17" x14ac:dyDescent="0.25">
      <c r="B299" s="102"/>
      <c r="C299" s="102" t="s">
        <v>148</v>
      </c>
      <c r="K299">
        <v>38.869</v>
      </c>
      <c r="L299" s="156">
        <f t="shared" ref="L299:Q299" si="139">L296+L298</f>
        <v>40.929057</v>
      </c>
      <c r="M299" s="156">
        <f t="shared" ca="1" si="139"/>
        <v>40.929057</v>
      </c>
      <c r="N299" s="156">
        <f t="shared" ca="1" si="139"/>
        <v>40.929057</v>
      </c>
      <c r="O299" s="156">
        <f t="shared" ca="1" si="139"/>
        <v>40.929057</v>
      </c>
      <c r="P299" s="156">
        <f t="shared" ca="1" si="139"/>
        <v>40.929057</v>
      </c>
      <c r="Q299" s="156">
        <f t="shared" ca="1" si="139"/>
        <v>40.929057</v>
      </c>
    </row>
    <row r="300" spans="1:17" x14ac:dyDescent="0.25">
      <c r="B300" s="102"/>
      <c r="C300" s="102"/>
    </row>
    <row r="301" spans="1:17" x14ac:dyDescent="0.25">
      <c r="B301" s="102"/>
      <c r="C301" s="102"/>
    </row>
    <row r="302" spans="1:17" x14ac:dyDescent="0.25">
      <c r="B302" s="118" t="s">
        <v>111</v>
      </c>
      <c r="C302" s="102"/>
    </row>
    <row r="303" spans="1:17" x14ac:dyDescent="0.25">
      <c r="B303" s="102"/>
      <c r="C303" s="102" t="s">
        <v>146</v>
      </c>
      <c r="M303" s="20">
        <f>L306</f>
        <v>22.98</v>
      </c>
      <c r="N303" s="20">
        <f ca="1">M306</f>
        <v>16.044796792817678</v>
      </c>
      <c r="O303" s="20">
        <f t="shared" ref="O303:Q303" ca="1" si="140">N306</f>
        <v>10.163204833656595</v>
      </c>
      <c r="P303" s="20">
        <f t="shared" ca="1" si="140"/>
        <v>5.1463988919721642</v>
      </c>
      <c r="Q303" s="20">
        <f t="shared" ca="1" si="140"/>
        <v>1.0757685604479148</v>
      </c>
    </row>
    <row r="304" spans="1:17" x14ac:dyDescent="0.25">
      <c r="B304" s="102"/>
      <c r="C304" s="102" t="s">
        <v>79</v>
      </c>
      <c r="M304" s="135">
        <f>M80</f>
        <v>-6.9352032071823233</v>
      </c>
      <c r="N304" s="135">
        <f ca="1">N80</f>
        <v>-5.8815919591610832</v>
      </c>
      <c r="O304" s="135">
        <f ca="1">O80</f>
        <v>-5.0168059416844306</v>
      </c>
      <c r="P304" s="135">
        <f ca="1">P80</f>
        <v>-4.0706303315242494</v>
      </c>
      <c r="Q304" s="135">
        <f ca="1">Q80</f>
        <v>-2.4176353848150929</v>
      </c>
    </row>
    <row r="305" spans="2:17" x14ac:dyDescent="0.25">
      <c r="B305" s="102"/>
      <c r="C305" s="102" t="s">
        <v>165</v>
      </c>
      <c r="K305" s="66"/>
      <c r="L305" s="66"/>
      <c r="M305" s="136">
        <f ca="1">-M298</f>
        <v>0</v>
      </c>
      <c r="N305" s="136">
        <f t="shared" ref="N305:Q305" ca="1" si="141">-N298</f>
        <v>0</v>
      </c>
      <c r="O305" s="136">
        <f t="shared" ca="1" si="141"/>
        <v>0</v>
      </c>
      <c r="P305" s="136">
        <f t="shared" ca="1" si="141"/>
        <v>0</v>
      </c>
      <c r="Q305" s="136">
        <f t="shared" ca="1" si="141"/>
        <v>0</v>
      </c>
    </row>
    <row r="306" spans="2:17" x14ac:dyDescent="0.25">
      <c r="B306" s="102"/>
      <c r="C306" s="118" t="s">
        <v>148</v>
      </c>
      <c r="L306" s="20">
        <f>L162</f>
        <v>22.98</v>
      </c>
      <c r="M306" s="20">
        <f ca="1">SUM(M303:M305)</f>
        <v>16.044796792817678</v>
      </c>
      <c r="N306" s="20">
        <f t="shared" ref="N306:Q306" ca="1" si="142">SUM(N303:N305)</f>
        <v>10.163204833656595</v>
      </c>
      <c r="O306" s="20">
        <f t="shared" ca="1" si="142"/>
        <v>5.1463988919721642</v>
      </c>
      <c r="P306" s="20">
        <f t="shared" ca="1" si="142"/>
        <v>1.0757685604479148</v>
      </c>
      <c r="Q306" s="20">
        <f t="shared" ca="1" si="142"/>
        <v>-1.3418668243671781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47D5-C5DB-4EF2-ABD9-393917BFA53A}">
  <sheetPr>
    <tabColor theme="0" tint="-0.249977111117893"/>
  </sheetPr>
  <dimension ref="A1:B6"/>
  <sheetViews>
    <sheetView showGridLines="0" workbookViewId="0">
      <selection activeCell="A2" sqref="A2:A6"/>
    </sheetView>
  </sheetViews>
  <sheetFormatPr defaultRowHeight="15" x14ac:dyDescent="0.25"/>
  <cols>
    <col min="1" max="1" width="14.5703125" customWidth="1"/>
  </cols>
  <sheetData>
    <row r="1" spans="1:2" ht="15.75" x14ac:dyDescent="0.25">
      <c r="A1" s="141" t="s">
        <v>189</v>
      </c>
    </row>
    <row r="2" spans="1:2" ht="15.75" x14ac:dyDescent="0.25">
      <c r="A2" s="169">
        <f ca="1">ROUND(SUM(Model!K167:Q167),1)</f>
        <v>0</v>
      </c>
      <c r="B2" s="142" t="s">
        <v>171</v>
      </c>
    </row>
    <row r="3" spans="1:2" ht="15.75" x14ac:dyDescent="0.25">
      <c r="A3" s="19">
        <f ca="1">ROUND(SUM(Model!K120:Q120),1)</f>
        <v>0</v>
      </c>
      <c r="B3" s="142" t="s">
        <v>174</v>
      </c>
    </row>
    <row r="4" spans="1:2" ht="15.75" x14ac:dyDescent="0.25">
      <c r="A4" s="19">
        <f ca="1">ROUND(SUM(Model!M285:Q285),1)</f>
        <v>0</v>
      </c>
      <c r="B4" s="142" t="s">
        <v>172</v>
      </c>
    </row>
    <row r="5" spans="1:2" ht="15.75" x14ac:dyDescent="0.25">
      <c r="A5" s="19">
        <f ca="1">ROUND(SUM(Model!M287:Q287),1)</f>
        <v>0</v>
      </c>
      <c r="B5" s="142" t="s">
        <v>173</v>
      </c>
    </row>
    <row r="6" spans="1:2" ht="15.75" x14ac:dyDescent="0.25">
      <c r="A6" s="19">
        <f>ROUND(SUM(Model!M289:Q289),1)</f>
        <v>0</v>
      </c>
      <c r="B6" s="14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Cover</vt:lpstr>
      <vt:lpstr>Summary</vt:lpstr>
      <vt:lpstr>Assumptions</vt:lpstr>
      <vt:lpstr>Scenarios</vt:lpstr>
      <vt:lpstr>Model</vt:lpstr>
      <vt:lpstr>Error Checking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Delgado</dc:creator>
  <cp:lastModifiedBy>Bryan Delgado</cp:lastModifiedBy>
  <dcterms:created xsi:type="dcterms:W3CDTF">2023-12-07T12:52:23Z</dcterms:created>
  <dcterms:modified xsi:type="dcterms:W3CDTF">2023-12-12T01:30:09Z</dcterms:modified>
</cp:coreProperties>
</file>